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6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9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1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11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12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13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14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drawings/drawing15.xml" ContentType="application/vnd.openxmlformats-officedocument.drawing+xml"/>
  <Override PartName="/xl/tables/table1.xml" ContentType="application/vnd.openxmlformats-officedocument.spreadsheetml.table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16.xml" ContentType="application/vnd.openxmlformats-officedocument.drawing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17.xml" ContentType="application/vnd.openxmlformats-officedocument.drawing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OneDrive\Desktop\MPP\Flevy\Software\Cyber Security\"/>
    </mc:Choice>
  </mc:AlternateContent>
  <xr:revisionPtr revIDLastSave="0" documentId="13_ncr:1_{B9D6468D-6499-4DFB-91AF-148DB9A9161C}" xr6:coauthVersionLast="47" xr6:coauthVersionMax="47" xr10:uidLastSave="{00000000-0000-0000-0000-000000000000}"/>
  <bookViews>
    <workbookView xWindow="-108" yWindow="-108" windowWidth="23256" windowHeight="13896" tabRatio="934" activeTab="3" xr2:uid="{152CE74B-ACBB-4039-8F2C-96E2E3436DFB}"/>
  </bookViews>
  <sheets>
    <sheet name="2023 Sales Summary" sheetId="1" r:id="rId1"/>
    <sheet name="IS 2023" sheetId="23" r:id="rId2"/>
    <sheet name="CF 2023" sheetId="24" r:id="rId3"/>
    <sheet name="BS 2023" sheetId="25" r:id="rId4"/>
    <sheet name="Statements Summary 2023" sheetId="30" r:id="rId5"/>
    <sheet name="2024 Sales Summary" sheetId="49" r:id="rId6"/>
    <sheet name="IS 2024" sheetId="26" r:id="rId7"/>
    <sheet name="CF 2024" sheetId="33" r:id="rId8"/>
    <sheet name="BS 2024" sheetId="40" r:id="rId9"/>
    <sheet name="Statements Summary 2024" sheetId="31" r:id="rId10"/>
    <sheet name="2025 Sales Summary" sheetId="50" r:id="rId11"/>
    <sheet name="IS 2025" sheetId="27" r:id="rId12"/>
    <sheet name="CF 2025" sheetId="37" r:id="rId13"/>
    <sheet name="BS 2025" sheetId="41" r:id="rId14"/>
    <sheet name="Statements Summary 2025" sheetId="32" r:id="rId15"/>
    <sheet name="2026 Sales Summary" sheetId="51" r:id="rId16"/>
    <sheet name="IS 2026" sheetId="28" r:id="rId17"/>
    <sheet name="CF 2026" sheetId="38" r:id="rId18"/>
    <sheet name="BS 2026" sheetId="42" r:id="rId19"/>
    <sheet name="Statements Summary 2026" sheetId="44" r:id="rId20"/>
    <sheet name="2027 Sales Summary" sheetId="52" r:id="rId21"/>
    <sheet name="IS 2027" sheetId="29" r:id="rId22"/>
    <sheet name="CF 2027" sheetId="39" r:id="rId23"/>
    <sheet name="BS 2027" sheetId="43" r:id="rId24"/>
    <sheet name="Statements Summary 2027" sheetId="45" r:id="rId25"/>
    <sheet name="Sales Summary Charts" sheetId="53" r:id="rId26"/>
    <sheet name="BEA" sheetId="3" r:id="rId27"/>
    <sheet name="Top Expenses" sheetId="9" r:id="rId28"/>
    <sheet name="Salaries Assumptions" sheetId="11" r:id="rId29"/>
    <sheet name="Services Assumptions " sheetId="47" r:id="rId30"/>
    <sheet name="COGS Assumptions" sheetId="48" r:id="rId31"/>
    <sheet name="Planned Hours of Work" sheetId="16" r:id="rId32"/>
    <sheet name="KPI Stage Financials" sheetId="17" r:id="rId33"/>
    <sheet name="KPI Spend" sheetId="15" r:id="rId34"/>
    <sheet name="Benchmarking Plan Over Time" sheetId="21" r:id="rId35"/>
    <sheet name="TimeData" sheetId="20" r:id="rId36"/>
    <sheet name="Unit Usage" sheetId="10" r:id="rId37"/>
    <sheet name="Calculations" sheetId="2" r:id="rId3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43" l="1"/>
  <c r="H24" i="43"/>
  <c r="I24" i="43"/>
  <c r="J24" i="43"/>
  <c r="K24" i="43"/>
  <c r="L24" i="43"/>
  <c r="M24" i="43"/>
  <c r="N24" i="43"/>
  <c r="O24" i="43"/>
  <c r="P24" i="43"/>
  <c r="Q24" i="43"/>
  <c r="F24" i="43"/>
  <c r="H53" i="39"/>
  <c r="I53" i="39"/>
  <c r="J53" i="39"/>
  <c r="K53" i="39"/>
  <c r="L53" i="39"/>
  <c r="M53" i="39"/>
  <c r="N53" i="39"/>
  <c r="O53" i="39"/>
  <c r="P53" i="39"/>
  <c r="Q53" i="39"/>
  <c r="R53" i="39"/>
  <c r="G53" i="39"/>
  <c r="H52" i="39"/>
  <c r="I52" i="39"/>
  <c r="J52" i="39"/>
  <c r="K52" i="39"/>
  <c r="L52" i="39"/>
  <c r="M52" i="39"/>
  <c r="N52" i="39"/>
  <c r="O52" i="39"/>
  <c r="P52" i="39"/>
  <c r="Q52" i="39"/>
  <c r="R52" i="39"/>
  <c r="G52" i="39"/>
  <c r="H21" i="39"/>
  <c r="I21" i="39"/>
  <c r="J21" i="39"/>
  <c r="K21" i="39"/>
  <c r="L21" i="39"/>
  <c r="M21" i="39"/>
  <c r="N21" i="39"/>
  <c r="O21" i="39"/>
  <c r="P21" i="39"/>
  <c r="Q21" i="39"/>
  <c r="R21" i="39"/>
  <c r="G21" i="39"/>
  <c r="H20" i="39"/>
  <c r="I20" i="39"/>
  <c r="J20" i="39"/>
  <c r="K20" i="39"/>
  <c r="L20" i="39"/>
  <c r="M20" i="39"/>
  <c r="N20" i="39"/>
  <c r="O20" i="39"/>
  <c r="P20" i="39"/>
  <c r="Q20" i="39"/>
  <c r="R20" i="39"/>
  <c r="G20" i="39"/>
  <c r="G62" i="29"/>
  <c r="H62" i="29"/>
  <c r="I62" i="29"/>
  <c r="J62" i="29"/>
  <c r="K62" i="29"/>
  <c r="L62" i="29"/>
  <c r="M62" i="29"/>
  <c r="N62" i="29"/>
  <c r="O62" i="29"/>
  <c r="P62" i="29"/>
  <c r="Q62" i="29"/>
  <c r="F62" i="29"/>
  <c r="G60" i="29"/>
  <c r="H60" i="29"/>
  <c r="I60" i="29"/>
  <c r="J60" i="29"/>
  <c r="K60" i="29"/>
  <c r="L60" i="29"/>
  <c r="M60" i="29"/>
  <c r="N60" i="29"/>
  <c r="O60" i="29"/>
  <c r="P60" i="29"/>
  <c r="Q60" i="29"/>
  <c r="F60" i="29"/>
  <c r="G24" i="42"/>
  <c r="H24" i="42"/>
  <c r="I24" i="42"/>
  <c r="J24" i="42"/>
  <c r="K24" i="42"/>
  <c r="L24" i="42"/>
  <c r="M24" i="42"/>
  <c r="N24" i="42"/>
  <c r="O24" i="42"/>
  <c r="P24" i="42"/>
  <c r="Q24" i="42"/>
  <c r="R24" i="42"/>
  <c r="S24" i="42"/>
  <c r="T24" i="42"/>
  <c r="F24" i="42"/>
  <c r="H53" i="38"/>
  <c r="I53" i="38"/>
  <c r="J53" i="38"/>
  <c r="K53" i="38"/>
  <c r="L53" i="38"/>
  <c r="M53" i="38"/>
  <c r="N53" i="38"/>
  <c r="O53" i="38"/>
  <c r="P53" i="38"/>
  <c r="Q53" i="38"/>
  <c r="R53" i="38"/>
  <c r="S53" i="38"/>
  <c r="T53" i="38"/>
  <c r="U53" i="38"/>
  <c r="G53" i="38"/>
  <c r="H52" i="38"/>
  <c r="I52" i="38"/>
  <c r="J52" i="38"/>
  <c r="K52" i="38"/>
  <c r="L52" i="38"/>
  <c r="M52" i="38"/>
  <c r="N52" i="38"/>
  <c r="O52" i="38"/>
  <c r="P52" i="38"/>
  <c r="Q52" i="38"/>
  <c r="R52" i="38"/>
  <c r="S52" i="38"/>
  <c r="T52" i="38"/>
  <c r="U52" i="38"/>
  <c r="G52" i="38"/>
  <c r="H21" i="38"/>
  <c r="I21" i="38"/>
  <c r="J21" i="38"/>
  <c r="K21" i="38"/>
  <c r="L21" i="38"/>
  <c r="M21" i="38"/>
  <c r="N21" i="38"/>
  <c r="O21" i="38"/>
  <c r="P21" i="38"/>
  <c r="Q21" i="38"/>
  <c r="R21" i="38"/>
  <c r="S21" i="38"/>
  <c r="T21" i="38"/>
  <c r="U21" i="38"/>
  <c r="G21" i="38"/>
  <c r="H20" i="38"/>
  <c r="I20" i="38"/>
  <c r="J20" i="38"/>
  <c r="K20" i="38"/>
  <c r="L20" i="38"/>
  <c r="M20" i="38"/>
  <c r="N20" i="38"/>
  <c r="O20" i="38"/>
  <c r="P20" i="38"/>
  <c r="Q20" i="38"/>
  <c r="R20" i="38"/>
  <c r="S20" i="38"/>
  <c r="T20" i="38"/>
  <c r="U20" i="38"/>
  <c r="G20" i="38"/>
  <c r="G62" i="28"/>
  <c r="H62" i="28"/>
  <c r="I62" i="28"/>
  <c r="J62" i="28"/>
  <c r="K62" i="28"/>
  <c r="L62" i="28"/>
  <c r="M62" i="28"/>
  <c r="N62" i="28"/>
  <c r="O62" i="28"/>
  <c r="P62" i="28"/>
  <c r="Q62" i="28"/>
  <c r="R62" i="28"/>
  <c r="S62" i="28"/>
  <c r="T62" i="28"/>
  <c r="F62" i="28"/>
  <c r="G60" i="28"/>
  <c r="H60" i="28"/>
  <c r="I60" i="28"/>
  <c r="J60" i="28"/>
  <c r="K60" i="28"/>
  <c r="L60" i="28"/>
  <c r="M60" i="28"/>
  <c r="N60" i="28"/>
  <c r="O60" i="28"/>
  <c r="P60" i="28"/>
  <c r="Q60" i="28"/>
  <c r="R60" i="28"/>
  <c r="S60" i="28"/>
  <c r="T60" i="28"/>
  <c r="F60" i="28"/>
  <c r="G24" i="41"/>
  <c r="H24" i="41"/>
  <c r="I24" i="41"/>
  <c r="J24" i="41"/>
  <c r="K24" i="41"/>
  <c r="L24" i="41"/>
  <c r="M24" i="41"/>
  <c r="N24" i="41"/>
  <c r="O24" i="41"/>
  <c r="P24" i="41"/>
  <c r="Q24" i="41"/>
  <c r="R24" i="41"/>
  <c r="S24" i="41"/>
  <c r="T24" i="41"/>
  <c r="F24" i="41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G53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G52" i="37"/>
  <c r="H21" i="37"/>
  <c r="I21" i="37"/>
  <c r="J21" i="37"/>
  <c r="K21" i="37"/>
  <c r="L21" i="37"/>
  <c r="M21" i="37"/>
  <c r="N21" i="37"/>
  <c r="O21" i="37"/>
  <c r="P21" i="37"/>
  <c r="Q21" i="37"/>
  <c r="R21" i="37"/>
  <c r="S21" i="37"/>
  <c r="T21" i="37"/>
  <c r="U21" i="37"/>
  <c r="G21" i="37"/>
  <c r="H20" i="37"/>
  <c r="I20" i="37"/>
  <c r="J20" i="37"/>
  <c r="K20" i="37"/>
  <c r="L20" i="37"/>
  <c r="M20" i="37"/>
  <c r="N20" i="37"/>
  <c r="O20" i="37"/>
  <c r="P20" i="37"/>
  <c r="Q20" i="37"/>
  <c r="R20" i="37"/>
  <c r="S20" i="37"/>
  <c r="T20" i="37"/>
  <c r="U20" i="37"/>
  <c r="G20" i="37"/>
  <c r="G64" i="27"/>
  <c r="H64" i="27"/>
  <c r="I64" i="27"/>
  <c r="J64" i="27"/>
  <c r="K64" i="27"/>
  <c r="L64" i="27"/>
  <c r="M64" i="27"/>
  <c r="N64" i="27"/>
  <c r="O64" i="27"/>
  <c r="P64" i="27"/>
  <c r="Q64" i="27"/>
  <c r="R64" i="27"/>
  <c r="S64" i="27"/>
  <c r="T64" i="27"/>
  <c r="F64" i="27"/>
  <c r="G62" i="27"/>
  <c r="H62" i="27"/>
  <c r="I62" i="27"/>
  <c r="J62" i="27"/>
  <c r="K62" i="27"/>
  <c r="L62" i="27"/>
  <c r="M62" i="27"/>
  <c r="N62" i="27"/>
  <c r="O62" i="27"/>
  <c r="P62" i="27"/>
  <c r="Q62" i="27"/>
  <c r="R62" i="27"/>
  <c r="S62" i="27"/>
  <c r="T62" i="27"/>
  <c r="F62" i="27"/>
  <c r="G24" i="40"/>
  <c r="H24" i="40"/>
  <c r="I24" i="40"/>
  <c r="J24" i="40"/>
  <c r="K24" i="40"/>
  <c r="L24" i="40"/>
  <c r="M24" i="40"/>
  <c r="N24" i="40"/>
  <c r="O24" i="40"/>
  <c r="P24" i="40"/>
  <c r="Q24" i="40"/>
  <c r="R24" i="40"/>
  <c r="S24" i="40"/>
  <c r="T24" i="40"/>
  <c r="F24" i="40"/>
  <c r="H53" i="33"/>
  <c r="I53" i="33"/>
  <c r="J53" i="33"/>
  <c r="K53" i="33"/>
  <c r="L53" i="33"/>
  <c r="M53" i="33"/>
  <c r="N53" i="33"/>
  <c r="O53" i="33"/>
  <c r="P53" i="33"/>
  <c r="Q53" i="33"/>
  <c r="R53" i="33"/>
  <c r="S53" i="33"/>
  <c r="T53" i="33"/>
  <c r="U53" i="33"/>
  <c r="G53" i="33"/>
  <c r="H52" i="33"/>
  <c r="I52" i="33"/>
  <c r="J52" i="33"/>
  <c r="K52" i="33"/>
  <c r="L52" i="33"/>
  <c r="M52" i="33"/>
  <c r="N52" i="33"/>
  <c r="O52" i="33"/>
  <c r="P52" i="33"/>
  <c r="Q52" i="33"/>
  <c r="R52" i="33"/>
  <c r="U52" i="33"/>
  <c r="G52" i="33"/>
  <c r="H21" i="33"/>
  <c r="I21" i="33"/>
  <c r="J21" i="33"/>
  <c r="K21" i="33"/>
  <c r="L21" i="33"/>
  <c r="M21" i="33"/>
  <c r="N21" i="33"/>
  <c r="O21" i="33"/>
  <c r="P21" i="33"/>
  <c r="Q21" i="33"/>
  <c r="R21" i="33"/>
  <c r="S21" i="33"/>
  <c r="T21" i="33"/>
  <c r="U21" i="33"/>
  <c r="G21" i="33"/>
  <c r="H20" i="33"/>
  <c r="I20" i="33"/>
  <c r="J20" i="33"/>
  <c r="K20" i="33"/>
  <c r="L20" i="33"/>
  <c r="M20" i="33"/>
  <c r="N20" i="33"/>
  <c r="O20" i="33"/>
  <c r="P20" i="33"/>
  <c r="Q20" i="33"/>
  <c r="R20" i="33"/>
  <c r="U20" i="33"/>
  <c r="G20" i="33"/>
  <c r="G65" i="26"/>
  <c r="H65" i="26"/>
  <c r="I65" i="26"/>
  <c r="J65" i="26"/>
  <c r="K65" i="26"/>
  <c r="L65" i="26"/>
  <c r="M65" i="26"/>
  <c r="N65" i="26"/>
  <c r="O65" i="26"/>
  <c r="P65" i="26"/>
  <c r="Q65" i="26"/>
  <c r="R65" i="26"/>
  <c r="S65" i="26"/>
  <c r="T65" i="26"/>
  <c r="F65" i="26"/>
  <c r="G63" i="26"/>
  <c r="H63" i="26"/>
  <c r="I63" i="26"/>
  <c r="J63" i="26"/>
  <c r="K63" i="26"/>
  <c r="L63" i="26"/>
  <c r="M63" i="26"/>
  <c r="N63" i="26"/>
  <c r="O63" i="26"/>
  <c r="P63" i="26"/>
  <c r="Q63" i="26"/>
  <c r="F63" i="26"/>
  <c r="G24" i="25"/>
  <c r="H24" i="25"/>
  <c r="I24" i="25"/>
  <c r="J24" i="25"/>
  <c r="K24" i="25"/>
  <c r="L24" i="25"/>
  <c r="M24" i="25"/>
  <c r="N24" i="25"/>
  <c r="O24" i="25"/>
  <c r="P24" i="25"/>
  <c r="Q24" i="25"/>
  <c r="R24" i="25"/>
  <c r="S24" i="25"/>
  <c r="T24" i="25"/>
  <c r="H53" i="24"/>
  <c r="I53" i="24"/>
  <c r="J53" i="24"/>
  <c r="K53" i="24"/>
  <c r="L53" i="24"/>
  <c r="M53" i="24"/>
  <c r="N53" i="24"/>
  <c r="O53" i="24"/>
  <c r="P53" i="24"/>
  <c r="Q53" i="24"/>
  <c r="R53" i="24"/>
  <c r="S53" i="24"/>
  <c r="T53" i="24"/>
  <c r="U53" i="24"/>
  <c r="H52" i="24"/>
  <c r="I52" i="24"/>
  <c r="J52" i="24"/>
  <c r="K52" i="24"/>
  <c r="L52" i="24"/>
  <c r="M52" i="24"/>
  <c r="N52" i="24"/>
  <c r="O52" i="24"/>
  <c r="P52" i="24"/>
  <c r="Q52" i="24"/>
  <c r="R52" i="24"/>
  <c r="S52" i="24"/>
  <c r="T52" i="24"/>
  <c r="U52" i="24"/>
  <c r="G52" i="24"/>
  <c r="H21" i="24"/>
  <c r="I21" i="24"/>
  <c r="J21" i="24"/>
  <c r="K21" i="24"/>
  <c r="L21" i="24"/>
  <c r="M21" i="24"/>
  <c r="N21" i="24"/>
  <c r="O21" i="24"/>
  <c r="P21" i="24"/>
  <c r="Q21" i="24"/>
  <c r="R21" i="24"/>
  <c r="S21" i="24"/>
  <c r="T21" i="24"/>
  <c r="U21" i="24"/>
  <c r="H20" i="24"/>
  <c r="I20" i="24"/>
  <c r="J20" i="24"/>
  <c r="K20" i="24"/>
  <c r="L20" i="24"/>
  <c r="M20" i="24"/>
  <c r="N20" i="24"/>
  <c r="O20" i="24"/>
  <c r="P20" i="24"/>
  <c r="Q20" i="24"/>
  <c r="R20" i="24"/>
  <c r="S20" i="24"/>
  <c r="T20" i="24"/>
  <c r="U20" i="24"/>
  <c r="G20" i="24"/>
  <c r="G64" i="23"/>
  <c r="H64" i="23"/>
  <c r="I64" i="23"/>
  <c r="J64" i="23"/>
  <c r="K64" i="23"/>
  <c r="L64" i="23"/>
  <c r="M64" i="23"/>
  <c r="N64" i="23"/>
  <c r="O64" i="23"/>
  <c r="P64" i="23"/>
  <c r="Q64" i="23"/>
  <c r="R64" i="23"/>
  <c r="S64" i="23"/>
  <c r="T64" i="23"/>
  <c r="G62" i="23"/>
  <c r="H62" i="23"/>
  <c r="I62" i="23"/>
  <c r="J62" i="23"/>
  <c r="K62" i="23"/>
  <c r="L62" i="23"/>
  <c r="M62" i="23"/>
  <c r="N62" i="23"/>
  <c r="O62" i="23"/>
  <c r="P62" i="23"/>
  <c r="Q62" i="23"/>
  <c r="R62" i="23"/>
  <c r="S62" i="23"/>
  <c r="T62" i="23"/>
  <c r="F62" i="23"/>
  <c r="L53" i="31"/>
  <c r="L55" i="31"/>
  <c r="M55" i="31"/>
  <c r="N55" i="31"/>
  <c r="O55" i="31"/>
  <c r="P55" i="31"/>
  <c r="Q55" i="31"/>
  <c r="R55" i="31"/>
  <c r="S55" i="31"/>
  <c r="T55" i="31"/>
  <c r="U55" i="31"/>
  <c r="V55" i="31"/>
  <c r="K55" i="31"/>
  <c r="I47" i="45"/>
  <c r="I51" i="45"/>
  <c r="I53" i="45"/>
  <c r="I55" i="45"/>
  <c r="I59" i="45"/>
  <c r="I47" i="44"/>
  <c r="I51" i="44"/>
  <c r="I53" i="44"/>
  <c r="I55" i="44"/>
  <c r="I59" i="44"/>
  <c r="I47" i="32"/>
  <c r="I51" i="32"/>
  <c r="I53" i="32"/>
  <c r="I55" i="32"/>
  <c r="I59" i="32"/>
  <c r="I47" i="31"/>
  <c r="I51" i="31"/>
  <c r="I53" i="31"/>
  <c r="I55" i="31"/>
  <c r="I59" i="31"/>
  <c r="I46" i="30"/>
  <c r="I50" i="30"/>
  <c r="I52" i="30"/>
  <c r="I54" i="30"/>
  <c r="I58" i="30"/>
  <c r="H47" i="45"/>
  <c r="H51" i="45"/>
  <c r="H53" i="45"/>
  <c r="H55" i="45"/>
  <c r="H59" i="45"/>
  <c r="H47" i="44"/>
  <c r="H51" i="44"/>
  <c r="H53" i="44"/>
  <c r="H55" i="44"/>
  <c r="H59" i="44"/>
  <c r="H47" i="32"/>
  <c r="H51" i="32"/>
  <c r="H53" i="32"/>
  <c r="H55" i="32"/>
  <c r="H59" i="32"/>
  <c r="H47" i="31"/>
  <c r="H51" i="31"/>
  <c r="H53" i="31"/>
  <c r="H55" i="31"/>
  <c r="H59" i="31"/>
  <c r="H46" i="30"/>
  <c r="H50" i="30"/>
  <c r="H52" i="30"/>
  <c r="H54" i="30"/>
  <c r="H58" i="30"/>
  <c r="G47" i="45"/>
  <c r="G51" i="45"/>
  <c r="G53" i="45"/>
  <c r="G55" i="45"/>
  <c r="G59" i="45"/>
  <c r="G47" i="44"/>
  <c r="G51" i="44"/>
  <c r="G53" i="44"/>
  <c r="G55" i="44"/>
  <c r="G59" i="44"/>
  <c r="G47" i="32"/>
  <c r="G51" i="32"/>
  <c r="G53" i="32"/>
  <c r="G55" i="32"/>
  <c r="G59" i="32"/>
  <c r="G47" i="31"/>
  <c r="G51" i="31"/>
  <c r="G53" i="31"/>
  <c r="G55" i="31"/>
  <c r="G59" i="31"/>
  <c r="G46" i="30"/>
  <c r="G50" i="30"/>
  <c r="G52" i="30"/>
  <c r="G54" i="30"/>
  <c r="G58" i="30"/>
  <c r="F47" i="45"/>
  <c r="F51" i="45"/>
  <c r="F53" i="45"/>
  <c r="F55" i="45"/>
  <c r="F59" i="45"/>
  <c r="F47" i="44"/>
  <c r="F51" i="44"/>
  <c r="F53" i="44"/>
  <c r="F55" i="44"/>
  <c r="F59" i="44"/>
  <c r="F47" i="32"/>
  <c r="F51" i="32"/>
  <c r="F53" i="32"/>
  <c r="F55" i="32"/>
  <c r="F59" i="32"/>
  <c r="F47" i="31"/>
  <c r="F51" i="31"/>
  <c r="F53" i="31"/>
  <c r="F55" i="31"/>
  <c r="F59" i="31"/>
  <c r="F46" i="30"/>
  <c r="F50" i="30"/>
  <c r="F52" i="30"/>
  <c r="F54" i="30"/>
  <c r="F58" i="30"/>
  <c r="E47" i="45"/>
  <c r="E51" i="45"/>
  <c r="E53" i="45"/>
  <c r="E55" i="45"/>
  <c r="E59" i="45"/>
  <c r="E47" i="44"/>
  <c r="E51" i="44"/>
  <c r="E53" i="44"/>
  <c r="E55" i="44"/>
  <c r="E59" i="44"/>
  <c r="E47" i="32"/>
  <c r="E51" i="32"/>
  <c r="E53" i="32"/>
  <c r="E55" i="32"/>
  <c r="E59" i="32"/>
  <c r="E47" i="31"/>
  <c r="E51" i="31"/>
  <c r="E53" i="31"/>
  <c r="E55" i="31"/>
  <c r="E59" i="31"/>
  <c r="E46" i="30"/>
  <c r="E50" i="30"/>
  <c r="E52" i="30"/>
  <c r="E54" i="30"/>
  <c r="E58" i="30"/>
  <c r="I7" i="45"/>
  <c r="I9" i="45"/>
  <c r="I10" i="45"/>
  <c r="I11" i="45"/>
  <c r="I12" i="45"/>
  <c r="I13" i="45"/>
  <c r="I14" i="45"/>
  <c r="I15" i="45"/>
  <c r="I7" i="44"/>
  <c r="I9" i="44"/>
  <c r="I10" i="44"/>
  <c r="I11" i="44"/>
  <c r="I12" i="44"/>
  <c r="I13" i="44"/>
  <c r="I14" i="44"/>
  <c r="I15" i="44"/>
  <c r="I7" i="32"/>
  <c r="I9" i="32"/>
  <c r="I10" i="32"/>
  <c r="I11" i="32"/>
  <c r="I12" i="32"/>
  <c r="I13" i="32"/>
  <c r="I14" i="32"/>
  <c r="I15" i="32"/>
  <c r="I7" i="31"/>
  <c r="I9" i="31"/>
  <c r="I10" i="31"/>
  <c r="I11" i="31"/>
  <c r="I12" i="31"/>
  <c r="I13" i="31"/>
  <c r="I14" i="31"/>
  <c r="I15" i="31"/>
  <c r="I7" i="30"/>
  <c r="I9" i="30"/>
  <c r="I10" i="30"/>
  <c r="I11" i="30"/>
  <c r="I12" i="30"/>
  <c r="I13" i="30"/>
  <c r="I14" i="30"/>
  <c r="I15" i="30"/>
  <c r="H9" i="45"/>
  <c r="H10" i="45"/>
  <c r="H11" i="45"/>
  <c r="H13" i="45"/>
  <c r="H14" i="45"/>
  <c r="H9" i="44"/>
  <c r="H10" i="44"/>
  <c r="H11" i="44"/>
  <c r="H13" i="44"/>
  <c r="H14" i="44"/>
  <c r="H9" i="32"/>
  <c r="H10" i="32"/>
  <c r="H11" i="32"/>
  <c r="H13" i="32"/>
  <c r="H14" i="32"/>
  <c r="H9" i="31"/>
  <c r="H10" i="31"/>
  <c r="H11" i="31"/>
  <c r="H13" i="31"/>
  <c r="H14" i="31"/>
  <c r="H9" i="30"/>
  <c r="H10" i="30"/>
  <c r="H11" i="30"/>
  <c r="H13" i="30"/>
  <c r="H14" i="30"/>
  <c r="G9" i="45"/>
  <c r="G10" i="45"/>
  <c r="G11" i="45"/>
  <c r="G13" i="45"/>
  <c r="G14" i="45"/>
  <c r="G9" i="44"/>
  <c r="G10" i="44"/>
  <c r="G11" i="44"/>
  <c r="G13" i="44"/>
  <c r="G14" i="44"/>
  <c r="G9" i="32"/>
  <c r="G10" i="32"/>
  <c r="G11" i="32"/>
  <c r="G13" i="32"/>
  <c r="G14" i="32"/>
  <c r="G9" i="31"/>
  <c r="G10" i="31"/>
  <c r="G11" i="31"/>
  <c r="G13" i="31"/>
  <c r="G14" i="31"/>
  <c r="G9" i="30"/>
  <c r="G10" i="30"/>
  <c r="G11" i="30"/>
  <c r="G13" i="30"/>
  <c r="G14" i="30"/>
  <c r="F7" i="45"/>
  <c r="F9" i="45"/>
  <c r="F10" i="45"/>
  <c r="F11" i="45"/>
  <c r="F12" i="45"/>
  <c r="F13" i="45"/>
  <c r="F14" i="45"/>
  <c r="F15" i="45"/>
  <c r="F7" i="44"/>
  <c r="F9" i="44"/>
  <c r="F10" i="44"/>
  <c r="F11" i="44"/>
  <c r="F12" i="44"/>
  <c r="F13" i="44"/>
  <c r="F14" i="44"/>
  <c r="F15" i="44"/>
  <c r="F7" i="32"/>
  <c r="F9" i="32"/>
  <c r="F10" i="32"/>
  <c r="F11" i="32"/>
  <c r="F12" i="32"/>
  <c r="F13" i="32"/>
  <c r="F14" i="32"/>
  <c r="F15" i="32"/>
  <c r="F7" i="31"/>
  <c r="F9" i="31"/>
  <c r="F10" i="31"/>
  <c r="F11" i="31"/>
  <c r="F12" i="31"/>
  <c r="F13" i="31"/>
  <c r="F14" i="31"/>
  <c r="F15" i="31"/>
  <c r="F7" i="30"/>
  <c r="F9" i="30"/>
  <c r="F10" i="30"/>
  <c r="F11" i="30"/>
  <c r="F12" i="30"/>
  <c r="F13" i="30"/>
  <c r="F14" i="30"/>
  <c r="F15" i="30"/>
  <c r="E7" i="45"/>
  <c r="E9" i="45"/>
  <c r="E10" i="45"/>
  <c r="E11" i="45"/>
  <c r="E12" i="45"/>
  <c r="E13" i="45"/>
  <c r="E14" i="45"/>
  <c r="E15" i="45"/>
  <c r="E7" i="44"/>
  <c r="E9" i="44"/>
  <c r="E10" i="44"/>
  <c r="E11" i="44"/>
  <c r="E12" i="44"/>
  <c r="E13" i="44"/>
  <c r="E14" i="44"/>
  <c r="E15" i="44"/>
  <c r="E7" i="32"/>
  <c r="E9" i="32"/>
  <c r="E10" i="32"/>
  <c r="E11" i="32"/>
  <c r="E12" i="32"/>
  <c r="E13" i="32"/>
  <c r="E14" i="32"/>
  <c r="E15" i="32"/>
  <c r="E7" i="31"/>
  <c r="E9" i="31"/>
  <c r="E10" i="31"/>
  <c r="E11" i="31"/>
  <c r="E12" i="31"/>
  <c r="E13" i="31"/>
  <c r="E14" i="31"/>
  <c r="E15" i="31"/>
  <c r="E7" i="30"/>
  <c r="E9" i="30"/>
  <c r="E10" i="30"/>
  <c r="E11" i="30"/>
  <c r="E12" i="30"/>
  <c r="E13" i="30"/>
  <c r="E14" i="30"/>
  <c r="E15" i="30"/>
  <c r="I89" i="45"/>
  <c r="I92" i="45"/>
  <c r="I96" i="45"/>
  <c r="I97" i="45"/>
  <c r="I89" i="44"/>
  <c r="I92" i="44"/>
  <c r="I96" i="44"/>
  <c r="I97" i="44"/>
  <c r="I89" i="32"/>
  <c r="I92" i="32"/>
  <c r="I96" i="32"/>
  <c r="I97" i="32"/>
  <c r="I89" i="31"/>
  <c r="I92" i="31"/>
  <c r="I96" i="31"/>
  <c r="I97" i="31"/>
  <c r="I87" i="30"/>
  <c r="I90" i="30"/>
  <c r="I94" i="30"/>
  <c r="I95" i="30"/>
  <c r="H89" i="45"/>
  <c r="H92" i="45"/>
  <c r="H96" i="45"/>
  <c r="H97" i="45"/>
  <c r="H89" i="44"/>
  <c r="H92" i="44"/>
  <c r="H96" i="44"/>
  <c r="H97" i="44"/>
  <c r="H89" i="32"/>
  <c r="H92" i="32"/>
  <c r="H96" i="32"/>
  <c r="H97" i="32"/>
  <c r="H89" i="31"/>
  <c r="H92" i="31"/>
  <c r="H96" i="31"/>
  <c r="H97" i="31"/>
  <c r="H87" i="30"/>
  <c r="H90" i="30"/>
  <c r="H94" i="30"/>
  <c r="H95" i="30"/>
  <c r="G89" i="45"/>
  <c r="G92" i="45"/>
  <c r="G96" i="45"/>
  <c r="G97" i="45"/>
  <c r="G89" i="44"/>
  <c r="G92" i="44"/>
  <c r="G96" i="44"/>
  <c r="G97" i="44"/>
  <c r="G89" i="32"/>
  <c r="G92" i="32"/>
  <c r="G96" i="32"/>
  <c r="G97" i="32"/>
  <c r="G89" i="31"/>
  <c r="G92" i="31"/>
  <c r="G96" i="31"/>
  <c r="G97" i="31"/>
  <c r="G87" i="30"/>
  <c r="G90" i="30"/>
  <c r="G94" i="30"/>
  <c r="G95" i="30"/>
  <c r="F89" i="45"/>
  <c r="F92" i="45"/>
  <c r="F96" i="45"/>
  <c r="F97" i="45"/>
  <c r="F89" i="44"/>
  <c r="F92" i="44"/>
  <c r="F96" i="44"/>
  <c r="F97" i="44"/>
  <c r="F89" i="32"/>
  <c r="F92" i="32"/>
  <c r="F96" i="32"/>
  <c r="F97" i="32"/>
  <c r="F89" i="31"/>
  <c r="F92" i="31"/>
  <c r="F96" i="31"/>
  <c r="F97" i="31"/>
  <c r="F87" i="30"/>
  <c r="F90" i="30"/>
  <c r="F94" i="30"/>
  <c r="F95" i="30"/>
  <c r="E89" i="45"/>
  <c r="E92" i="45"/>
  <c r="E96" i="45"/>
  <c r="E97" i="45"/>
  <c r="E89" i="44"/>
  <c r="E92" i="44"/>
  <c r="E96" i="44"/>
  <c r="E97" i="44"/>
  <c r="E89" i="32"/>
  <c r="E92" i="32"/>
  <c r="E96" i="32"/>
  <c r="E97" i="32"/>
  <c r="E89" i="31"/>
  <c r="E92" i="31"/>
  <c r="E96" i="31"/>
  <c r="E97" i="31"/>
  <c r="E87" i="30"/>
  <c r="E90" i="30"/>
  <c r="E94" i="30"/>
  <c r="E95" i="30"/>
  <c r="G20" i="48"/>
  <c r="H20" i="48"/>
  <c r="I20" i="48"/>
  <c r="J20" i="48"/>
  <c r="K20" i="48"/>
  <c r="L20" i="48"/>
  <c r="M20" i="48"/>
  <c r="N20" i="48"/>
  <c r="O20" i="48"/>
  <c r="P20" i="48"/>
  <c r="Q20" i="48"/>
  <c r="R20" i="48"/>
  <c r="S20" i="48"/>
  <c r="G21" i="48"/>
  <c r="H21" i="48"/>
  <c r="I21" i="48"/>
  <c r="J21" i="48"/>
  <c r="K21" i="48"/>
  <c r="L21" i="48"/>
  <c r="M21" i="48"/>
  <c r="N21" i="48"/>
  <c r="O21" i="48"/>
  <c r="P21" i="48"/>
  <c r="Q21" i="48"/>
  <c r="R21" i="48"/>
  <c r="S21" i="48"/>
  <c r="G22" i="48"/>
  <c r="H22" i="48"/>
  <c r="I22" i="48"/>
  <c r="J22" i="48"/>
  <c r="K22" i="48"/>
  <c r="L22" i="48"/>
  <c r="M22" i="48"/>
  <c r="N22" i="48"/>
  <c r="O22" i="48"/>
  <c r="P22" i="48"/>
  <c r="Q22" i="48"/>
  <c r="R22" i="48"/>
  <c r="S22" i="48"/>
  <c r="H19" i="48"/>
  <c r="I19" i="48"/>
  <c r="J19" i="48"/>
  <c r="K19" i="48"/>
  <c r="L19" i="48"/>
  <c r="M19" i="48"/>
  <c r="N19" i="48"/>
  <c r="O19" i="48"/>
  <c r="P19" i="48"/>
  <c r="Q19" i="48"/>
  <c r="R19" i="48"/>
  <c r="S19" i="48"/>
  <c r="G19" i="48"/>
  <c r="J34" i="11"/>
  <c r="K34" i="11"/>
  <c r="L34" i="11"/>
  <c r="M34" i="11"/>
  <c r="N34" i="11"/>
  <c r="O34" i="11"/>
  <c r="P34" i="11"/>
  <c r="Q34" i="11"/>
  <c r="J35" i="11"/>
  <c r="K35" i="11"/>
  <c r="L35" i="11"/>
  <c r="M35" i="11"/>
  <c r="N35" i="11"/>
  <c r="O35" i="11"/>
  <c r="P35" i="11"/>
  <c r="Q35" i="11"/>
  <c r="J36" i="11"/>
  <c r="K36" i="11"/>
  <c r="L36" i="11"/>
  <c r="M36" i="11"/>
  <c r="N36" i="11"/>
  <c r="O36" i="11"/>
  <c r="P36" i="11"/>
  <c r="Q36" i="11"/>
  <c r="J37" i="11"/>
  <c r="K37" i="11"/>
  <c r="L37" i="11"/>
  <c r="M37" i="11"/>
  <c r="N37" i="11"/>
  <c r="O37" i="11"/>
  <c r="P37" i="11"/>
  <c r="Q37" i="11"/>
  <c r="J38" i="11"/>
  <c r="K38" i="11"/>
  <c r="L38" i="11"/>
  <c r="M38" i="11"/>
  <c r="N38" i="11"/>
  <c r="O38" i="11"/>
  <c r="P38" i="11"/>
  <c r="Q38" i="11"/>
  <c r="J39" i="11"/>
  <c r="K39" i="11"/>
  <c r="L39" i="11"/>
  <c r="M39" i="11"/>
  <c r="N39" i="11"/>
  <c r="O39" i="11"/>
  <c r="P39" i="11"/>
  <c r="Q39" i="11"/>
  <c r="J40" i="11"/>
  <c r="K40" i="11"/>
  <c r="L40" i="11"/>
  <c r="M40" i="11"/>
  <c r="N40" i="11"/>
  <c r="O40" i="11"/>
  <c r="P40" i="11"/>
  <c r="Q40" i="11"/>
  <c r="H34" i="11"/>
  <c r="H35" i="11"/>
  <c r="H36" i="11"/>
  <c r="H37" i="11"/>
  <c r="H38" i="11"/>
  <c r="H39" i="11"/>
  <c r="H40" i="11"/>
  <c r="I34" i="11"/>
  <c r="I35" i="11"/>
  <c r="I36" i="11"/>
  <c r="I37" i="11"/>
  <c r="I38" i="11"/>
  <c r="I39" i="11"/>
  <c r="I40" i="11"/>
  <c r="S35" i="33" l="1"/>
  <c r="G26" i="33"/>
  <c r="H26" i="33"/>
  <c r="I26" i="33"/>
  <c r="G27" i="33"/>
  <c r="H27" i="33"/>
  <c r="I27" i="33"/>
  <c r="G28" i="33"/>
  <c r="H28" i="33"/>
  <c r="I28" i="33"/>
  <c r="G29" i="33"/>
  <c r="H29" i="33"/>
  <c r="I29" i="33"/>
  <c r="G30" i="33"/>
  <c r="H30" i="33"/>
  <c r="I30" i="33"/>
  <c r="G31" i="33"/>
  <c r="H31" i="33"/>
  <c r="I31" i="33"/>
  <c r="G32" i="33"/>
  <c r="H32" i="33"/>
  <c r="I32" i="33"/>
  <c r="G33" i="33"/>
  <c r="H33" i="33"/>
  <c r="I33" i="33"/>
  <c r="G34" i="33"/>
  <c r="H34" i="33"/>
  <c r="I34" i="33"/>
  <c r="G35" i="33"/>
  <c r="H35" i="33"/>
  <c r="I35" i="33"/>
  <c r="G36" i="33"/>
  <c r="H36" i="33"/>
  <c r="I36" i="33"/>
  <c r="G37" i="33"/>
  <c r="H37" i="33"/>
  <c r="I37" i="33"/>
  <c r="G38" i="33"/>
  <c r="H38" i="33"/>
  <c r="I38" i="33"/>
  <c r="G39" i="33"/>
  <c r="H39" i="33"/>
  <c r="I39" i="33"/>
  <c r="G40" i="33"/>
  <c r="H40" i="33"/>
  <c r="I40" i="33"/>
  <c r="G41" i="33"/>
  <c r="H41" i="33"/>
  <c r="I41" i="33"/>
  <c r="G42" i="33"/>
  <c r="H42" i="33"/>
  <c r="I42" i="33"/>
  <c r="G43" i="33"/>
  <c r="H43" i="33"/>
  <c r="I43" i="33"/>
  <c r="G44" i="33"/>
  <c r="H44" i="33"/>
  <c r="I44" i="33"/>
  <c r="S26" i="33"/>
  <c r="T26" i="33"/>
  <c r="U26" i="33"/>
  <c r="S27" i="33"/>
  <c r="T27" i="33"/>
  <c r="U27" i="33"/>
  <c r="S28" i="33"/>
  <c r="T28" i="33"/>
  <c r="U28" i="33"/>
  <c r="S29" i="33"/>
  <c r="T29" i="33"/>
  <c r="U29" i="33"/>
  <c r="S30" i="33"/>
  <c r="T30" i="33"/>
  <c r="U30" i="33"/>
  <c r="S31" i="33"/>
  <c r="T31" i="33"/>
  <c r="U31" i="33"/>
  <c r="S32" i="33"/>
  <c r="T32" i="33"/>
  <c r="U32" i="33"/>
  <c r="S33" i="33"/>
  <c r="T33" i="33"/>
  <c r="U33" i="33"/>
  <c r="S34" i="33"/>
  <c r="T34" i="33"/>
  <c r="U34" i="33"/>
  <c r="T35" i="33"/>
  <c r="S36" i="33"/>
  <c r="T36" i="33"/>
  <c r="U36" i="33"/>
  <c r="S37" i="33"/>
  <c r="T37" i="33"/>
  <c r="U37" i="33"/>
  <c r="S38" i="33"/>
  <c r="T38" i="33"/>
  <c r="U38" i="33"/>
  <c r="S39" i="33"/>
  <c r="T39" i="33"/>
  <c r="U39" i="33"/>
  <c r="S40" i="33"/>
  <c r="T40" i="33"/>
  <c r="U40" i="33"/>
  <c r="S41" i="33"/>
  <c r="T41" i="33"/>
  <c r="U41" i="33"/>
  <c r="S42" i="33"/>
  <c r="T42" i="33"/>
  <c r="U42" i="33"/>
  <c r="S43" i="33"/>
  <c r="T43" i="33"/>
  <c r="U43" i="33"/>
  <c r="S26" i="38"/>
  <c r="T26" i="38"/>
  <c r="U26" i="38"/>
  <c r="S27" i="38"/>
  <c r="T27" i="38"/>
  <c r="U27" i="38"/>
  <c r="S28" i="38"/>
  <c r="T28" i="38"/>
  <c r="U28" i="38"/>
  <c r="S29" i="38"/>
  <c r="T29" i="38"/>
  <c r="U29" i="38"/>
  <c r="S30" i="38"/>
  <c r="T30" i="38"/>
  <c r="U30" i="38"/>
  <c r="S31" i="38"/>
  <c r="T31" i="38"/>
  <c r="U31" i="38"/>
  <c r="S32" i="38"/>
  <c r="T32" i="38"/>
  <c r="U32" i="38"/>
  <c r="S33" i="38"/>
  <c r="T33" i="38"/>
  <c r="U33" i="38"/>
  <c r="S34" i="38"/>
  <c r="T34" i="38"/>
  <c r="U34" i="38"/>
  <c r="S36" i="38"/>
  <c r="T36" i="38"/>
  <c r="U36" i="38"/>
  <c r="S37" i="38"/>
  <c r="T37" i="38"/>
  <c r="U37" i="38"/>
  <c r="S38" i="38"/>
  <c r="T38" i="38"/>
  <c r="U38" i="38"/>
  <c r="S39" i="38"/>
  <c r="T39" i="38"/>
  <c r="U39" i="38"/>
  <c r="S40" i="38"/>
  <c r="T40" i="38"/>
  <c r="U40" i="38"/>
  <c r="S41" i="38"/>
  <c r="T41" i="38"/>
  <c r="U41" i="38"/>
  <c r="S42" i="38"/>
  <c r="T42" i="38"/>
  <c r="U42" i="38"/>
  <c r="S43" i="38"/>
  <c r="T43" i="38"/>
  <c r="U43" i="38"/>
  <c r="S26" i="37"/>
  <c r="T26" i="37"/>
  <c r="U26" i="37"/>
  <c r="S27" i="37"/>
  <c r="T27" i="37"/>
  <c r="U27" i="37"/>
  <c r="S28" i="37"/>
  <c r="T28" i="37"/>
  <c r="U28" i="37"/>
  <c r="S29" i="37"/>
  <c r="T29" i="37"/>
  <c r="U29" i="37"/>
  <c r="S30" i="37"/>
  <c r="T30" i="37"/>
  <c r="U30" i="37"/>
  <c r="S31" i="37"/>
  <c r="T31" i="37"/>
  <c r="U31" i="37"/>
  <c r="S32" i="37"/>
  <c r="T32" i="37"/>
  <c r="U32" i="37"/>
  <c r="S33" i="37"/>
  <c r="T33" i="37"/>
  <c r="U33" i="37"/>
  <c r="S34" i="37"/>
  <c r="T34" i="37"/>
  <c r="U34" i="37"/>
  <c r="S36" i="37"/>
  <c r="T36" i="37"/>
  <c r="U36" i="37"/>
  <c r="S37" i="37"/>
  <c r="T37" i="37"/>
  <c r="U37" i="37"/>
  <c r="S38" i="37"/>
  <c r="T38" i="37"/>
  <c r="U38" i="37"/>
  <c r="S39" i="37"/>
  <c r="T39" i="37"/>
  <c r="U39" i="37"/>
  <c r="S40" i="37"/>
  <c r="T40" i="37"/>
  <c r="U40" i="37"/>
  <c r="S41" i="37"/>
  <c r="T41" i="37"/>
  <c r="U41" i="37"/>
  <c r="S42" i="37"/>
  <c r="T42" i="37"/>
  <c r="U42" i="37"/>
  <c r="S43" i="37"/>
  <c r="T43" i="37"/>
  <c r="U43" i="37"/>
  <c r="G19" i="33"/>
  <c r="H19" i="33"/>
  <c r="I19" i="33"/>
  <c r="G25" i="40"/>
  <c r="H25" i="40"/>
  <c r="I25" i="40"/>
  <c r="J25" i="40"/>
  <c r="K25" i="40"/>
  <c r="L25" i="40"/>
  <c r="M25" i="40"/>
  <c r="N25" i="40"/>
  <c r="O25" i="40"/>
  <c r="P25" i="40"/>
  <c r="Q25" i="40"/>
  <c r="R25" i="40"/>
  <c r="S25" i="40"/>
  <c r="T25" i="40"/>
  <c r="P21" i="52"/>
  <c r="P12" i="52"/>
  <c r="P9" i="52"/>
  <c r="P15" i="52" s="1"/>
  <c r="P18" i="52" s="1"/>
  <c r="O21" i="52"/>
  <c r="O12" i="52"/>
  <c r="O9" i="52"/>
  <c r="N21" i="52"/>
  <c r="N12" i="52"/>
  <c r="N9" i="52"/>
  <c r="N15" i="52" s="1"/>
  <c r="N18" i="52" s="1"/>
  <c r="M21" i="52"/>
  <c r="M12" i="52"/>
  <c r="M9" i="52"/>
  <c r="L21" i="52"/>
  <c r="L12" i="52"/>
  <c r="L9" i="52"/>
  <c r="K21" i="52"/>
  <c r="K12" i="52"/>
  <c r="K9" i="52"/>
  <c r="J21" i="52"/>
  <c r="J12" i="52"/>
  <c r="J9" i="52"/>
  <c r="J15" i="52" s="1"/>
  <c r="J18" i="52" s="1"/>
  <c r="I21" i="52"/>
  <c r="I12" i="52"/>
  <c r="I9" i="52"/>
  <c r="I15" i="52" s="1"/>
  <c r="I18" i="52" s="1"/>
  <c r="H21" i="52"/>
  <c r="H12" i="52"/>
  <c r="H9" i="52"/>
  <c r="G21" i="52"/>
  <c r="G12" i="52"/>
  <c r="G9" i="52"/>
  <c r="F21" i="52"/>
  <c r="F12" i="52"/>
  <c r="F9" i="52"/>
  <c r="F15" i="52" s="1"/>
  <c r="F18" i="52" s="1"/>
  <c r="J55" i="52"/>
  <c r="I55" i="52"/>
  <c r="H55" i="52"/>
  <c r="G55" i="52"/>
  <c r="F55" i="52"/>
  <c r="J50" i="52"/>
  <c r="I50" i="52"/>
  <c r="H50" i="52"/>
  <c r="G50" i="52"/>
  <c r="J49" i="52"/>
  <c r="I49" i="52"/>
  <c r="H49" i="52"/>
  <c r="G49" i="52"/>
  <c r="J48" i="52"/>
  <c r="I48" i="52"/>
  <c r="H48" i="52"/>
  <c r="G48" i="52"/>
  <c r="F48" i="52"/>
  <c r="J45" i="52"/>
  <c r="I45" i="52"/>
  <c r="H45" i="52"/>
  <c r="G45" i="52"/>
  <c r="F45" i="52"/>
  <c r="Q40" i="52"/>
  <c r="P40" i="52"/>
  <c r="O40" i="52"/>
  <c r="N40" i="52"/>
  <c r="M40" i="52"/>
  <c r="L40" i="52"/>
  <c r="K40" i="52"/>
  <c r="J40" i="52"/>
  <c r="I40" i="52"/>
  <c r="H40" i="52"/>
  <c r="G40" i="52"/>
  <c r="F40" i="52"/>
  <c r="Q21" i="52"/>
  <c r="Q12" i="52"/>
  <c r="Q9" i="52"/>
  <c r="Q15" i="52" s="1"/>
  <c r="Q18" i="52" s="1"/>
  <c r="P21" i="51"/>
  <c r="P12" i="51"/>
  <c r="P9" i="51"/>
  <c r="O21" i="51"/>
  <c r="O12" i="51"/>
  <c r="O9" i="51"/>
  <c r="N21" i="51"/>
  <c r="N12" i="51"/>
  <c r="N9" i="51"/>
  <c r="M21" i="51"/>
  <c r="M12" i="51"/>
  <c r="M9" i="51"/>
  <c r="L21" i="51"/>
  <c r="L12" i="51"/>
  <c r="L15" i="51" s="1"/>
  <c r="L18" i="51" s="1"/>
  <c r="L9" i="51"/>
  <c r="K21" i="51"/>
  <c r="K12" i="51"/>
  <c r="K9" i="51"/>
  <c r="J21" i="51"/>
  <c r="J12" i="51"/>
  <c r="J9" i="51"/>
  <c r="I21" i="51"/>
  <c r="I12" i="51"/>
  <c r="I9" i="51"/>
  <c r="H21" i="51"/>
  <c r="H12" i="51"/>
  <c r="H9" i="51"/>
  <c r="G21" i="51"/>
  <c r="G12" i="51"/>
  <c r="G9" i="51"/>
  <c r="F21" i="51"/>
  <c r="F12" i="51"/>
  <c r="F9" i="51"/>
  <c r="J55" i="51"/>
  <c r="I55" i="51"/>
  <c r="H55" i="51"/>
  <c r="G55" i="51"/>
  <c r="F55" i="51"/>
  <c r="J50" i="51"/>
  <c r="I50" i="51"/>
  <c r="H50" i="51"/>
  <c r="G50" i="51"/>
  <c r="J49" i="51"/>
  <c r="I49" i="51"/>
  <c r="H49" i="51"/>
  <c r="G49" i="51"/>
  <c r="J48" i="51"/>
  <c r="I48" i="51"/>
  <c r="H48" i="51"/>
  <c r="G48" i="51"/>
  <c r="F48" i="51"/>
  <c r="J45" i="51"/>
  <c r="I45" i="51"/>
  <c r="H45" i="51"/>
  <c r="G45" i="51"/>
  <c r="F45" i="51"/>
  <c r="Q40" i="51"/>
  <c r="P40" i="51"/>
  <c r="O40" i="51"/>
  <c r="N40" i="51"/>
  <c r="M40" i="51"/>
  <c r="L40" i="51"/>
  <c r="K40" i="51"/>
  <c r="J40" i="51"/>
  <c r="I40" i="51"/>
  <c r="H40" i="51"/>
  <c r="G40" i="51"/>
  <c r="F40" i="51"/>
  <c r="Q21" i="51"/>
  <c r="Q12" i="51"/>
  <c r="Q9" i="51"/>
  <c r="J55" i="50"/>
  <c r="I55" i="50"/>
  <c r="H55" i="50"/>
  <c r="G55" i="50"/>
  <c r="F55" i="50"/>
  <c r="J50" i="50"/>
  <c r="I50" i="50"/>
  <c r="H50" i="50"/>
  <c r="G50" i="50"/>
  <c r="J49" i="50"/>
  <c r="I49" i="50"/>
  <c r="H49" i="50"/>
  <c r="G49" i="50"/>
  <c r="J48" i="50"/>
  <c r="I48" i="50"/>
  <c r="H48" i="50"/>
  <c r="G48" i="50"/>
  <c r="F48" i="50"/>
  <c r="J45" i="50"/>
  <c r="I45" i="50"/>
  <c r="H45" i="50"/>
  <c r="G45" i="50"/>
  <c r="F45" i="50"/>
  <c r="Q40" i="50"/>
  <c r="P40" i="50"/>
  <c r="O40" i="50"/>
  <c r="N40" i="50"/>
  <c r="M40" i="50"/>
  <c r="L40" i="50"/>
  <c r="K40" i="50"/>
  <c r="J40" i="50"/>
  <c r="I40" i="50"/>
  <c r="H40" i="50"/>
  <c r="G40" i="50"/>
  <c r="F40" i="50"/>
  <c r="Q21" i="50"/>
  <c r="P21" i="50"/>
  <c r="O21" i="50"/>
  <c r="N21" i="50"/>
  <c r="M21" i="50"/>
  <c r="L21" i="50"/>
  <c r="K21" i="50"/>
  <c r="J21" i="50"/>
  <c r="I21" i="50"/>
  <c r="H21" i="50"/>
  <c r="G21" i="50"/>
  <c r="F21" i="50"/>
  <c r="Q12" i="50"/>
  <c r="P12" i="50"/>
  <c r="O12" i="50"/>
  <c r="N12" i="50"/>
  <c r="M12" i="50"/>
  <c r="L12" i="50"/>
  <c r="K12" i="50"/>
  <c r="J12" i="50"/>
  <c r="I12" i="50"/>
  <c r="H12" i="50"/>
  <c r="G12" i="50"/>
  <c r="F12" i="50"/>
  <c r="Q9" i="50"/>
  <c r="P9" i="50"/>
  <c r="O9" i="50"/>
  <c r="N9" i="50"/>
  <c r="M9" i="50"/>
  <c r="M15" i="50" s="1"/>
  <c r="M18" i="50" s="1"/>
  <c r="L9" i="50"/>
  <c r="K9" i="50"/>
  <c r="J9" i="50"/>
  <c r="I9" i="50"/>
  <c r="H9" i="50"/>
  <c r="G9" i="50"/>
  <c r="F9" i="50"/>
  <c r="F15" i="50" s="1"/>
  <c r="F18" i="50" s="1"/>
  <c r="Q40" i="49"/>
  <c r="Q21" i="49"/>
  <c r="Q12" i="49"/>
  <c r="Q9" i="49"/>
  <c r="P40" i="49"/>
  <c r="P21" i="49"/>
  <c r="P12" i="49"/>
  <c r="P9" i="49"/>
  <c r="O40" i="49"/>
  <c r="O21" i="49"/>
  <c r="O12" i="49"/>
  <c r="O9" i="49"/>
  <c r="N40" i="49"/>
  <c r="N21" i="49"/>
  <c r="N12" i="49"/>
  <c r="N9" i="49"/>
  <c r="M40" i="49"/>
  <c r="M21" i="49"/>
  <c r="M12" i="49"/>
  <c r="M9" i="49"/>
  <c r="L40" i="49"/>
  <c r="L21" i="49"/>
  <c r="L12" i="49"/>
  <c r="L9" i="49"/>
  <c r="K40" i="49"/>
  <c r="K21" i="49"/>
  <c r="K12" i="49"/>
  <c r="K9" i="49"/>
  <c r="J40" i="49"/>
  <c r="J21" i="49"/>
  <c r="J12" i="49"/>
  <c r="J9" i="49"/>
  <c r="I40" i="49"/>
  <c r="I21" i="49"/>
  <c r="I12" i="49"/>
  <c r="I9" i="49"/>
  <c r="H40" i="49"/>
  <c r="H21" i="49"/>
  <c r="H12" i="49"/>
  <c r="H9" i="49"/>
  <c r="G40" i="49"/>
  <c r="G21" i="49"/>
  <c r="G12" i="49"/>
  <c r="G9" i="49"/>
  <c r="K55" i="49"/>
  <c r="J55" i="49"/>
  <c r="I55" i="49"/>
  <c r="H55" i="49"/>
  <c r="G55" i="49"/>
  <c r="K50" i="49"/>
  <c r="J50" i="49"/>
  <c r="I50" i="49"/>
  <c r="H50" i="49"/>
  <c r="K49" i="49"/>
  <c r="J49" i="49"/>
  <c r="I49" i="49"/>
  <c r="H49" i="49"/>
  <c r="K48" i="49"/>
  <c r="J48" i="49"/>
  <c r="I48" i="49"/>
  <c r="H48" i="49"/>
  <c r="G48" i="49"/>
  <c r="K45" i="49"/>
  <c r="J45" i="49"/>
  <c r="I45" i="49"/>
  <c r="H45" i="49"/>
  <c r="G45" i="49"/>
  <c r="R40" i="49"/>
  <c r="R21" i="49"/>
  <c r="R12" i="49"/>
  <c r="R9" i="49"/>
  <c r="R15" i="49" s="1"/>
  <c r="R18" i="49" s="1"/>
  <c r="Q40" i="1"/>
  <c r="Q21" i="1"/>
  <c r="Q12" i="1"/>
  <c r="Q9" i="1"/>
  <c r="P40" i="1"/>
  <c r="P21" i="1"/>
  <c r="P12" i="1"/>
  <c r="P9" i="1"/>
  <c r="P15" i="1" s="1"/>
  <c r="P18" i="1" s="1"/>
  <c r="O40" i="1"/>
  <c r="O21" i="1"/>
  <c r="O12" i="1"/>
  <c r="O9" i="1"/>
  <c r="N40" i="1"/>
  <c r="N21" i="1"/>
  <c r="N12" i="1"/>
  <c r="N9" i="1"/>
  <c r="M40" i="1"/>
  <c r="M21" i="1"/>
  <c r="M12" i="1"/>
  <c r="M9" i="1"/>
  <c r="L40" i="1"/>
  <c r="L21" i="1"/>
  <c r="L12" i="1"/>
  <c r="L9" i="1"/>
  <c r="K40" i="1"/>
  <c r="K21" i="1"/>
  <c r="K12" i="1"/>
  <c r="K9" i="1"/>
  <c r="J21" i="1"/>
  <c r="I21" i="1"/>
  <c r="H21" i="1"/>
  <c r="G21" i="1"/>
  <c r="J12" i="1"/>
  <c r="J9" i="1"/>
  <c r="I12" i="1"/>
  <c r="I9" i="1"/>
  <c r="H12" i="1"/>
  <c r="H9" i="1"/>
  <c r="G12" i="1"/>
  <c r="G9" i="1"/>
  <c r="F9" i="1"/>
  <c r="F12" i="1"/>
  <c r="O15" i="52" l="1"/>
  <c r="O18" i="52" s="1"/>
  <c r="O20" i="52" s="1"/>
  <c r="N15" i="51"/>
  <c r="N18" i="51" s="1"/>
  <c r="I15" i="51"/>
  <c r="I18" i="51" s="1"/>
  <c r="J15" i="51"/>
  <c r="J18" i="51" s="1"/>
  <c r="G15" i="50"/>
  <c r="G18" i="50" s="1"/>
  <c r="G20" i="50" s="1"/>
  <c r="O15" i="50"/>
  <c r="O18" i="50" s="1"/>
  <c r="H15" i="50"/>
  <c r="H18" i="50" s="1"/>
  <c r="H20" i="50" s="1"/>
  <c r="Q15" i="50"/>
  <c r="Q18" i="50" s="1"/>
  <c r="J15" i="50"/>
  <c r="J18" i="50" s="1"/>
  <c r="P15" i="50"/>
  <c r="P18" i="50" s="1"/>
  <c r="P22" i="50" s="1"/>
  <c r="G15" i="49"/>
  <c r="G18" i="49" s="1"/>
  <c r="G20" i="49" s="1"/>
  <c r="K15" i="49"/>
  <c r="K18" i="49" s="1"/>
  <c r="K22" i="49" s="1"/>
  <c r="M15" i="49"/>
  <c r="M18" i="49" s="1"/>
  <c r="Q15" i="49"/>
  <c r="Q18" i="49" s="1"/>
  <c r="L15" i="49"/>
  <c r="L18" i="49" s="1"/>
  <c r="L22" i="49" s="1"/>
  <c r="N15" i="49"/>
  <c r="N18" i="49" s="1"/>
  <c r="N22" i="49" s="1"/>
  <c r="I15" i="49"/>
  <c r="I18" i="49" s="1"/>
  <c r="O15" i="49"/>
  <c r="O18" i="49" s="1"/>
  <c r="O20" i="49" s="1"/>
  <c r="H15" i="1"/>
  <c r="H18" i="1" s="1"/>
  <c r="L15" i="52"/>
  <c r="L18" i="52" s="1"/>
  <c r="L20" i="52" s="1"/>
  <c r="M15" i="52"/>
  <c r="M18" i="52" s="1"/>
  <c r="M22" i="52" s="1"/>
  <c r="K15" i="52"/>
  <c r="K18" i="52" s="1"/>
  <c r="K22" i="52" s="1"/>
  <c r="H15" i="52"/>
  <c r="H18" i="52" s="1"/>
  <c r="H22" i="52" s="1"/>
  <c r="G15" i="52"/>
  <c r="G18" i="52" s="1"/>
  <c r="G20" i="52" s="1"/>
  <c r="P22" i="52"/>
  <c r="P20" i="52"/>
  <c r="N22" i="52"/>
  <c r="N20" i="52"/>
  <c r="J20" i="52"/>
  <c r="J22" i="52"/>
  <c r="I22" i="52"/>
  <c r="I20" i="52"/>
  <c r="F20" i="52"/>
  <c r="F22" i="52"/>
  <c r="Q22" i="52"/>
  <c r="Q20" i="52"/>
  <c r="Q15" i="51"/>
  <c r="Q18" i="51" s="1"/>
  <c r="Q20" i="51" s="1"/>
  <c r="M15" i="51"/>
  <c r="M18" i="51" s="1"/>
  <c r="M22" i="51" s="1"/>
  <c r="H15" i="51"/>
  <c r="H18" i="51" s="1"/>
  <c r="H22" i="51" s="1"/>
  <c r="P15" i="51"/>
  <c r="P18" i="51" s="1"/>
  <c r="P20" i="51" s="1"/>
  <c r="O15" i="51"/>
  <c r="O18" i="51" s="1"/>
  <c r="O22" i="51" s="1"/>
  <c r="K15" i="51"/>
  <c r="K18" i="51" s="1"/>
  <c r="K22" i="51" s="1"/>
  <c r="G15" i="51"/>
  <c r="G18" i="51" s="1"/>
  <c r="G22" i="51" s="1"/>
  <c r="F15" i="51"/>
  <c r="F18" i="51" s="1"/>
  <c r="F22" i="51" s="1"/>
  <c r="N22" i="51"/>
  <c r="N20" i="51"/>
  <c r="M20" i="51"/>
  <c r="L22" i="51"/>
  <c r="L20" i="51"/>
  <c r="J22" i="51"/>
  <c r="J20" i="51"/>
  <c r="I22" i="51"/>
  <c r="I20" i="51"/>
  <c r="F20" i="51"/>
  <c r="K15" i="50"/>
  <c r="K18" i="50" s="1"/>
  <c r="K22" i="50" s="1"/>
  <c r="L15" i="50"/>
  <c r="L18" i="50" s="1"/>
  <c r="L22" i="50" s="1"/>
  <c r="N15" i="50"/>
  <c r="N18" i="50" s="1"/>
  <c r="N22" i="50" s="1"/>
  <c r="I15" i="50"/>
  <c r="I18" i="50" s="1"/>
  <c r="I22" i="50" s="1"/>
  <c r="J20" i="50"/>
  <c r="J22" i="50"/>
  <c r="M22" i="50"/>
  <c r="M20" i="50"/>
  <c r="F22" i="50"/>
  <c r="F20" i="50"/>
  <c r="O22" i="50"/>
  <c r="O20" i="50"/>
  <c r="H22" i="50"/>
  <c r="P20" i="50"/>
  <c r="Q22" i="50"/>
  <c r="Q20" i="50"/>
  <c r="J15" i="49"/>
  <c r="J18" i="49" s="1"/>
  <c r="J20" i="49" s="1"/>
  <c r="H15" i="49"/>
  <c r="H18" i="49" s="1"/>
  <c r="H20" i="49" s="1"/>
  <c r="P15" i="49"/>
  <c r="P18" i="49" s="1"/>
  <c r="Q22" i="49"/>
  <c r="Q20" i="49"/>
  <c r="P22" i="49"/>
  <c r="P20" i="49"/>
  <c r="N20" i="49"/>
  <c r="M20" i="49"/>
  <c r="M22" i="49"/>
  <c r="L20" i="49"/>
  <c r="K20" i="49"/>
  <c r="I22" i="49"/>
  <c r="I20" i="49"/>
  <c r="R22" i="49"/>
  <c r="R20" i="49"/>
  <c r="H22" i="1"/>
  <c r="H32" i="1" s="1"/>
  <c r="H33" i="1" s="1"/>
  <c r="H14" i="23" s="1"/>
  <c r="I14" i="24" s="1"/>
  <c r="Q15" i="1"/>
  <c r="Q18" i="1" s="1"/>
  <c r="Q22" i="1" s="1"/>
  <c r="O15" i="1"/>
  <c r="O18" i="1" s="1"/>
  <c r="O22" i="1" s="1"/>
  <c r="N15" i="1"/>
  <c r="N18" i="1" s="1"/>
  <c r="N20" i="1" s="1"/>
  <c r="M15" i="1"/>
  <c r="M18" i="1" s="1"/>
  <c r="M22" i="1" s="1"/>
  <c r="L15" i="1"/>
  <c r="L18" i="1" s="1"/>
  <c r="L22" i="1" s="1"/>
  <c r="K15" i="1"/>
  <c r="K18" i="1" s="1"/>
  <c r="K22" i="1" s="1"/>
  <c r="J15" i="1"/>
  <c r="J18" i="1" s="1"/>
  <c r="J20" i="1" s="1"/>
  <c r="I15" i="1"/>
  <c r="I18" i="1" s="1"/>
  <c r="I20" i="1" s="1"/>
  <c r="G15" i="1"/>
  <c r="G18" i="1" s="1"/>
  <c r="G20" i="1" s="1"/>
  <c r="P20" i="1"/>
  <c r="P22" i="1"/>
  <c r="L20" i="1"/>
  <c r="K20" i="1"/>
  <c r="H20" i="1"/>
  <c r="O22" i="52" l="1"/>
  <c r="O32" i="52" s="1"/>
  <c r="O33" i="52" s="1"/>
  <c r="O14" i="29" s="1"/>
  <c r="P14" i="39" s="1"/>
  <c r="Q22" i="51"/>
  <c r="G22" i="50"/>
  <c r="G22" i="49"/>
  <c r="O22" i="49"/>
  <c r="G26" i="49"/>
  <c r="G27" i="49" s="1"/>
  <c r="F12" i="26" s="1"/>
  <c r="G29" i="49"/>
  <c r="G30" i="49" s="1"/>
  <c r="G32" i="49"/>
  <c r="G33" i="49" s="1"/>
  <c r="F14" i="26" s="1"/>
  <c r="G38" i="49"/>
  <c r="G39" i="49" s="1"/>
  <c r="F16" i="26" s="1"/>
  <c r="G35" i="49"/>
  <c r="G36" i="49" s="1"/>
  <c r="F15" i="26" s="1"/>
  <c r="H35" i="1"/>
  <c r="H36" i="1" s="1"/>
  <c r="H15" i="23" s="1"/>
  <c r="I15" i="24" s="1"/>
  <c r="H38" i="1"/>
  <c r="H39" i="1" s="1"/>
  <c r="H16" i="23" s="1"/>
  <c r="I16" i="24" s="1"/>
  <c r="H26" i="1"/>
  <c r="H27" i="1" s="1"/>
  <c r="H12" i="23" s="1"/>
  <c r="I12" i="24" s="1"/>
  <c r="H29" i="1"/>
  <c r="H30" i="1" s="1"/>
  <c r="H13" i="23" s="1"/>
  <c r="I13" i="24" s="1"/>
  <c r="L22" i="52"/>
  <c r="L26" i="52" s="1"/>
  <c r="L27" i="52" s="1"/>
  <c r="L12" i="29" s="1"/>
  <c r="M12" i="39" s="1"/>
  <c r="M20" i="52"/>
  <c r="K20" i="52"/>
  <c r="H20" i="52"/>
  <c r="G22" i="52"/>
  <c r="G35" i="52" s="1"/>
  <c r="G36" i="52" s="1"/>
  <c r="G15" i="29" s="1"/>
  <c r="P38" i="52"/>
  <c r="P39" i="52" s="1"/>
  <c r="P16" i="29" s="1"/>
  <c r="Q16" i="39" s="1"/>
  <c r="P35" i="52"/>
  <c r="P36" i="52" s="1"/>
  <c r="P15" i="29" s="1"/>
  <c r="Q15" i="39" s="1"/>
  <c r="P32" i="52"/>
  <c r="P33" i="52" s="1"/>
  <c r="P14" i="29" s="1"/>
  <c r="Q14" i="39" s="1"/>
  <c r="P29" i="52"/>
  <c r="P30" i="52" s="1"/>
  <c r="P13" i="29" s="1"/>
  <c r="Q13" i="39" s="1"/>
  <c r="P26" i="52"/>
  <c r="P27" i="52" s="1"/>
  <c r="P12" i="29" s="1"/>
  <c r="Q12" i="39" s="1"/>
  <c r="F38" i="52"/>
  <c r="F39" i="52" s="1"/>
  <c r="F16" i="29" s="1"/>
  <c r="F35" i="52"/>
  <c r="F36" i="52" s="1"/>
  <c r="F15" i="29" s="1"/>
  <c r="F32" i="52"/>
  <c r="F33" i="52" s="1"/>
  <c r="F14" i="29" s="1"/>
  <c r="F29" i="52"/>
  <c r="F30" i="52" s="1"/>
  <c r="F13" i="29" s="1"/>
  <c r="F26" i="52"/>
  <c r="F27" i="52" s="1"/>
  <c r="F12" i="29" s="1"/>
  <c r="K38" i="52"/>
  <c r="K39" i="52" s="1"/>
  <c r="K16" i="29" s="1"/>
  <c r="L16" i="39" s="1"/>
  <c r="K35" i="52"/>
  <c r="K36" i="52" s="1"/>
  <c r="K15" i="29" s="1"/>
  <c r="L15" i="39" s="1"/>
  <c r="K32" i="52"/>
  <c r="K33" i="52" s="1"/>
  <c r="K14" i="29" s="1"/>
  <c r="L14" i="39" s="1"/>
  <c r="K29" i="52"/>
  <c r="K30" i="52" s="1"/>
  <c r="K13" i="29" s="1"/>
  <c r="L13" i="39" s="1"/>
  <c r="K26" i="52"/>
  <c r="K27" i="52" s="1"/>
  <c r="K12" i="29" s="1"/>
  <c r="L12" i="39" s="1"/>
  <c r="J38" i="52"/>
  <c r="J39" i="52" s="1"/>
  <c r="J16" i="29" s="1"/>
  <c r="K16" i="39" s="1"/>
  <c r="J35" i="52"/>
  <c r="J36" i="52" s="1"/>
  <c r="J15" i="29" s="1"/>
  <c r="K15" i="39" s="1"/>
  <c r="J32" i="52"/>
  <c r="J33" i="52" s="1"/>
  <c r="J14" i="29" s="1"/>
  <c r="K14" i="39" s="1"/>
  <c r="J29" i="52"/>
  <c r="J30" i="52" s="1"/>
  <c r="J13" i="29" s="1"/>
  <c r="K13" i="39" s="1"/>
  <c r="J26" i="52"/>
  <c r="J27" i="52" s="1"/>
  <c r="J12" i="29" s="1"/>
  <c r="K12" i="39" s="1"/>
  <c r="O38" i="52"/>
  <c r="O39" i="52" s="1"/>
  <c r="O16" i="29" s="1"/>
  <c r="P16" i="39" s="1"/>
  <c r="O35" i="52"/>
  <c r="O36" i="52" s="1"/>
  <c r="O15" i="29" s="1"/>
  <c r="P15" i="39" s="1"/>
  <c r="N38" i="52"/>
  <c r="N39" i="52" s="1"/>
  <c r="N16" i="29" s="1"/>
  <c r="O16" i="39" s="1"/>
  <c r="N35" i="52"/>
  <c r="N36" i="52" s="1"/>
  <c r="N15" i="29" s="1"/>
  <c r="O15" i="39" s="1"/>
  <c r="N32" i="52"/>
  <c r="N33" i="52" s="1"/>
  <c r="N14" i="29" s="1"/>
  <c r="O14" i="39" s="1"/>
  <c r="N29" i="52"/>
  <c r="N30" i="52" s="1"/>
  <c r="N13" i="29" s="1"/>
  <c r="O13" i="39" s="1"/>
  <c r="N26" i="52"/>
  <c r="N27" i="52" s="1"/>
  <c r="N12" i="29" s="1"/>
  <c r="O12" i="39" s="1"/>
  <c r="H38" i="52"/>
  <c r="H39" i="52" s="1"/>
  <c r="H16" i="29" s="1"/>
  <c r="H35" i="52"/>
  <c r="H36" i="52" s="1"/>
  <c r="H15" i="29" s="1"/>
  <c r="H32" i="52"/>
  <c r="H33" i="52" s="1"/>
  <c r="H14" i="29" s="1"/>
  <c r="H29" i="52"/>
  <c r="H30" i="52" s="1"/>
  <c r="H13" i="29" s="1"/>
  <c r="H26" i="52"/>
  <c r="H27" i="52" s="1"/>
  <c r="H12" i="29" s="1"/>
  <c r="Q29" i="52"/>
  <c r="Q30" i="52" s="1"/>
  <c r="Q13" i="29" s="1"/>
  <c r="R13" i="39" s="1"/>
  <c r="Q38" i="52"/>
  <c r="Q39" i="52" s="1"/>
  <c r="Q16" i="29" s="1"/>
  <c r="R16" i="39" s="1"/>
  <c r="Q35" i="52"/>
  <c r="Q36" i="52" s="1"/>
  <c r="Q15" i="29" s="1"/>
  <c r="R15" i="39" s="1"/>
  <c r="Q32" i="52"/>
  <c r="Q33" i="52" s="1"/>
  <c r="Q14" i="29" s="1"/>
  <c r="R14" i="39" s="1"/>
  <c r="Q26" i="52"/>
  <c r="Q27" i="52" s="1"/>
  <c r="Q12" i="29" s="1"/>
  <c r="R12" i="39" s="1"/>
  <c r="I29" i="52"/>
  <c r="I30" i="52" s="1"/>
  <c r="I13" i="29" s="1"/>
  <c r="J13" i="39" s="1"/>
  <c r="I38" i="52"/>
  <c r="I39" i="52" s="1"/>
  <c r="I16" i="29" s="1"/>
  <c r="J16" i="39" s="1"/>
  <c r="I35" i="52"/>
  <c r="I36" i="52" s="1"/>
  <c r="I15" i="29" s="1"/>
  <c r="J15" i="39" s="1"/>
  <c r="I32" i="52"/>
  <c r="I33" i="52" s="1"/>
  <c r="I14" i="29" s="1"/>
  <c r="J14" i="39" s="1"/>
  <c r="I26" i="52"/>
  <c r="I27" i="52" s="1"/>
  <c r="I12" i="29" s="1"/>
  <c r="J12" i="39" s="1"/>
  <c r="G32" i="52"/>
  <c r="G33" i="52" s="1"/>
  <c r="G14" i="29" s="1"/>
  <c r="G29" i="52"/>
  <c r="G30" i="52" s="1"/>
  <c r="G13" i="29" s="1"/>
  <c r="G26" i="52"/>
  <c r="G27" i="52" s="1"/>
  <c r="G12" i="29" s="1"/>
  <c r="M38" i="52"/>
  <c r="M39" i="52" s="1"/>
  <c r="M16" i="29" s="1"/>
  <c r="N16" i="39" s="1"/>
  <c r="M32" i="52"/>
  <c r="M33" i="52" s="1"/>
  <c r="M14" i="29" s="1"/>
  <c r="N14" i="39" s="1"/>
  <c r="M26" i="52"/>
  <c r="M27" i="52" s="1"/>
  <c r="M12" i="29" s="1"/>
  <c r="N12" i="39" s="1"/>
  <c r="M35" i="52"/>
  <c r="M36" i="52" s="1"/>
  <c r="M15" i="29" s="1"/>
  <c r="N15" i="39" s="1"/>
  <c r="M29" i="52"/>
  <c r="M30" i="52" s="1"/>
  <c r="M13" i="29" s="1"/>
  <c r="N13" i="39" s="1"/>
  <c r="H20" i="51"/>
  <c r="P22" i="51"/>
  <c r="P38" i="51" s="1"/>
  <c r="P39" i="51" s="1"/>
  <c r="P16" i="28" s="1"/>
  <c r="Q16" i="38" s="1"/>
  <c r="O20" i="51"/>
  <c r="K20" i="51"/>
  <c r="G20" i="51"/>
  <c r="J38" i="51"/>
  <c r="J39" i="51" s="1"/>
  <c r="J16" i="28" s="1"/>
  <c r="K16" i="38" s="1"/>
  <c r="J35" i="51"/>
  <c r="J36" i="51" s="1"/>
  <c r="J15" i="28" s="1"/>
  <c r="K15" i="38" s="1"/>
  <c r="J32" i="51"/>
  <c r="J33" i="51" s="1"/>
  <c r="J14" i="28" s="1"/>
  <c r="K14" i="38" s="1"/>
  <c r="J29" i="51"/>
  <c r="J30" i="51" s="1"/>
  <c r="J13" i="28" s="1"/>
  <c r="K13" i="38" s="1"/>
  <c r="J26" i="51"/>
  <c r="J27" i="51" s="1"/>
  <c r="J12" i="28" s="1"/>
  <c r="K12" i="38" s="1"/>
  <c r="H38" i="51"/>
  <c r="H39" i="51" s="1"/>
  <c r="H16" i="28" s="1"/>
  <c r="H35" i="51"/>
  <c r="H36" i="51" s="1"/>
  <c r="H15" i="28" s="1"/>
  <c r="H32" i="51"/>
  <c r="H33" i="51" s="1"/>
  <c r="H14" i="28" s="1"/>
  <c r="H29" i="51"/>
  <c r="H30" i="51" s="1"/>
  <c r="H13" i="28" s="1"/>
  <c r="H26" i="51"/>
  <c r="H27" i="51" s="1"/>
  <c r="H12" i="28" s="1"/>
  <c r="I38" i="51"/>
  <c r="I39" i="51" s="1"/>
  <c r="I16" i="28" s="1"/>
  <c r="J16" i="38" s="1"/>
  <c r="I35" i="51"/>
  <c r="I36" i="51" s="1"/>
  <c r="I15" i="28" s="1"/>
  <c r="J15" i="38" s="1"/>
  <c r="I32" i="51"/>
  <c r="I33" i="51" s="1"/>
  <c r="I14" i="28" s="1"/>
  <c r="J14" i="38" s="1"/>
  <c r="I29" i="51"/>
  <c r="I30" i="51" s="1"/>
  <c r="I13" i="28" s="1"/>
  <c r="J13" i="38" s="1"/>
  <c r="I26" i="51"/>
  <c r="I27" i="51" s="1"/>
  <c r="I12" i="28" s="1"/>
  <c r="J12" i="38" s="1"/>
  <c r="O38" i="51"/>
  <c r="O39" i="51" s="1"/>
  <c r="O16" i="28" s="1"/>
  <c r="P16" i="38" s="1"/>
  <c r="O32" i="51"/>
  <c r="O33" i="51" s="1"/>
  <c r="O14" i="28" s="1"/>
  <c r="P14" i="38" s="1"/>
  <c r="O26" i="51"/>
  <c r="O27" i="51" s="1"/>
  <c r="O12" i="28" s="1"/>
  <c r="P12" i="38" s="1"/>
  <c r="O35" i="51"/>
  <c r="O36" i="51" s="1"/>
  <c r="O15" i="28" s="1"/>
  <c r="P15" i="38" s="1"/>
  <c r="O29" i="51"/>
  <c r="O30" i="51" s="1"/>
  <c r="O13" i="28" s="1"/>
  <c r="P13" i="38" s="1"/>
  <c r="G38" i="51"/>
  <c r="G39" i="51" s="1"/>
  <c r="G16" i="28" s="1"/>
  <c r="G35" i="51"/>
  <c r="G36" i="51" s="1"/>
  <c r="G15" i="28" s="1"/>
  <c r="G32" i="51"/>
  <c r="G33" i="51" s="1"/>
  <c r="G14" i="28" s="1"/>
  <c r="G29" i="51"/>
  <c r="G30" i="51" s="1"/>
  <c r="G13" i="28" s="1"/>
  <c r="G26" i="51"/>
  <c r="G27" i="51" s="1"/>
  <c r="G12" i="28" s="1"/>
  <c r="K38" i="51"/>
  <c r="K39" i="51" s="1"/>
  <c r="K16" i="28" s="1"/>
  <c r="L16" i="38" s="1"/>
  <c r="K35" i="51"/>
  <c r="K36" i="51" s="1"/>
  <c r="K15" i="28" s="1"/>
  <c r="L15" i="38" s="1"/>
  <c r="K32" i="51"/>
  <c r="K33" i="51" s="1"/>
  <c r="K14" i="28" s="1"/>
  <c r="L14" i="38" s="1"/>
  <c r="K29" i="51"/>
  <c r="K30" i="51" s="1"/>
  <c r="K13" i="28" s="1"/>
  <c r="L13" i="38" s="1"/>
  <c r="K26" i="51"/>
  <c r="K27" i="51" s="1"/>
  <c r="K12" i="28" s="1"/>
  <c r="L12" i="38" s="1"/>
  <c r="M29" i="51"/>
  <c r="M30" i="51" s="1"/>
  <c r="M13" i="28" s="1"/>
  <c r="N13" i="38" s="1"/>
  <c r="M26" i="51"/>
  <c r="M27" i="51" s="1"/>
  <c r="M12" i="28" s="1"/>
  <c r="N12" i="38" s="1"/>
  <c r="M38" i="51"/>
  <c r="M39" i="51" s="1"/>
  <c r="M16" i="28" s="1"/>
  <c r="N16" i="38" s="1"/>
  <c r="M35" i="51"/>
  <c r="M36" i="51" s="1"/>
  <c r="M15" i="28" s="1"/>
  <c r="N15" i="38" s="1"/>
  <c r="M32" i="51"/>
  <c r="M33" i="51" s="1"/>
  <c r="M14" i="28" s="1"/>
  <c r="N14" i="38" s="1"/>
  <c r="Q38" i="51"/>
  <c r="Q39" i="51" s="1"/>
  <c r="Q16" i="28" s="1"/>
  <c r="R16" i="38" s="1"/>
  <c r="Q35" i="51"/>
  <c r="Q36" i="51" s="1"/>
  <c r="Q15" i="28" s="1"/>
  <c r="R15" i="38" s="1"/>
  <c r="Q32" i="51"/>
  <c r="Q33" i="51" s="1"/>
  <c r="Q14" i="28" s="1"/>
  <c r="R14" i="38" s="1"/>
  <c r="Q29" i="51"/>
  <c r="Q30" i="51" s="1"/>
  <c r="Q13" i="28" s="1"/>
  <c r="R13" i="38" s="1"/>
  <c r="Q26" i="51"/>
  <c r="Q27" i="51" s="1"/>
  <c r="Q12" i="28" s="1"/>
  <c r="R12" i="38" s="1"/>
  <c r="L38" i="51"/>
  <c r="L39" i="51" s="1"/>
  <c r="L16" i="28" s="1"/>
  <c r="M16" i="38" s="1"/>
  <c r="L35" i="51"/>
  <c r="L36" i="51" s="1"/>
  <c r="L15" i="28" s="1"/>
  <c r="M15" i="38" s="1"/>
  <c r="L32" i="51"/>
  <c r="L33" i="51" s="1"/>
  <c r="L14" i="28" s="1"/>
  <c r="M14" i="38" s="1"/>
  <c r="L29" i="51"/>
  <c r="L30" i="51" s="1"/>
  <c r="L13" i="28" s="1"/>
  <c r="M13" i="38" s="1"/>
  <c r="L26" i="51"/>
  <c r="L27" i="51" s="1"/>
  <c r="L12" i="28" s="1"/>
  <c r="M12" i="38" s="1"/>
  <c r="N38" i="51"/>
  <c r="N39" i="51" s="1"/>
  <c r="N16" i="28" s="1"/>
  <c r="O16" i="38" s="1"/>
  <c r="N35" i="51"/>
  <c r="N36" i="51" s="1"/>
  <c r="N15" i="28" s="1"/>
  <c r="O15" i="38" s="1"/>
  <c r="N32" i="51"/>
  <c r="N33" i="51" s="1"/>
  <c r="N14" i="28" s="1"/>
  <c r="O14" i="38" s="1"/>
  <c r="N29" i="51"/>
  <c r="N30" i="51" s="1"/>
  <c r="N13" i="28" s="1"/>
  <c r="O13" i="38" s="1"/>
  <c r="N26" i="51"/>
  <c r="N27" i="51" s="1"/>
  <c r="N12" i="28" s="1"/>
  <c r="O12" i="38" s="1"/>
  <c r="F38" i="51"/>
  <c r="F39" i="51" s="1"/>
  <c r="F16" i="28" s="1"/>
  <c r="F35" i="51"/>
  <c r="F36" i="51" s="1"/>
  <c r="F15" i="28" s="1"/>
  <c r="F32" i="51"/>
  <c r="F33" i="51" s="1"/>
  <c r="F14" i="28" s="1"/>
  <c r="F29" i="51"/>
  <c r="F30" i="51" s="1"/>
  <c r="F13" i="28" s="1"/>
  <c r="F26" i="51"/>
  <c r="F27" i="51" s="1"/>
  <c r="F12" i="28" s="1"/>
  <c r="P32" i="51"/>
  <c r="P33" i="51" s="1"/>
  <c r="P14" i="28" s="1"/>
  <c r="Q14" i="38" s="1"/>
  <c r="N20" i="50"/>
  <c r="K20" i="50"/>
  <c r="L20" i="50"/>
  <c r="I20" i="50"/>
  <c r="L38" i="50"/>
  <c r="L39" i="50" s="1"/>
  <c r="L16" i="27" s="1"/>
  <c r="M16" i="37" s="1"/>
  <c r="L35" i="50"/>
  <c r="L36" i="50" s="1"/>
  <c r="L15" i="27" s="1"/>
  <c r="M15" i="37" s="1"/>
  <c r="L32" i="50"/>
  <c r="L33" i="50" s="1"/>
  <c r="L14" i="27" s="1"/>
  <c r="M14" i="37" s="1"/>
  <c r="L29" i="50"/>
  <c r="L30" i="50" s="1"/>
  <c r="L13" i="27" s="1"/>
  <c r="M13" i="37" s="1"/>
  <c r="L26" i="50"/>
  <c r="L27" i="50" s="1"/>
  <c r="L12" i="27" s="1"/>
  <c r="M12" i="37" s="1"/>
  <c r="H38" i="50"/>
  <c r="H39" i="50" s="1"/>
  <c r="H16" i="27" s="1"/>
  <c r="H35" i="50"/>
  <c r="H36" i="50" s="1"/>
  <c r="H15" i="27" s="1"/>
  <c r="H32" i="50"/>
  <c r="H33" i="50" s="1"/>
  <c r="H14" i="27" s="1"/>
  <c r="H29" i="50"/>
  <c r="H30" i="50" s="1"/>
  <c r="H13" i="27" s="1"/>
  <c r="H26" i="50"/>
  <c r="H27" i="50" s="1"/>
  <c r="H12" i="27" s="1"/>
  <c r="Q29" i="50"/>
  <c r="Q30" i="50" s="1"/>
  <c r="Q13" i="27" s="1"/>
  <c r="R13" i="37" s="1"/>
  <c r="Q38" i="50"/>
  <c r="Q39" i="50" s="1"/>
  <c r="Q16" i="27" s="1"/>
  <c r="R16" i="37" s="1"/>
  <c r="Q35" i="50"/>
  <c r="Q36" i="50" s="1"/>
  <c r="Q15" i="27" s="1"/>
  <c r="R15" i="37" s="1"/>
  <c r="Q32" i="50"/>
  <c r="Q33" i="50" s="1"/>
  <c r="Q14" i="27" s="1"/>
  <c r="R14" i="37" s="1"/>
  <c r="Q26" i="50"/>
  <c r="Q27" i="50" s="1"/>
  <c r="Q12" i="27" s="1"/>
  <c r="R12" i="37" s="1"/>
  <c r="M38" i="50"/>
  <c r="M39" i="50" s="1"/>
  <c r="M16" i="27" s="1"/>
  <c r="N16" i="37" s="1"/>
  <c r="M35" i="50"/>
  <c r="M36" i="50" s="1"/>
  <c r="M15" i="27" s="1"/>
  <c r="N15" i="37" s="1"/>
  <c r="M32" i="50"/>
  <c r="M33" i="50" s="1"/>
  <c r="M14" i="27" s="1"/>
  <c r="N14" i="37" s="1"/>
  <c r="M26" i="50"/>
  <c r="M27" i="50" s="1"/>
  <c r="M12" i="27" s="1"/>
  <c r="N12" i="37" s="1"/>
  <c r="M29" i="50"/>
  <c r="M30" i="50" s="1"/>
  <c r="M13" i="27" s="1"/>
  <c r="N13" i="37" s="1"/>
  <c r="I38" i="50"/>
  <c r="I39" i="50" s="1"/>
  <c r="I16" i="27" s="1"/>
  <c r="J16" i="37" s="1"/>
  <c r="I35" i="50"/>
  <c r="I36" i="50" s="1"/>
  <c r="I15" i="27" s="1"/>
  <c r="J15" i="37" s="1"/>
  <c r="I32" i="50"/>
  <c r="I33" i="50" s="1"/>
  <c r="I14" i="27" s="1"/>
  <c r="J14" i="37" s="1"/>
  <c r="I29" i="50"/>
  <c r="I30" i="50" s="1"/>
  <c r="I13" i="27" s="1"/>
  <c r="J13" i="37" s="1"/>
  <c r="I26" i="50"/>
  <c r="I27" i="50" s="1"/>
  <c r="I12" i="27" s="1"/>
  <c r="J12" i="37" s="1"/>
  <c r="O38" i="50"/>
  <c r="O39" i="50" s="1"/>
  <c r="O16" i="27" s="1"/>
  <c r="P16" i="37" s="1"/>
  <c r="O35" i="50"/>
  <c r="O36" i="50" s="1"/>
  <c r="O15" i="27" s="1"/>
  <c r="P15" i="37" s="1"/>
  <c r="O32" i="50"/>
  <c r="O33" i="50" s="1"/>
  <c r="O14" i="27" s="1"/>
  <c r="P14" i="37" s="1"/>
  <c r="O29" i="50"/>
  <c r="O30" i="50" s="1"/>
  <c r="O13" i="27" s="1"/>
  <c r="P13" i="37" s="1"/>
  <c r="O26" i="50"/>
  <c r="O27" i="50" s="1"/>
  <c r="O12" i="27" s="1"/>
  <c r="P12" i="37" s="1"/>
  <c r="G38" i="50"/>
  <c r="G39" i="50" s="1"/>
  <c r="G16" i="27" s="1"/>
  <c r="G35" i="50"/>
  <c r="G36" i="50" s="1"/>
  <c r="G15" i="27" s="1"/>
  <c r="G32" i="50"/>
  <c r="G33" i="50" s="1"/>
  <c r="G14" i="27" s="1"/>
  <c r="G29" i="50"/>
  <c r="G30" i="50" s="1"/>
  <c r="G13" i="27" s="1"/>
  <c r="G26" i="50"/>
  <c r="G27" i="50" s="1"/>
  <c r="G12" i="27" s="1"/>
  <c r="N35" i="50"/>
  <c r="N36" i="50" s="1"/>
  <c r="N15" i="27" s="1"/>
  <c r="O15" i="37" s="1"/>
  <c r="N29" i="50"/>
  <c r="N30" i="50" s="1"/>
  <c r="N13" i="27" s="1"/>
  <c r="O13" i="37" s="1"/>
  <c r="N26" i="50"/>
  <c r="N27" i="50" s="1"/>
  <c r="N12" i="27" s="1"/>
  <c r="O12" i="37" s="1"/>
  <c r="N38" i="50"/>
  <c r="N39" i="50" s="1"/>
  <c r="N16" i="27" s="1"/>
  <c r="O16" i="37" s="1"/>
  <c r="N32" i="50"/>
  <c r="N33" i="50" s="1"/>
  <c r="N14" i="27" s="1"/>
  <c r="O14" i="37" s="1"/>
  <c r="K38" i="50"/>
  <c r="K39" i="50" s="1"/>
  <c r="K16" i="27" s="1"/>
  <c r="L16" i="37" s="1"/>
  <c r="K35" i="50"/>
  <c r="K36" i="50" s="1"/>
  <c r="K15" i="27" s="1"/>
  <c r="L15" i="37" s="1"/>
  <c r="K32" i="50"/>
  <c r="K33" i="50" s="1"/>
  <c r="K14" i="27" s="1"/>
  <c r="L14" i="37" s="1"/>
  <c r="K26" i="50"/>
  <c r="K27" i="50" s="1"/>
  <c r="K12" i="27" s="1"/>
  <c r="L12" i="37" s="1"/>
  <c r="K29" i="50"/>
  <c r="K30" i="50" s="1"/>
  <c r="K13" i="27" s="1"/>
  <c r="L13" i="37" s="1"/>
  <c r="J38" i="50"/>
  <c r="J39" i="50" s="1"/>
  <c r="J16" i="27" s="1"/>
  <c r="K16" i="37" s="1"/>
  <c r="J35" i="50"/>
  <c r="J36" i="50" s="1"/>
  <c r="J15" i="27" s="1"/>
  <c r="K15" i="37" s="1"/>
  <c r="J32" i="50"/>
  <c r="J33" i="50" s="1"/>
  <c r="J14" i="27" s="1"/>
  <c r="K14" i="37" s="1"/>
  <c r="J29" i="50"/>
  <c r="J30" i="50" s="1"/>
  <c r="J13" i="27" s="1"/>
  <c r="K13" i="37" s="1"/>
  <c r="J26" i="50"/>
  <c r="J27" i="50" s="1"/>
  <c r="J12" i="27" s="1"/>
  <c r="K12" i="37" s="1"/>
  <c r="P38" i="50"/>
  <c r="P39" i="50" s="1"/>
  <c r="P16" i="27" s="1"/>
  <c r="Q16" i="37" s="1"/>
  <c r="P35" i="50"/>
  <c r="P36" i="50" s="1"/>
  <c r="P15" i="27" s="1"/>
  <c r="Q15" i="37" s="1"/>
  <c r="P32" i="50"/>
  <c r="P33" i="50" s="1"/>
  <c r="P14" i="27" s="1"/>
  <c r="Q14" i="37" s="1"/>
  <c r="P29" i="50"/>
  <c r="P30" i="50" s="1"/>
  <c r="P13" i="27" s="1"/>
  <c r="Q13" i="37" s="1"/>
  <c r="P26" i="50"/>
  <c r="P27" i="50" s="1"/>
  <c r="P12" i="27" s="1"/>
  <c r="Q12" i="37" s="1"/>
  <c r="F38" i="50"/>
  <c r="F39" i="50" s="1"/>
  <c r="F16" i="27" s="1"/>
  <c r="F35" i="50"/>
  <c r="F36" i="50" s="1"/>
  <c r="F15" i="27" s="1"/>
  <c r="F32" i="50"/>
  <c r="F33" i="50" s="1"/>
  <c r="F14" i="27" s="1"/>
  <c r="F29" i="50"/>
  <c r="F30" i="50" s="1"/>
  <c r="F13" i="27" s="1"/>
  <c r="F26" i="50"/>
  <c r="F27" i="50" s="1"/>
  <c r="F12" i="27" s="1"/>
  <c r="J22" i="49"/>
  <c r="J35" i="49" s="1"/>
  <c r="J36" i="49" s="1"/>
  <c r="I15" i="26" s="1"/>
  <c r="J15" i="33" s="1"/>
  <c r="H22" i="49"/>
  <c r="H32" i="49" s="1"/>
  <c r="H33" i="49" s="1"/>
  <c r="G14" i="26" s="1"/>
  <c r="Q38" i="49"/>
  <c r="Q39" i="49" s="1"/>
  <c r="P16" i="26" s="1"/>
  <c r="Q16" i="33" s="1"/>
  <c r="Q26" i="49"/>
  <c r="Q27" i="49" s="1"/>
  <c r="P12" i="26" s="1"/>
  <c r="Q12" i="33" s="1"/>
  <c r="Q35" i="49"/>
  <c r="Q36" i="49" s="1"/>
  <c r="P15" i="26" s="1"/>
  <c r="Q15" i="33" s="1"/>
  <c r="Q29" i="49"/>
  <c r="Q30" i="49" s="1"/>
  <c r="P13" i="26" s="1"/>
  <c r="Q13" i="33" s="1"/>
  <c r="Q32" i="49"/>
  <c r="Q33" i="49" s="1"/>
  <c r="P14" i="26" s="1"/>
  <c r="Q14" i="33" s="1"/>
  <c r="P38" i="49"/>
  <c r="P39" i="49" s="1"/>
  <c r="O16" i="26" s="1"/>
  <c r="P16" i="33" s="1"/>
  <c r="P26" i="49"/>
  <c r="P27" i="49" s="1"/>
  <c r="O12" i="26" s="1"/>
  <c r="P12" i="33" s="1"/>
  <c r="P32" i="49"/>
  <c r="P33" i="49" s="1"/>
  <c r="O14" i="26" s="1"/>
  <c r="P14" i="33" s="1"/>
  <c r="P29" i="49"/>
  <c r="P30" i="49" s="1"/>
  <c r="O13" i="26" s="1"/>
  <c r="P13" i="33" s="1"/>
  <c r="P35" i="49"/>
  <c r="P36" i="49" s="1"/>
  <c r="O15" i="26" s="1"/>
  <c r="P15" i="33" s="1"/>
  <c r="O38" i="49"/>
  <c r="O39" i="49" s="1"/>
  <c r="N16" i="26" s="1"/>
  <c r="O16" i="33" s="1"/>
  <c r="O26" i="49"/>
  <c r="O27" i="49" s="1"/>
  <c r="N12" i="26" s="1"/>
  <c r="O12" i="33" s="1"/>
  <c r="O29" i="49"/>
  <c r="O30" i="49" s="1"/>
  <c r="N13" i="26" s="1"/>
  <c r="O13" i="33" s="1"/>
  <c r="O35" i="49"/>
  <c r="O36" i="49" s="1"/>
  <c r="N15" i="26" s="1"/>
  <c r="O15" i="33" s="1"/>
  <c r="O32" i="49"/>
  <c r="O33" i="49" s="1"/>
  <c r="N14" i="26" s="1"/>
  <c r="O14" i="33" s="1"/>
  <c r="N38" i="49"/>
  <c r="N39" i="49" s="1"/>
  <c r="M16" i="26" s="1"/>
  <c r="N16" i="33" s="1"/>
  <c r="N26" i="49"/>
  <c r="N27" i="49" s="1"/>
  <c r="M12" i="26" s="1"/>
  <c r="N12" i="33" s="1"/>
  <c r="N35" i="49"/>
  <c r="N36" i="49" s="1"/>
  <c r="M15" i="26" s="1"/>
  <c r="N15" i="33" s="1"/>
  <c r="N32" i="49"/>
  <c r="N33" i="49" s="1"/>
  <c r="M14" i="26" s="1"/>
  <c r="N14" i="33" s="1"/>
  <c r="N29" i="49"/>
  <c r="N30" i="49" s="1"/>
  <c r="M13" i="26" s="1"/>
  <c r="N13" i="33" s="1"/>
  <c r="M29" i="49"/>
  <c r="M30" i="49" s="1"/>
  <c r="L13" i="26" s="1"/>
  <c r="M13" i="33" s="1"/>
  <c r="M38" i="49"/>
  <c r="M39" i="49" s="1"/>
  <c r="L16" i="26" s="1"/>
  <c r="M16" i="33" s="1"/>
  <c r="M26" i="49"/>
  <c r="M27" i="49" s="1"/>
  <c r="L12" i="26" s="1"/>
  <c r="M12" i="33" s="1"/>
  <c r="M35" i="49"/>
  <c r="M36" i="49" s="1"/>
  <c r="L15" i="26" s="1"/>
  <c r="M15" i="33" s="1"/>
  <c r="M32" i="49"/>
  <c r="M33" i="49" s="1"/>
  <c r="L14" i="26" s="1"/>
  <c r="M14" i="33" s="1"/>
  <c r="L29" i="49"/>
  <c r="L30" i="49" s="1"/>
  <c r="K13" i="26" s="1"/>
  <c r="L13" i="33" s="1"/>
  <c r="L38" i="49"/>
  <c r="L39" i="49" s="1"/>
  <c r="K16" i="26" s="1"/>
  <c r="L16" i="33" s="1"/>
  <c r="L26" i="49"/>
  <c r="L27" i="49" s="1"/>
  <c r="K12" i="26" s="1"/>
  <c r="L12" i="33" s="1"/>
  <c r="L32" i="49"/>
  <c r="L33" i="49" s="1"/>
  <c r="K14" i="26" s="1"/>
  <c r="L14" i="33" s="1"/>
  <c r="L35" i="49"/>
  <c r="L36" i="49" s="1"/>
  <c r="K15" i="26" s="1"/>
  <c r="L15" i="33" s="1"/>
  <c r="K29" i="49"/>
  <c r="K30" i="49" s="1"/>
  <c r="J13" i="26" s="1"/>
  <c r="K13" i="33" s="1"/>
  <c r="K32" i="49"/>
  <c r="K33" i="49" s="1"/>
  <c r="J14" i="26" s="1"/>
  <c r="K14" i="33" s="1"/>
  <c r="K38" i="49"/>
  <c r="K39" i="49" s="1"/>
  <c r="J16" i="26" s="1"/>
  <c r="K16" i="33" s="1"/>
  <c r="K26" i="49"/>
  <c r="K27" i="49" s="1"/>
  <c r="J12" i="26" s="1"/>
  <c r="K12" i="33" s="1"/>
  <c r="K35" i="49"/>
  <c r="K36" i="49" s="1"/>
  <c r="J15" i="26" s="1"/>
  <c r="K15" i="33" s="1"/>
  <c r="I29" i="49"/>
  <c r="I30" i="49" s="1"/>
  <c r="H13" i="26" s="1"/>
  <c r="I38" i="49"/>
  <c r="I39" i="49" s="1"/>
  <c r="H16" i="26" s="1"/>
  <c r="I26" i="49"/>
  <c r="I27" i="49" s="1"/>
  <c r="H12" i="26" s="1"/>
  <c r="I32" i="49"/>
  <c r="I33" i="49" s="1"/>
  <c r="H14" i="26" s="1"/>
  <c r="I35" i="49"/>
  <c r="I36" i="49" s="1"/>
  <c r="H15" i="26" s="1"/>
  <c r="F13" i="26"/>
  <c r="R35" i="49"/>
  <c r="R36" i="49" s="1"/>
  <c r="Q15" i="26" s="1"/>
  <c r="R15" i="33" s="1"/>
  <c r="R32" i="49"/>
  <c r="R33" i="49" s="1"/>
  <c r="Q14" i="26" s="1"/>
  <c r="R14" i="33" s="1"/>
  <c r="R29" i="49"/>
  <c r="R30" i="49" s="1"/>
  <c r="Q13" i="26" s="1"/>
  <c r="R13" i="33" s="1"/>
  <c r="R26" i="49"/>
  <c r="R27" i="49" s="1"/>
  <c r="Q12" i="26" s="1"/>
  <c r="R12" i="33" s="1"/>
  <c r="R38" i="49"/>
  <c r="R39" i="49" s="1"/>
  <c r="Q16" i="26" s="1"/>
  <c r="R16" i="33" s="1"/>
  <c r="Q20" i="1"/>
  <c r="O20" i="1"/>
  <c r="N22" i="1"/>
  <c r="N29" i="1" s="1"/>
  <c r="N30" i="1" s="1"/>
  <c r="N13" i="23" s="1"/>
  <c r="O13" i="24" s="1"/>
  <c r="M20" i="1"/>
  <c r="G22" i="1"/>
  <c r="G29" i="1" s="1"/>
  <c r="G30" i="1" s="1"/>
  <c r="G13" i="23" s="1"/>
  <c r="H13" i="24" s="1"/>
  <c r="J22" i="1"/>
  <c r="J35" i="1" s="1"/>
  <c r="J36" i="1" s="1"/>
  <c r="J15" i="23" s="1"/>
  <c r="K15" i="24" s="1"/>
  <c r="I22" i="1"/>
  <c r="Q38" i="1"/>
  <c r="Q39" i="1" s="1"/>
  <c r="Q16" i="23" s="1"/>
  <c r="R16" i="24" s="1"/>
  <c r="Q26" i="1"/>
  <c r="Q27" i="1" s="1"/>
  <c r="Q12" i="23" s="1"/>
  <c r="R12" i="24" s="1"/>
  <c r="Q35" i="1"/>
  <c r="Q36" i="1" s="1"/>
  <c r="Q15" i="23" s="1"/>
  <c r="R15" i="24" s="1"/>
  <c r="Q32" i="1"/>
  <c r="Q33" i="1" s="1"/>
  <c r="Q14" i="23" s="1"/>
  <c r="R14" i="24" s="1"/>
  <c r="Q29" i="1"/>
  <c r="Q30" i="1" s="1"/>
  <c r="Q13" i="23" s="1"/>
  <c r="R13" i="24" s="1"/>
  <c r="P29" i="1"/>
  <c r="P30" i="1" s="1"/>
  <c r="P13" i="23" s="1"/>
  <c r="Q13" i="24" s="1"/>
  <c r="P32" i="1"/>
  <c r="P33" i="1" s="1"/>
  <c r="P14" i="23" s="1"/>
  <c r="Q14" i="24" s="1"/>
  <c r="P38" i="1"/>
  <c r="P39" i="1" s="1"/>
  <c r="P16" i="23" s="1"/>
  <c r="Q16" i="24" s="1"/>
  <c r="P26" i="1"/>
  <c r="P27" i="1" s="1"/>
  <c r="P12" i="23" s="1"/>
  <c r="Q12" i="24" s="1"/>
  <c r="P35" i="1"/>
  <c r="P36" i="1" s="1"/>
  <c r="P15" i="23" s="1"/>
  <c r="Q15" i="24" s="1"/>
  <c r="O29" i="1"/>
  <c r="O30" i="1" s="1"/>
  <c r="O13" i="23" s="1"/>
  <c r="P13" i="24" s="1"/>
  <c r="O26" i="1"/>
  <c r="O27" i="1" s="1"/>
  <c r="O12" i="23" s="1"/>
  <c r="P12" i="24" s="1"/>
  <c r="O35" i="1"/>
  <c r="O36" i="1" s="1"/>
  <c r="O15" i="23" s="1"/>
  <c r="P15" i="24" s="1"/>
  <c r="O38" i="1"/>
  <c r="O39" i="1" s="1"/>
  <c r="O16" i="23" s="1"/>
  <c r="P16" i="24" s="1"/>
  <c r="O32" i="1"/>
  <c r="O33" i="1" s="1"/>
  <c r="O14" i="23" s="1"/>
  <c r="P14" i="24" s="1"/>
  <c r="M29" i="1"/>
  <c r="M30" i="1" s="1"/>
  <c r="M13" i="23" s="1"/>
  <c r="N13" i="24" s="1"/>
  <c r="M38" i="1"/>
  <c r="M39" i="1" s="1"/>
  <c r="M16" i="23" s="1"/>
  <c r="N16" i="24" s="1"/>
  <c r="M26" i="1"/>
  <c r="M27" i="1" s="1"/>
  <c r="M12" i="23" s="1"/>
  <c r="N12" i="24" s="1"/>
  <c r="M32" i="1"/>
  <c r="M33" i="1" s="1"/>
  <c r="M14" i="23" s="1"/>
  <c r="N14" i="24" s="1"/>
  <c r="M35" i="1"/>
  <c r="M36" i="1" s="1"/>
  <c r="M15" i="23" s="1"/>
  <c r="N15" i="24" s="1"/>
  <c r="L35" i="1"/>
  <c r="L36" i="1" s="1"/>
  <c r="L15" i="23" s="1"/>
  <c r="M15" i="24" s="1"/>
  <c r="L38" i="1"/>
  <c r="L39" i="1" s="1"/>
  <c r="L16" i="23" s="1"/>
  <c r="M16" i="24" s="1"/>
  <c r="L32" i="1"/>
  <c r="L33" i="1" s="1"/>
  <c r="L14" i="23" s="1"/>
  <c r="M14" i="24" s="1"/>
  <c r="L29" i="1"/>
  <c r="L30" i="1" s="1"/>
  <c r="L13" i="23" s="1"/>
  <c r="M13" i="24" s="1"/>
  <c r="L26" i="1"/>
  <c r="L27" i="1" s="1"/>
  <c r="L12" i="23" s="1"/>
  <c r="M12" i="24" s="1"/>
  <c r="K32" i="1"/>
  <c r="K33" i="1" s="1"/>
  <c r="K14" i="23" s="1"/>
  <c r="L14" i="24" s="1"/>
  <c r="K29" i="1"/>
  <c r="K30" i="1" s="1"/>
  <c r="K13" i="23" s="1"/>
  <c r="L13" i="24" s="1"/>
  <c r="K38" i="1"/>
  <c r="K39" i="1" s="1"/>
  <c r="K16" i="23" s="1"/>
  <c r="L16" i="24" s="1"/>
  <c r="K26" i="1"/>
  <c r="K27" i="1" s="1"/>
  <c r="K12" i="23" s="1"/>
  <c r="L12" i="24" s="1"/>
  <c r="K35" i="1"/>
  <c r="K36" i="1" s="1"/>
  <c r="K15" i="23" s="1"/>
  <c r="L15" i="24" s="1"/>
  <c r="G40" i="1"/>
  <c r="F40" i="1"/>
  <c r="F21" i="1"/>
  <c r="H40" i="1"/>
  <c r="I40" i="1"/>
  <c r="J40" i="1"/>
  <c r="L29" i="52" l="1"/>
  <c r="L30" i="52" s="1"/>
  <c r="L13" i="29" s="1"/>
  <c r="M13" i="39" s="1"/>
  <c r="O26" i="52"/>
  <c r="O27" i="52" s="1"/>
  <c r="O12" i="29" s="1"/>
  <c r="P12" i="39" s="1"/>
  <c r="O29" i="52"/>
  <c r="O30" i="52" s="1"/>
  <c r="O13" i="29" s="1"/>
  <c r="P13" i="39" s="1"/>
  <c r="I14" i="39"/>
  <c r="U14" i="38" s="1"/>
  <c r="T14" i="28"/>
  <c r="H13" i="39"/>
  <c r="T13" i="38" s="1"/>
  <c r="S13" i="28"/>
  <c r="I12" i="39"/>
  <c r="U12" i="38" s="1"/>
  <c r="T12" i="28"/>
  <c r="G16" i="39"/>
  <c r="S16" i="38" s="1"/>
  <c r="R16" i="28"/>
  <c r="I13" i="39"/>
  <c r="U13" i="38" s="1"/>
  <c r="T13" i="28"/>
  <c r="G12" i="39"/>
  <c r="S12" i="38" s="1"/>
  <c r="R12" i="28"/>
  <c r="G13" i="39"/>
  <c r="S13" i="38" s="1"/>
  <c r="R13" i="28"/>
  <c r="I15" i="39"/>
  <c r="U15" i="38" s="1"/>
  <c r="T15" i="28"/>
  <c r="G14" i="39"/>
  <c r="S14" i="38" s="1"/>
  <c r="R14" i="28"/>
  <c r="H15" i="39"/>
  <c r="T15" i="38" s="1"/>
  <c r="S15" i="28"/>
  <c r="H12" i="39"/>
  <c r="T12" i="38" s="1"/>
  <c r="S12" i="28"/>
  <c r="H14" i="39"/>
  <c r="T14" i="38" s="1"/>
  <c r="S14" i="28"/>
  <c r="I16" i="39"/>
  <c r="U16" i="38" s="1"/>
  <c r="T16" i="28"/>
  <c r="G15" i="39"/>
  <c r="S15" i="38" s="1"/>
  <c r="R15" i="28"/>
  <c r="T12" i="27"/>
  <c r="I12" i="38"/>
  <c r="U12" i="37" s="1"/>
  <c r="G16" i="38"/>
  <c r="S16" i="37" s="1"/>
  <c r="R16" i="27"/>
  <c r="S12" i="27"/>
  <c r="H12" i="38"/>
  <c r="T12" i="37" s="1"/>
  <c r="I13" i="38"/>
  <c r="U13" i="37" s="1"/>
  <c r="T13" i="27"/>
  <c r="G14" i="38"/>
  <c r="S14" i="37" s="1"/>
  <c r="R14" i="27"/>
  <c r="H16" i="38"/>
  <c r="T16" i="37" s="1"/>
  <c r="S16" i="27"/>
  <c r="G15" i="38"/>
  <c r="S15" i="37" s="1"/>
  <c r="R15" i="27"/>
  <c r="H13" i="38"/>
  <c r="T13" i="37" s="1"/>
  <c r="S13" i="27"/>
  <c r="I14" i="38"/>
  <c r="U14" i="37" s="1"/>
  <c r="T14" i="27"/>
  <c r="H14" i="38"/>
  <c r="T14" i="37" s="1"/>
  <c r="S14" i="27"/>
  <c r="I15" i="38"/>
  <c r="U15" i="37" s="1"/>
  <c r="T15" i="27"/>
  <c r="R12" i="27"/>
  <c r="G12" i="38"/>
  <c r="S12" i="37" s="1"/>
  <c r="G13" i="38"/>
  <c r="S13" i="37" s="1"/>
  <c r="R13" i="27"/>
  <c r="H15" i="38"/>
  <c r="T15" i="37" s="1"/>
  <c r="S15" i="27"/>
  <c r="I16" i="38"/>
  <c r="U16" i="37" s="1"/>
  <c r="T16" i="27"/>
  <c r="H16" i="37"/>
  <c r="T16" i="33" s="1"/>
  <c r="S16" i="26"/>
  <c r="I16" i="37"/>
  <c r="U16" i="33" s="1"/>
  <c r="T16" i="26"/>
  <c r="H14" i="37"/>
  <c r="T14" i="33" s="1"/>
  <c r="S14" i="26"/>
  <c r="I13" i="37"/>
  <c r="U13" i="33" s="1"/>
  <c r="T13" i="26"/>
  <c r="G16" i="37"/>
  <c r="S16" i="33" s="1"/>
  <c r="R16" i="26"/>
  <c r="I14" i="37"/>
  <c r="U14" i="33" s="1"/>
  <c r="T14" i="26"/>
  <c r="I15" i="37"/>
  <c r="U15" i="33" s="1"/>
  <c r="T15" i="26"/>
  <c r="G12" i="37"/>
  <c r="S12" i="33" s="1"/>
  <c r="R12" i="26"/>
  <c r="H12" i="37"/>
  <c r="T12" i="33" s="1"/>
  <c r="S12" i="26"/>
  <c r="G15" i="37"/>
  <c r="S15" i="33" s="1"/>
  <c r="R15" i="26"/>
  <c r="H15" i="37"/>
  <c r="T15" i="33" s="1"/>
  <c r="S15" i="26"/>
  <c r="G13" i="37"/>
  <c r="S13" i="33" s="1"/>
  <c r="R13" i="26"/>
  <c r="G14" i="37"/>
  <c r="S14" i="33" s="1"/>
  <c r="R14" i="26"/>
  <c r="H13" i="37"/>
  <c r="T13" i="33" s="1"/>
  <c r="S13" i="26"/>
  <c r="I12" i="37"/>
  <c r="U12" i="33" s="1"/>
  <c r="T12" i="26"/>
  <c r="J32" i="49"/>
  <c r="J33" i="49" s="1"/>
  <c r="I14" i="26" s="1"/>
  <c r="J14" i="33" s="1"/>
  <c r="T15" i="23"/>
  <c r="I15" i="33"/>
  <c r="G14" i="33"/>
  <c r="R14" i="23"/>
  <c r="R16" i="23"/>
  <c r="G16" i="33"/>
  <c r="R12" i="23"/>
  <c r="G12" i="33"/>
  <c r="R15" i="23"/>
  <c r="G15" i="33"/>
  <c r="S14" i="23"/>
  <c r="H14" i="33"/>
  <c r="T12" i="23"/>
  <c r="I12" i="33"/>
  <c r="T14" i="23"/>
  <c r="I14" i="33"/>
  <c r="R13" i="23"/>
  <c r="G13" i="33"/>
  <c r="I16" i="33"/>
  <c r="T16" i="23"/>
  <c r="T13" i="23"/>
  <c r="I13" i="33"/>
  <c r="L32" i="52"/>
  <c r="L33" i="52" s="1"/>
  <c r="L14" i="29" s="1"/>
  <c r="M14" i="39" s="1"/>
  <c r="L35" i="52"/>
  <c r="L36" i="52" s="1"/>
  <c r="L15" i="29" s="1"/>
  <c r="M15" i="39" s="1"/>
  <c r="L38" i="52"/>
  <c r="L39" i="52" s="1"/>
  <c r="L16" i="29" s="1"/>
  <c r="M16" i="39" s="1"/>
  <c r="G38" i="52"/>
  <c r="G39" i="52" s="1"/>
  <c r="G16" i="29" s="1"/>
  <c r="P26" i="51"/>
  <c r="P27" i="51" s="1"/>
  <c r="P12" i="28" s="1"/>
  <c r="Q12" i="38" s="1"/>
  <c r="P29" i="51"/>
  <c r="P30" i="51" s="1"/>
  <c r="P13" i="28" s="1"/>
  <c r="Q13" i="38" s="1"/>
  <c r="P35" i="51"/>
  <c r="P36" i="51" s="1"/>
  <c r="P15" i="28" s="1"/>
  <c r="Q15" i="38" s="1"/>
  <c r="J26" i="49"/>
  <c r="J27" i="49" s="1"/>
  <c r="I12" i="26" s="1"/>
  <c r="J12" i="33" s="1"/>
  <c r="J38" i="49"/>
  <c r="J39" i="49" s="1"/>
  <c r="I16" i="26" s="1"/>
  <c r="J16" i="33" s="1"/>
  <c r="J29" i="49"/>
  <c r="J30" i="49" s="1"/>
  <c r="I13" i="26" s="1"/>
  <c r="J13" i="33" s="1"/>
  <c r="H35" i="49"/>
  <c r="H36" i="49" s="1"/>
  <c r="G15" i="26" s="1"/>
  <c r="H26" i="49"/>
  <c r="H27" i="49" s="1"/>
  <c r="G12" i="26" s="1"/>
  <c r="H38" i="49"/>
  <c r="H39" i="49" s="1"/>
  <c r="G16" i="26" s="1"/>
  <c r="H29" i="49"/>
  <c r="H30" i="49" s="1"/>
  <c r="G13" i="26" s="1"/>
  <c r="N32" i="1"/>
  <c r="N33" i="1" s="1"/>
  <c r="N14" i="23" s="1"/>
  <c r="O14" i="24" s="1"/>
  <c r="N35" i="1"/>
  <c r="N36" i="1" s="1"/>
  <c r="N15" i="23" s="1"/>
  <c r="O15" i="24" s="1"/>
  <c r="N38" i="1"/>
  <c r="N39" i="1" s="1"/>
  <c r="N16" i="23" s="1"/>
  <c r="O16" i="24" s="1"/>
  <c r="N26" i="1"/>
  <c r="N27" i="1" s="1"/>
  <c r="N12" i="23" s="1"/>
  <c r="O12" i="24" s="1"/>
  <c r="J32" i="1"/>
  <c r="J33" i="1" s="1"/>
  <c r="J14" i="23" s="1"/>
  <c r="K14" i="24" s="1"/>
  <c r="J29" i="1"/>
  <c r="J30" i="1" s="1"/>
  <c r="J13" i="23" s="1"/>
  <c r="K13" i="24" s="1"/>
  <c r="G38" i="1"/>
  <c r="G39" i="1" s="1"/>
  <c r="G16" i="23" s="1"/>
  <c r="H16" i="24" s="1"/>
  <c r="G26" i="1"/>
  <c r="G27" i="1" s="1"/>
  <c r="G12" i="23" s="1"/>
  <c r="H12" i="24" s="1"/>
  <c r="G32" i="1"/>
  <c r="G33" i="1" s="1"/>
  <c r="G14" i="23" s="1"/>
  <c r="H14" i="24" s="1"/>
  <c r="G35" i="1"/>
  <c r="G36" i="1" s="1"/>
  <c r="G15" i="23" s="1"/>
  <c r="H15" i="24" s="1"/>
  <c r="J38" i="1"/>
  <c r="J39" i="1" s="1"/>
  <c r="J16" i="23" s="1"/>
  <c r="K16" i="24" s="1"/>
  <c r="J26" i="1"/>
  <c r="J27" i="1" s="1"/>
  <c r="J12" i="23" s="1"/>
  <c r="K12" i="24" s="1"/>
  <c r="I38" i="1"/>
  <c r="I39" i="1" s="1"/>
  <c r="I16" i="23" s="1"/>
  <c r="J16" i="24" s="1"/>
  <c r="I35" i="1"/>
  <c r="I36" i="1" s="1"/>
  <c r="I15" i="23" s="1"/>
  <c r="J15" i="24" s="1"/>
  <c r="I29" i="1"/>
  <c r="I30" i="1" s="1"/>
  <c r="I13" i="23" s="1"/>
  <c r="J13" i="24" s="1"/>
  <c r="I26" i="1"/>
  <c r="I27" i="1" s="1"/>
  <c r="I12" i="23" s="1"/>
  <c r="J12" i="24" s="1"/>
  <c r="I32" i="1"/>
  <c r="I33" i="1" s="1"/>
  <c r="I14" i="23" s="1"/>
  <c r="J14" i="24" s="1"/>
  <c r="F15" i="1"/>
  <c r="F18" i="1" s="1"/>
  <c r="F20" i="1" s="1"/>
  <c r="F25" i="41"/>
  <c r="U25" i="41" s="1"/>
  <c r="G25" i="41"/>
  <c r="H25" i="41"/>
  <c r="I25" i="41"/>
  <c r="J25" i="41"/>
  <c r="K25" i="41"/>
  <c r="L25" i="41"/>
  <c r="M25" i="41"/>
  <c r="N25" i="41"/>
  <c r="O25" i="41"/>
  <c r="P25" i="41"/>
  <c r="Q25" i="41"/>
  <c r="R25" i="41"/>
  <c r="S25" i="41"/>
  <c r="T25" i="41"/>
  <c r="K11" i="33"/>
  <c r="K49" i="33" s="1"/>
  <c r="L11" i="33"/>
  <c r="L22" i="33" s="1"/>
  <c r="M11" i="33"/>
  <c r="M22" i="33" s="1"/>
  <c r="N11" i="33"/>
  <c r="N22" i="33" s="1"/>
  <c r="O11" i="33"/>
  <c r="O22" i="33" s="1"/>
  <c r="P11" i="33"/>
  <c r="P22" i="33" s="1"/>
  <c r="Q11" i="33"/>
  <c r="Q49" i="33" s="1"/>
  <c r="R11" i="33"/>
  <c r="R49" i="33" s="1"/>
  <c r="K23" i="33"/>
  <c r="L23" i="33"/>
  <c r="M23" i="33"/>
  <c r="N23" i="33"/>
  <c r="O23" i="33"/>
  <c r="P23" i="33"/>
  <c r="Q23" i="33"/>
  <c r="R23" i="33"/>
  <c r="K29" i="33"/>
  <c r="L29" i="33"/>
  <c r="M29" i="33"/>
  <c r="N29" i="33"/>
  <c r="O29" i="33"/>
  <c r="P29" i="33"/>
  <c r="Q29" i="33"/>
  <c r="R29" i="33"/>
  <c r="K44" i="33"/>
  <c r="L44" i="33"/>
  <c r="L48" i="33" s="1"/>
  <c r="M44" i="33"/>
  <c r="N44" i="33"/>
  <c r="O44" i="33"/>
  <c r="P44" i="33"/>
  <c r="P48" i="33" s="1"/>
  <c r="Q44" i="33"/>
  <c r="R44" i="33"/>
  <c r="R48" i="33" s="1"/>
  <c r="K47" i="33"/>
  <c r="L47" i="33"/>
  <c r="M47" i="33"/>
  <c r="N47" i="33"/>
  <c r="O47" i="33"/>
  <c r="P47" i="33"/>
  <c r="Q47" i="33"/>
  <c r="R47" i="33"/>
  <c r="K48" i="33"/>
  <c r="M48" i="33"/>
  <c r="N48" i="33"/>
  <c r="O48" i="33"/>
  <c r="Q48" i="33"/>
  <c r="K50" i="33"/>
  <c r="L50" i="33"/>
  <c r="M50" i="33"/>
  <c r="N50" i="33"/>
  <c r="O50" i="33"/>
  <c r="P50" i="33"/>
  <c r="Q50" i="33"/>
  <c r="R50" i="33"/>
  <c r="J50" i="33"/>
  <c r="J44" i="33"/>
  <c r="J48" i="33" s="1"/>
  <c r="J29" i="33"/>
  <c r="J47" i="33" s="1"/>
  <c r="J23" i="33"/>
  <c r="I50" i="33"/>
  <c r="I47" i="33"/>
  <c r="I48" i="33"/>
  <c r="I23" i="33"/>
  <c r="H50" i="33"/>
  <c r="H47" i="33"/>
  <c r="H48" i="33"/>
  <c r="H23" i="33"/>
  <c r="G50" i="33"/>
  <c r="G47" i="33"/>
  <c r="G48" i="33"/>
  <c r="G23" i="33"/>
  <c r="U50" i="24"/>
  <c r="U48" i="24"/>
  <c r="U47" i="24"/>
  <c r="U44" i="24"/>
  <c r="U29" i="24"/>
  <c r="U23" i="24"/>
  <c r="T50" i="24"/>
  <c r="T48" i="24"/>
  <c r="T44" i="24"/>
  <c r="T29" i="24"/>
  <c r="T47" i="24" s="1"/>
  <c r="T23" i="24"/>
  <c r="S50" i="24"/>
  <c r="S44" i="24"/>
  <c r="S48" i="24" s="1"/>
  <c r="S29" i="24"/>
  <c r="S47" i="24" s="1"/>
  <c r="S23" i="24"/>
  <c r="H12" i="9"/>
  <c r="D12" i="9"/>
  <c r="I18" i="48"/>
  <c r="J18" i="48"/>
  <c r="K18" i="48"/>
  <c r="L18" i="48"/>
  <c r="M18" i="48"/>
  <c r="N18" i="48"/>
  <c r="O18" i="48"/>
  <c r="P18" i="48"/>
  <c r="Q18" i="48"/>
  <c r="R18" i="48"/>
  <c r="H18" i="48"/>
  <c r="J9" i="47"/>
  <c r="L9" i="47"/>
  <c r="N9" i="47"/>
  <c r="P9" i="47"/>
  <c r="J10" i="47"/>
  <c r="L10" i="47"/>
  <c r="N10" i="47"/>
  <c r="P10" i="47"/>
  <c r="J11" i="47"/>
  <c r="L11" i="47"/>
  <c r="N11" i="47"/>
  <c r="P11" i="47"/>
  <c r="J12" i="47"/>
  <c r="L12" i="47"/>
  <c r="N12" i="47"/>
  <c r="P12" i="47"/>
  <c r="L8" i="47"/>
  <c r="N8" i="47"/>
  <c r="P8" i="47"/>
  <c r="J8" i="47"/>
  <c r="P40" i="47"/>
  <c r="N40" i="47"/>
  <c r="L40" i="47"/>
  <c r="J40" i="47"/>
  <c r="H40" i="47"/>
  <c r="P39" i="47"/>
  <c r="N39" i="47"/>
  <c r="L39" i="47"/>
  <c r="J39" i="47"/>
  <c r="H39" i="47"/>
  <c r="P38" i="47"/>
  <c r="N38" i="47"/>
  <c r="L38" i="47"/>
  <c r="J38" i="47"/>
  <c r="H38" i="47"/>
  <c r="P37" i="47"/>
  <c r="N37" i="47"/>
  <c r="L37" i="47"/>
  <c r="J37" i="47"/>
  <c r="H37" i="47"/>
  <c r="P36" i="47"/>
  <c r="N36" i="47"/>
  <c r="L36" i="47"/>
  <c r="J36" i="47"/>
  <c r="H36" i="47"/>
  <c r="H16" i="39" l="1"/>
  <c r="T16" i="38" s="1"/>
  <c r="S16" i="28"/>
  <c r="I11" i="33"/>
  <c r="J11" i="33"/>
  <c r="J22" i="33" s="1"/>
  <c r="S16" i="23"/>
  <c r="H16" i="33"/>
  <c r="G11" i="33"/>
  <c r="S15" i="23"/>
  <c r="H15" i="33"/>
  <c r="S12" i="23"/>
  <c r="H12" i="33"/>
  <c r="S13" i="23"/>
  <c r="H13" i="33"/>
  <c r="K22" i="33"/>
  <c r="L49" i="33"/>
  <c r="L51" i="33" s="1"/>
  <c r="L54" i="33" s="1"/>
  <c r="F22" i="1"/>
  <c r="F35" i="1" s="1"/>
  <c r="F36" i="1" s="1"/>
  <c r="F15" i="23" s="1"/>
  <c r="G15" i="24" s="1"/>
  <c r="Q51" i="33"/>
  <c r="Q54" i="33" s="1"/>
  <c r="Q58" i="33" s="1"/>
  <c r="Q22" i="33"/>
  <c r="O49" i="33"/>
  <c r="O51" i="33" s="1"/>
  <c r="O54" i="33" s="1"/>
  <c r="O59" i="33" s="1"/>
  <c r="N49" i="33"/>
  <c r="N51" i="33" s="1"/>
  <c r="N54" i="33" s="1"/>
  <c r="N61" i="33" s="1"/>
  <c r="P49" i="33"/>
  <c r="P51" i="33" s="1"/>
  <c r="P54" i="33" s="1"/>
  <c r="R22" i="33"/>
  <c r="M49" i="33"/>
  <c r="M51" i="33" s="1"/>
  <c r="M54" i="33" s="1"/>
  <c r="K51" i="33"/>
  <c r="K54" i="33" s="1"/>
  <c r="K58" i="33" s="1"/>
  <c r="R51" i="33"/>
  <c r="R54" i="33" s="1"/>
  <c r="R58" i="33" s="1"/>
  <c r="T22" i="48"/>
  <c r="T21" i="48"/>
  <c r="T20" i="48"/>
  <c r="S18" i="48"/>
  <c r="T18" i="48" s="1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C7" i="16"/>
  <c r="B7" i="16"/>
  <c r="H10" i="9"/>
  <c r="U30" i="29"/>
  <c r="U31" i="29"/>
  <c r="U32" i="29"/>
  <c r="U29" i="29"/>
  <c r="G10" i="9"/>
  <c r="U19" i="28"/>
  <c r="U20" i="28"/>
  <c r="U21" i="28"/>
  <c r="U22" i="28"/>
  <c r="F10" i="9"/>
  <c r="U60" i="29"/>
  <c r="U62" i="29"/>
  <c r="U58" i="29"/>
  <c r="U38" i="29"/>
  <c r="U42" i="29"/>
  <c r="U43" i="29"/>
  <c r="H9" i="9" s="1"/>
  <c r="U44" i="29"/>
  <c r="U45" i="29"/>
  <c r="H11" i="9" s="1"/>
  <c r="U41" i="29"/>
  <c r="U20" i="29"/>
  <c r="U21" i="29"/>
  <c r="U22" i="29"/>
  <c r="U19" i="29"/>
  <c r="U18" i="29"/>
  <c r="U19" i="27"/>
  <c r="U20" i="27"/>
  <c r="U21" i="27"/>
  <c r="U22" i="27"/>
  <c r="E12" i="9"/>
  <c r="U33" i="26"/>
  <c r="U31" i="26"/>
  <c r="U32" i="26"/>
  <c r="E10" i="9"/>
  <c r="U19" i="26"/>
  <c r="U20" i="26"/>
  <c r="U21" i="26"/>
  <c r="U22" i="26"/>
  <c r="D10" i="9"/>
  <c r="U19" i="23"/>
  <c r="U20" i="23"/>
  <c r="U21" i="23"/>
  <c r="U22" i="23"/>
  <c r="U29" i="23"/>
  <c r="U30" i="23"/>
  <c r="U31" i="23"/>
  <c r="U32" i="23"/>
  <c r="G18" i="29"/>
  <c r="L47" i="45" s="1"/>
  <c r="H18" i="29"/>
  <c r="M47" i="45" s="1"/>
  <c r="I18" i="29"/>
  <c r="N47" i="45" s="1"/>
  <c r="J18" i="29"/>
  <c r="K18" i="29"/>
  <c r="P47" i="45" s="1"/>
  <c r="L18" i="29"/>
  <c r="M18" i="29"/>
  <c r="N18" i="29"/>
  <c r="S47" i="45" s="1"/>
  <c r="O18" i="29"/>
  <c r="T47" i="45" s="1"/>
  <c r="P18" i="29"/>
  <c r="Q18" i="29"/>
  <c r="V47" i="45" s="1"/>
  <c r="F18" i="29"/>
  <c r="K47" i="45" s="1"/>
  <c r="F18" i="28"/>
  <c r="K47" i="44" s="1"/>
  <c r="G18" i="28"/>
  <c r="H18" i="28"/>
  <c r="I18" i="28"/>
  <c r="J18" i="28"/>
  <c r="K18" i="28"/>
  <c r="L18" i="28"/>
  <c r="Q47" i="44" s="1"/>
  <c r="M18" i="28"/>
  <c r="R47" i="44" s="1"/>
  <c r="N18" i="28"/>
  <c r="O18" i="28"/>
  <c r="P18" i="28"/>
  <c r="Q18" i="28"/>
  <c r="R18" i="28"/>
  <c r="S18" i="28"/>
  <c r="T18" i="28"/>
  <c r="G18" i="27"/>
  <c r="H18" i="27"/>
  <c r="I18" i="27"/>
  <c r="J18" i="27"/>
  <c r="K18" i="27"/>
  <c r="P47" i="32" s="1"/>
  <c r="L18" i="27"/>
  <c r="Q47" i="32" s="1"/>
  <c r="M18" i="27"/>
  <c r="N18" i="27"/>
  <c r="S47" i="32" s="1"/>
  <c r="O18" i="27"/>
  <c r="P18" i="27"/>
  <c r="U47" i="32" s="1"/>
  <c r="Q18" i="27"/>
  <c r="R18" i="27"/>
  <c r="S18" i="27"/>
  <c r="T18" i="27"/>
  <c r="F18" i="27"/>
  <c r="K47" i="32" s="1"/>
  <c r="H18" i="26"/>
  <c r="G18" i="26"/>
  <c r="F18" i="26"/>
  <c r="I18" i="26"/>
  <c r="J18" i="26"/>
  <c r="K18" i="26"/>
  <c r="L18" i="26"/>
  <c r="M18" i="26"/>
  <c r="N18" i="26"/>
  <c r="O18" i="26"/>
  <c r="P18" i="26"/>
  <c r="Q18" i="26"/>
  <c r="R18" i="26"/>
  <c r="S18" i="26"/>
  <c r="T18" i="26"/>
  <c r="G18" i="23"/>
  <c r="L46" i="30" s="1"/>
  <c r="H18" i="23"/>
  <c r="M46" i="30" s="1"/>
  <c r="I18" i="23"/>
  <c r="J18" i="23"/>
  <c r="K18" i="23"/>
  <c r="L18" i="23"/>
  <c r="M18" i="23"/>
  <c r="R46" i="30" s="1"/>
  <c r="N18" i="23"/>
  <c r="S46" i="30" s="1"/>
  <c r="O18" i="23"/>
  <c r="T46" i="30" s="1"/>
  <c r="P18" i="23"/>
  <c r="U46" i="30" s="1"/>
  <c r="Q18" i="23"/>
  <c r="V46" i="30" s="1"/>
  <c r="R18" i="23"/>
  <c r="S18" i="23"/>
  <c r="T18" i="23"/>
  <c r="F18" i="23"/>
  <c r="K46" i="30" s="1"/>
  <c r="U41" i="28"/>
  <c r="U42" i="28"/>
  <c r="U43" i="28"/>
  <c r="G9" i="9" s="1"/>
  <c r="U44" i="28"/>
  <c r="U45" i="28"/>
  <c r="G11" i="9" s="1"/>
  <c r="U58" i="28"/>
  <c r="U60" i="28"/>
  <c r="U62" i="28"/>
  <c r="U29" i="28"/>
  <c r="U30" i="28"/>
  <c r="G12" i="9" s="1"/>
  <c r="U31" i="28"/>
  <c r="U32" i="28"/>
  <c r="U38" i="28"/>
  <c r="H56" i="28"/>
  <c r="M55" i="44" s="1"/>
  <c r="G56" i="28"/>
  <c r="L55" i="44" s="1"/>
  <c r="F56" i="28"/>
  <c r="H37" i="28"/>
  <c r="M51" i="44" s="1"/>
  <c r="G37" i="28"/>
  <c r="L51" i="44" s="1"/>
  <c r="F37" i="28"/>
  <c r="K51" i="44" s="1"/>
  <c r="H17" i="28"/>
  <c r="G17" i="28"/>
  <c r="L45" i="44" s="1"/>
  <c r="F17" i="28"/>
  <c r="K45" i="44" s="1"/>
  <c r="U29" i="27"/>
  <c r="U30" i="27"/>
  <c r="F12" i="9" s="1"/>
  <c r="U31" i="27"/>
  <c r="U32" i="27"/>
  <c r="U39" i="27"/>
  <c r="U42" i="27"/>
  <c r="U43" i="27"/>
  <c r="U44" i="27"/>
  <c r="F9" i="9" s="1"/>
  <c r="U45" i="27"/>
  <c r="U46" i="27"/>
  <c r="F11" i="9" s="1"/>
  <c r="U60" i="27"/>
  <c r="U62" i="27"/>
  <c r="U64" i="27"/>
  <c r="H58" i="27"/>
  <c r="G58" i="27"/>
  <c r="L55" i="32" s="1"/>
  <c r="F58" i="27"/>
  <c r="K55" i="32" s="1"/>
  <c r="H38" i="27"/>
  <c r="M51" i="32" s="1"/>
  <c r="G38" i="27"/>
  <c r="F38" i="27"/>
  <c r="H17" i="27"/>
  <c r="M45" i="32" s="1"/>
  <c r="G17" i="27"/>
  <c r="L45" i="32" s="1"/>
  <c r="F17" i="27"/>
  <c r="H17" i="26"/>
  <c r="H27" i="26" s="1"/>
  <c r="G17" i="26"/>
  <c r="F17" i="26"/>
  <c r="F27" i="26" s="1"/>
  <c r="U42" i="23"/>
  <c r="U43" i="23"/>
  <c r="U44" i="23"/>
  <c r="D9" i="9" s="1"/>
  <c r="U45" i="23"/>
  <c r="U46" i="23"/>
  <c r="D11" i="9" s="1"/>
  <c r="U60" i="23"/>
  <c r="F55" i="1" s="1"/>
  <c r="U62" i="23"/>
  <c r="U39" i="23"/>
  <c r="F48" i="1" s="1"/>
  <c r="U61" i="26"/>
  <c r="G55" i="1" s="1"/>
  <c r="U63" i="26"/>
  <c r="U65" i="26"/>
  <c r="U43" i="26"/>
  <c r="U44" i="26"/>
  <c r="U45" i="26"/>
  <c r="E9" i="9" s="1"/>
  <c r="U46" i="26"/>
  <c r="U47" i="26"/>
  <c r="E11" i="9" s="1"/>
  <c r="U30" i="26"/>
  <c r="U40" i="26"/>
  <c r="G37" i="29"/>
  <c r="L51" i="45" s="1"/>
  <c r="H37" i="29"/>
  <c r="M51" i="45" s="1"/>
  <c r="I37" i="29"/>
  <c r="N51" i="45" s="1"/>
  <c r="J37" i="29"/>
  <c r="K37" i="29"/>
  <c r="P51" i="45" s="1"/>
  <c r="L37" i="29"/>
  <c r="Q51" i="45" s="1"/>
  <c r="M37" i="29"/>
  <c r="R51" i="45" s="1"/>
  <c r="N37" i="29"/>
  <c r="O37" i="29"/>
  <c r="T51" i="45" s="1"/>
  <c r="P37" i="29"/>
  <c r="U51" i="45" s="1"/>
  <c r="Q37" i="29"/>
  <c r="V51" i="45" s="1"/>
  <c r="F37" i="29"/>
  <c r="K51" i="45" s="1"/>
  <c r="I37" i="28"/>
  <c r="J37" i="28"/>
  <c r="K37" i="28"/>
  <c r="P51" i="44" s="1"/>
  <c r="L37" i="28"/>
  <c r="Q51" i="44" s="1"/>
  <c r="M37" i="28"/>
  <c r="R51" i="44" s="1"/>
  <c r="N37" i="28"/>
  <c r="O37" i="28"/>
  <c r="T51" i="44" s="1"/>
  <c r="P37" i="28"/>
  <c r="U51" i="44" s="1"/>
  <c r="Q37" i="28"/>
  <c r="V51" i="44" s="1"/>
  <c r="R37" i="28"/>
  <c r="S37" i="28"/>
  <c r="T37" i="28"/>
  <c r="I38" i="27"/>
  <c r="N51" i="32" s="1"/>
  <c r="J38" i="27"/>
  <c r="O51" i="32" s="1"/>
  <c r="K38" i="27"/>
  <c r="L38" i="27"/>
  <c r="Q51" i="32" s="1"/>
  <c r="M38" i="27"/>
  <c r="R51" i="32" s="1"/>
  <c r="N38" i="27"/>
  <c r="S51" i="32" s="1"/>
  <c r="O38" i="27"/>
  <c r="P38" i="27"/>
  <c r="U51" i="32" s="1"/>
  <c r="Q38" i="27"/>
  <c r="V51" i="32" s="1"/>
  <c r="R38" i="27"/>
  <c r="S38" i="27"/>
  <c r="T38" i="27"/>
  <c r="G39" i="26"/>
  <c r="L51" i="31" s="1"/>
  <c r="H39" i="26"/>
  <c r="M51" i="31" s="1"/>
  <c r="I39" i="26"/>
  <c r="J39" i="26"/>
  <c r="K39" i="26"/>
  <c r="P51" i="31" s="1"/>
  <c r="L39" i="26"/>
  <c r="Q51" i="31" s="1"/>
  <c r="M39" i="26"/>
  <c r="N39" i="26"/>
  <c r="S51" i="31" s="1"/>
  <c r="O39" i="26"/>
  <c r="T51" i="31" s="1"/>
  <c r="P39" i="26"/>
  <c r="U51" i="31" s="1"/>
  <c r="Q39" i="26"/>
  <c r="R39" i="26"/>
  <c r="S39" i="26"/>
  <c r="T39" i="26"/>
  <c r="F39" i="26"/>
  <c r="G38" i="23"/>
  <c r="L50" i="30" s="1"/>
  <c r="H38" i="23"/>
  <c r="I38" i="23"/>
  <c r="N50" i="30" s="1"/>
  <c r="J38" i="23"/>
  <c r="K38" i="23"/>
  <c r="L38" i="23"/>
  <c r="M38" i="23"/>
  <c r="R50" i="30" s="1"/>
  <c r="N38" i="23"/>
  <c r="O38" i="23"/>
  <c r="T50" i="30" s="1"/>
  <c r="P38" i="23"/>
  <c r="Q38" i="23"/>
  <c r="R38" i="23"/>
  <c r="S38" i="23"/>
  <c r="T38" i="23"/>
  <c r="F38" i="23"/>
  <c r="K50" i="30" s="1"/>
  <c r="N32" i="43"/>
  <c r="S93" i="45" s="1"/>
  <c r="O32" i="43"/>
  <c r="T93" i="45" s="1"/>
  <c r="P32" i="43"/>
  <c r="U93" i="45" s="1"/>
  <c r="Q32" i="43"/>
  <c r="V93" i="45" s="1"/>
  <c r="S92" i="45"/>
  <c r="T92" i="45"/>
  <c r="U92" i="45"/>
  <c r="V92" i="45"/>
  <c r="K63" i="45"/>
  <c r="L61" i="45"/>
  <c r="M61" i="45"/>
  <c r="N61" i="45"/>
  <c r="O61" i="45"/>
  <c r="P61" i="45"/>
  <c r="Q61" i="45"/>
  <c r="R61" i="45"/>
  <c r="S61" i="45"/>
  <c r="T61" i="45"/>
  <c r="U61" i="45"/>
  <c r="V61" i="45"/>
  <c r="K61" i="45"/>
  <c r="L59" i="45"/>
  <c r="M59" i="45"/>
  <c r="N59" i="45"/>
  <c r="O59" i="45"/>
  <c r="P59" i="45"/>
  <c r="Q59" i="45"/>
  <c r="R59" i="45"/>
  <c r="S59" i="45"/>
  <c r="T59" i="45"/>
  <c r="U59" i="45"/>
  <c r="V59" i="45"/>
  <c r="K59" i="45"/>
  <c r="L53" i="45"/>
  <c r="M53" i="45"/>
  <c r="N53" i="45"/>
  <c r="O53" i="45"/>
  <c r="P53" i="45"/>
  <c r="Q53" i="45"/>
  <c r="R53" i="45"/>
  <c r="S53" i="45"/>
  <c r="T53" i="45"/>
  <c r="U53" i="45"/>
  <c r="V53" i="45"/>
  <c r="K53" i="45"/>
  <c r="O51" i="45"/>
  <c r="O47" i="45"/>
  <c r="Q47" i="45"/>
  <c r="R47" i="45"/>
  <c r="U47" i="45"/>
  <c r="M15" i="45"/>
  <c r="N15" i="45"/>
  <c r="O15" i="45"/>
  <c r="P15" i="45"/>
  <c r="Q15" i="45"/>
  <c r="R15" i="45"/>
  <c r="S15" i="45"/>
  <c r="T15" i="45"/>
  <c r="U15" i="45"/>
  <c r="V15" i="45"/>
  <c r="L15" i="45"/>
  <c r="M12" i="45"/>
  <c r="N12" i="45"/>
  <c r="O12" i="45"/>
  <c r="P12" i="45"/>
  <c r="Q12" i="45"/>
  <c r="R12" i="45"/>
  <c r="S12" i="45"/>
  <c r="T12" i="45"/>
  <c r="U12" i="45"/>
  <c r="V12" i="45"/>
  <c r="L12" i="45"/>
  <c r="L9" i="45"/>
  <c r="M9" i="45"/>
  <c r="N9" i="45"/>
  <c r="O9" i="45"/>
  <c r="P9" i="45"/>
  <c r="Q9" i="45"/>
  <c r="R9" i="45"/>
  <c r="S9" i="45"/>
  <c r="T9" i="45"/>
  <c r="U9" i="45"/>
  <c r="V9" i="45"/>
  <c r="K9" i="45"/>
  <c r="M7" i="45"/>
  <c r="N7" i="45"/>
  <c r="O7" i="45"/>
  <c r="P7" i="45"/>
  <c r="Q7" i="45"/>
  <c r="R7" i="45"/>
  <c r="S7" i="45"/>
  <c r="T7" i="45"/>
  <c r="U7" i="45"/>
  <c r="V7" i="45"/>
  <c r="L7" i="45"/>
  <c r="L6" i="45"/>
  <c r="M6" i="45"/>
  <c r="N6" i="45"/>
  <c r="O6" i="45"/>
  <c r="P6" i="45"/>
  <c r="Q6" i="45"/>
  <c r="R6" i="45"/>
  <c r="S6" i="45"/>
  <c r="T6" i="45"/>
  <c r="U6" i="45"/>
  <c r="V6" i="45"/>
  <c r="K6" i="45"/>
  <c r="V63" i="45"/>
  <c r="U63" i="45"/>
  <c r="T63" i="45"/>
  <c r="S63" i="45"/>
  <c r="R63" i="45"/>
  <c r="Q63" i="45"/>
  <c r="P63" i="45"/>
  <c r="O63" i="45"/>
  <c r="N63" i="45"/>
  <c r="M63" i="45"/>
  <c r="L63" i="45"/>
  <c r="V91" i="44"/>
  <c r="O63" i="44"/>
  <c r="P63" i="44"/>
  <c r="Q63" i="44"/>
  <c r="R63" i="44"/>
  <c r="S63" i="44"/>
  <c r="T63" i="44"/>
  <c r="U63" i="44"/>
  <c r="V63" i="44"/>
  <c r="L63" i="44"/>
  <c r="M63" i="44"/>
  <c r="N63" i="44"/>
  <c r="K63" i="44"/>
  <c r="L61" i="44"/>
  <c r="M61" i="44"/>
  <c r="N61" i="44"/>
  <c r="O61" i="44"/>
  <c r="P61" i="44"/>
  <c r="Q61" i="44"/>
  <c r="R61" i="44"/>
  <c r="S61" i="44"/>
  <c r="T61" i="44"/>
  <c r="U61" i="44"/>
  <c r="V61" i="44"/>
  <c r="K61" i="44"/>
  <c r="L59" i="44"/>
  <c r="M59" i="44"/>
  <c r="N59" i="44"/>
  <c r="O59" i="44"/>
  <c r="P59" i="44"/>
  <c r="Q59" i="44"/>
  <c r="R59" i="44"/>
  <c r="S59" i="44"/>
  <c r="T59" i="44"/>
  <c r="U59" i="44"/>
  <c r="V59" i="44"/>
  <c r="K59" i="44"/>
  <c r="L53" i="44"/>
  <c r="M53" i="44"/>
  <c r="N53" i="44"/>
  <c r="O53" i="44"/>
  <c r="P53" i="44"/>
  <c r="Q53" i="44"/>
  <c r="R53" i="44"/>
  <c r="S53" i="44"/>
  <c r="T53" i="44"/>
  <c r="U53" i="44"/>
  <c r="V53" i="44"/>
  <c r="K53" i="44"/>
  <c r="N51" i="44"/>
  <c r="O51" i="44"/>
  <c r="L47" i="44"/>
  <c r="M47" i="44"/>
  <c r="N47" i="44"/>
  <c r="O47" i="44"/>
  <c r="P47" i="44"/>
  <c r="S47" i="44"/>
  <c r="T47" i="44"/>
  <c r="U47" i="44"/>
  <c r="V47" i="44"/>
  <c r="M15" i="44"/>
  <c r="N15" i="44"/>
  <c r="O15" i="44"/>
  <c r="P15" i="44"/>
  <c r="Q15" i="44"/>
  <c r="R15" i="44"/>
  <c r="S15" i="44"/>
  <c r="T15" i="44"/>
  <c r="U15" i="44"/>
  <c r="V15" i="44"/>
  <c r="L15" i="44"/>
  <c r="M12" i="44"/>
  <c r="N12" i="44"/>
  <c r="O12" i="44"/>
  <c r="P12" i="44"/>
  <c r="Q12" i="44"/>
  <c r="R12" i="44"/>
  <c r="S12" i="44"/>
  <c r="T12" i="44"/>
  <c r="U12" i="44"/>
  <c r="V12" i="44"/>
  <c r="L12" i="44"/>
  <c r="M9" i="44"/>
  <c r="N9" i="44"/>
  <c r="O9" i="44"/>
  <c r="P9" i="44"/>
  <c r="Q9" i="44"/>
  <c r="R9" i="44"/>
  <c r="S9" i="44"/>
  <c r="T9" i="44"/>
  <c r="U9" i="44"/>
  <c r="V9" i="44"/>
  <c r="L9" i="44"/>
  <c r="M7" i="44"/>
  <c r="N7" i="44"/>
  <c r="O7" i="44"/>
  <c r="P7" i="44"/>
  <c r="Q7" i="44"/>
  <c r="R7" i="44"/>
  <c r="S7" i="44"/>
  <c r="T7" i="44"/>
  <c r="U7" i="44"/>
  <c r="V7" i="44"/>
  <c r="L7" i="44"/>
  <c r="L6" i="44"/>
  <c r="M6" i="44"/>
  <c r="N6" i="44"/>
  <c r="O6" i="44"/>
  <c r="P6" i="44"/>
  <c r="Q6" i="44"/>
  <c r="R6" i="44"/>
  <c r="S6" i="44"/>
  <c r="T6" i="44"/>
  <c r="U6" i="44"/>
  <c r="V6" i="44"/>
  <c r="K6" i="44"/>
  <c r="M15" i="32"/>
  <c r="N15" i="32"/>
  <c r="O15" i="32"/>
  <c r="P15" i="32"/>
  <c r="Q15" i="32"/>
  <c r="R15" i="32"/>
  <c r="S15" i="32"/>
  <c r="T15" i="32"/>
  <c r="U15" i="32"/>
  <c r="V15" i="32"/>
  <c r="L15" i="32"/>
  <c r="M12" i="32"/>
  <c r="N12" i="32"/>
  <c r="O12" i="32"/>
  <c r="P12" i="32"/>
  <c r="Q12" i="32"/>
  <c r="R12" i="32"/>
  <c r="S12" i="32"/>
  <c r="T12" i="32"/>
  <c r="U12" i="32"/>
  <c r="V12" i="32"/>
  <c r="L12" i="32"/>
  <c r="L9" i="32"/>
  <c r="T9" i="32"/>
  <c r="M7" i="32"/>
  <c r="N7" i="32"/>
  <c r="O7" i="32"/>
  <c r="P7" i="32"/>
  <c r="Q7" i="32"/>
  <c r="R7" i="32"/>
  <c r="S7" i="32"/>
  <c r="T7" i="32"/>
  <c r="U7" i="32"/>
  <c r="V7" i="32"/>
  <c r="L7" i="32"/>
  <c r="L6" i="32"/>
  <c r="M6" i="32"/>
  <c r="N6" i="32"/>
  <c r="O6" i="32"/>
  <c r="P6" i="32"/>
  <c r="Q6" i="32"/>
  <c r="R6" i="32"/>
  <c r="S6" i="32"/>
  <c r="T6" i="32"/>
  <c r="U6" i="32"/>
  <c r="V6" i="32"/>
  <c r="K6" i="32"/>
  <c r="V91" i="31"/>
  <c r="M15" i="31"/>
  <c r="N15" i="31"/>
  <c r="O15" i="31"/>
  <c r="P15" i="31"/>
  <c r="Q15" i="31"/>
  <c r="R15" i="31"/>
  <c r="S15" i="31"/>
  <c r="T15" i="31"/>
  <c r="U15" i="31"/>
  <c r="V15" i="31"/>
  <c r="L15" i="31"/>
  <c r="M12" i="31"/>
  <c r="N12" i="31"/>
  <c r="O12" i="31"/>
  <c r="P12" i="31"/>
  <c r="Q12" i="31"/>
  <c r="R12" i="31"/>
  <c r="S12" i="31"/>
  <c r="T12" i="31"/>
  <c r="U12" i="31"/>
  <c r="V12" i="31"/>
  <c r="L12" i="31"/>
  <c r="M7" i="31"/>
  <c r="N7" i="31"/>
  <c r="O7" i="31"/>
  <c r="P7" i="31"/>
  <c r="Q7" i="31"/>
  <c r="R7" i="31"/>
  <c r="S7" i="31"/>
  <c r="T7" i="31"/>
  <c r="U7" i="31"/>
  <c r="V7" i="31"/>
  <c r="L7" i="31"/>
  <c r="L6" i="31"/>
  <c r="M6" i="31"/>
  <c r="N6" i="31"/>
  <c r="O6" i="31"/>
  <c r="P6" i="31"/>
  <c r="Q6" i="31"/>
  <c r="R6" i="31"/>
  <c r="S6" i="31"/>
  <c r="T6" i="31"/>
  <c r="U6" i="31"/>
  <c r="V6" i="31"/>
  <c r="K6" i="31"/>
  <c r="K90" i="30"/>
  <c r="G27" i="25"/>
  <c r="L90" i="30" s="1"/>
  <c r="L15" i="30"/>
  <c r="M15" i="30"/>
  <c r="N15" i="30"/>
  <c r="O15" i="30"/>
  <c r="P15" i="30"/>
  <c r="Q15" i="30"/>
  <c r="R15" i="30"/>
  <c r="S15" i="30"/>
  <c r="T15" i="30"/>
  <c r="U15" i="30"/>
  <c r="V15" i="30"/>
  <c r="L12" i="30"/>
  <c r="M12" i="30"/>
  <c r="N12" i="30"/>
  <c r="O12" i="30"/>
  <c r="P12" i="30"/>
  <c r="Q12" i="30"/>
  <c r="R12" i="30"/>
  <c r="S12" i="30"/>
  <c r="T12" i="30"/>
  <c r="U12" i="30"/>
  <c r="V12" i="30"/>
  <c r="L7" i="30"/>
  <c r="M7" i="30"/>
  <c r="N7" i="30"/>
  <c r="O7" i="30"/>
  <c r="P7" i="30"/>
  <c r="Q7" i="30"/>
  <c r="R7" i="30"/>
  <c r="S7" i="30"/>
  <c r="T7" i="30"/>
  <c r="U7" i="30"/>
  <c r="V7" i="30"/>
  <c r="L6" i="30"/>
  <c r="M6" i="30"/>
  <c r="N6" i="30"/>
  <c r="O6" i="30"/>
  <c r="P6" i="30"/>
  <c r="Q6" i="30"/>
  <c r="R6" i="30"/>
  <c r="S6" i="30"/>
  <c r="T6" i="30"/>
  <c r="U6" i="30"/>
  <c r="V6" i="30"/>
  <c r="K6" i="30"/>
  <c r="V35" i="39"/>
  <c r="V35" i="38"/>
  <c r="V35" i="37"/>
  <c r="W35" i="33"/>
  <c r="V35" i="24"/>
  <c r="V35" i="33"/>
  <c r="V19" i="39"/>
  <c r="V19" i="38"/>
  <c r="V19" i="37"/>
  <c r="V19" i="33"/>
  <c r="V19" i="24"/>
  <c r="N11" i="24"/>
  <c r="N22" i="24" s="1"/>
  <c r="O11" i="24"/>
  <c r="O49" i="24" s="1"/>
  <c r="P11" i="24"/>
  <c r="P22" i="24" s="1"/>
  <c r="Q11" i="24"/>
  <c r="U5" i="30" s="1"/>
  <c r="Q25" i="43"/>
  <c r="V91" i="45" s="1"/>
  <c r="P25" i="43"/>
  <c r="U91" i="45" s="1"/>
  <c r="O25" i="43"/>
  <c r="T91" i="45" s="1"/>
  <c r="N25" i="43"/>
  <c r="S91" i="45" s="1"/>
  <c r="M25" i="43"/>
  <c r="R91" i="45" s="1"/>
  <c r="L25" i="43"/>
  <c r="Q91" i="45" s="1"/>
  <c r="K25" i="43"/>
  <c r="P91" i="45" s="1"/>
  <c r="J25" i="43"/>
  <c r="O91" i="45" s="1"/>
  <c r="I25" i="43"/>
  <c r="N91" i="45" s="1"/>
  <c r="H25" i="43"/>
  <c r="M91" i="45" s="1"/>
  <c r="G25" i="43"/>
  <c r="L91" i="45" s="1"/>
  <c r="F25" i="43"/>
  <c r="T25" i="42"/>
  <c r="S25" i="42"/>
  <c r="R25" i="42"/>
  <c r="Q25" i="42"/>
  <c r="P25" i="42"/>
  <c r="U91" i="44" s="1"/>
  <c r="O25" i="42"/>
  <c r="T91" i="44" s="1"/>
  <c r="N25" i="42"/>
  <c r="S91" i="44" s="1"/>
  <c r="M25" i="42"/>
  <c r="R91" i="44" s="1"/>
  <c r="L25" i="42"/>
  <c r="Q91" i="44" s="1"/>
  <c r="K25" i="42"/>
  <c r="P91" i="44" s="1"/>
  <c r="J25" i="42"/>
  <c r="O91" i="44" s="1"/>
  <c r="I25" i="42"/>
  <c r="N91" i="44" s="1"/>
  <c r="H25" i="42"/>
  <c r="M91" i="44" s="1"/>
  <c r="G25" i="42"/>
  <c r="L91" i="44" s="1"/>
  <c r="F25" i="42"/>
  <c r="K91" i="44" s="1"/>
  <c r="V91" i="32"/>
  <c r="U91" i="32"/>
  <c r="T91" i="32"/>
  <c r="S91" i="32"/>
  <c r="R91" i="32"/>
  <c r="Q91" i="32"/>
  <c r="P91" i="32"/>
  <c r="O91" i="32"/>
  <c r="N91" i="32"/>
  <c r="M91" i="32"/>
  <c r="L91" i="32"/>
  <c r="K91" i="32"/>
  <c r="U91" i="31"/>
  <c r="T91" i="31"/>
  <c r="S91" i="31"/>
  <c r="R91" i="31"/>
  <c r="Q91" i="31"/>
  <c r="P91" i="31"/>
  <c r="O91" i="31"/>
  <c r="N91" i="31"/>
  <c r="M91" i="31"/>
  <c r="L91" i="31"/>
  <c r="F25" i="40"/>
  <c r="R50" i="39"/>
  <c r="Q50" i="39"/>
  <c r="P50" i="39"/>
  <c r="O50" i="39"/>
  <c r="N50" i="39"/>
  <c r="M50" i="39"/>
  <c r="L50" i="39"/>
  <c r="K50" i="39"/>
  <c r="J50" i="39"/>
  <c r="I50" i="39"/>
  <c r="H50" i="39"/>
  <c r="G50" i="39"/>
  <c r="P47" i="39"/>
  <c r="M47" i="39"/>
  <c r="L47" i="39"/>
  <c r="K47" i="39"/>
  <c r="H47" i="39"/>
  <c r="R44" i="39"/>
  <c r="R48" i="39" s="1"/>
  <c r="Q44" i="39"/>
  <c r="Q48" i="39" s="1"/>
  <c r="P44" i="39"/>
  <c r="P48" i="39" s="1"/>
  <c r="O44" i="39"/>
  <c r="O48" i="39" s="1"/>
  <c r="N44" i="39"/>
  <c r="N48" i="39" s="1"/>
  <c r="M44" i="39"/>
  <c r="M48" i="39" s="1"/>
  <c r="L44" i="39"/>
  <c r="L48" i="39" s="1"/>
  <c r="K44" i="39"/>
  <c r="K48" i="39" s="1"/>
  <c r="J44" i="39"/>
  <c r="J48" i="39" s="1"/>
  <c r="I44" i="39"/>
  <c r="H44" i="39"/>
  <c r="G44" i="39"/>
  <c r="R29" i="39"/>
  <c r="R47" i="39" s="1"/>
  <c r="Q29" i="39"/>
  <c r="Q47" i="39" s="1"/>
  <c r="P29" i="39"/>
  <c r="O29" i="39"/>
  <c r="O47" i="39" s="1"/>
  <c r="N29" i="39"/>
  <c r="N47" i="39" s="1"/>
  <c r="M29" i="39"/>
  <c r="L29" i="39"/>
  <c r="K29" i="39"/>
  <c r="J29" i="39"/>
  <c r="J47" i="39" s="1"/>
  <c r="I29" i="39"/>
  <c r="I47" i="39" s="1"/>
  <c r="H29" i="39"/>
  <c r="G29" i="39"/>
  <c r="G47" i="39" s="1"/>
  <c r="R23" i="39"/>
  <c r="Q23" i="39"/>
  <c r="P23" i="39"/>
  <c r="O23" i="39"/>
  <c r="N23" i="39"/>
  <c r="M23" i="39"/>
  <c r="L23" i="39"/>
  <c r="K23" i="39"/>
  <c r="J23" i="39"/>
  <c r="I23" i="39"/>
  <c r="H23" i="39"/>
  <c r="G23" i="39"/>
  <c r="R11" i="39"/>
  <c r="R22" i="39" s="1"/>
  <c r="Q11" i="39"/>
  <c r="Q22" i="39" s="1"/>
  <c r="P11" i="39"/>
  <c r="P49" i="39" s="1"/>
  <c r="O11" i="39"/>
  <c r="O22" i="39" s="1"/>
  <c r="N11" i="39"/>
  <c r="N22" i="39" s="1"/>
  <c r="M11" i="39"/>
  <c r="Q5" i="45" s="1"/>
  <c r="L11" i="39"/>
  <c r="L22" i="39" s="1"/>
  <c r="K11" i="39"/>
  <c r="K22" i="39" s="1"/>
  <c r="J11" i="39"/>
  <c r="J22" i="39" s="1"/>
  <c r="I11" i="39"/>
  <c r="G11" i="39"/>
  <c r="G49" i="39" s="1"/>
  <c r="U50" i="38"/>
  <c r="T50" i="38"/>
  <c r="S50" i="38"/>
  <c r="R50" i="38"/>
  <c r="Q50" i="38"/>
  <c r="P50" i="38"/>
  <c r="O50" i="38"/>
  <c r="N50" i="38"/>
  <c r="M50" i="38"/>
  <c r="L50" i="38"/>
  <c r="K50" i="38"/>
  <c r="J50" i="38"/>
  <c r="I50" i="38"/>
  <c r="H50" i="38"/>
  <c r="G50" i="38"/>
  <c r="R47" i="38"/>
  <c r="Q47" i="38"/>
  <c r="K47" i="38"/>
  <c r="J47" i="38"/>
  <c r="I47" i="38"/>
  <c r="R44" i="38"/>
  <c r="R48" i="38" s="1"/>
  <c r="Q44" i="38"/>
  <c r="Q48" i="38" s="1"/>
  <c r="P44" i="38"/>
  <c r="P48" i="38" s="1"/>
  <c r="O44" i="38"/>
  <c r="O48" i="38" s="1"/>
  <c r="N44" i="38"/>
  <c r="N48" i="38" s="1"/>
  <c r="M44" i="38"/>
  <c r="M48" i="38" s="1"/>
  <c r="L44" i="38"/>
  <c r="L48" i="38" s="1"/>
  <c r="K44" i="38"/>
  <c r="K48" i="38" s="1"/>
  <c r="J44" i="38"/>
  <c r="J48" i="38" s="1"/>
  <c r="I44" i="38"/>
  <c r="H44" i="38"/>
  <c r="G44" i="38"/>
  <c r="U47" i="38"/>
  <c r="T47" i="38"/>
  <c r="S47" i="38"/>
  <c r="R29" i="38"/>
  <c r="Q29" i="38"/>
  <c r="P29" i="38"/>
  <c r="P47" i="38" s="1"/>
  <c r="O29" i="38"/>
  <c r="O47" i="38" s="1"/>
  <c r="N29" i="38"/>
  <c r="N47" i="38" s="1"/>
  <c r="M29" i="38"/>
  <c r="M47" i="38" s="1"/>
  <c r="L29" i="38"/>
  <c r="L47" i="38" s="1"/>
  <c r="K29" i="38"/>
  <c r="J29" i="38"/>
  <c r="I29" i="38"/>
  <c r="H29" i="38"/>
  <c r="H47" i="38" s="1"/>
  <c r="G29" i="38"/>
  <c r="G47" i="38" s="1"/>
  <c r="U23" i="38"/>
  <c r="T23" i="38"/>
  <c r="S23" i="38"/>
  <c r="R23" i="38"/>
  <c r="Q23" i="38"/>
  <c r="P23" i="38"/>
  <c r="O23" i="38"/>
  <c r="N23" i="38"/>
  <c r="M23" i="38"/>
  <c r="L23" i="38"/>
  <c r="K23" i="38"/>
  <c r="J23" i="38"/>
  <c r="I23" i="38"/>
  <c r="H23" i="38"/>
  <c r="G23" i="38"/>
  <c r="R11" i="38"/>
  <c r="R22" i="38" s="1"/>
  <c r="Q11" i="38"/>
  <c r="Q49" i="38" s="1"/>
  <c r="P11" i="38"/>
  <c r="P49" i="38" s="1"/>
  <c r="O11" i="38"/>
  <c r="O22" i="38" s="1"/>
  <c r="N11" i="38"/>
  <c r="N49" i="38" s="1"/>
  <c r="M11" i="38"/>
  <c r="M49" i="38" s="1"/>
  <c r="L11" i="38"/>
  <c r="L22" i="38" s="1"/>
  <c r="K11" i="38"/>
  <c r="K22" i="38" s="1"/>
  <c r="J11" i="38"/>
  <c r="J22" i="38" s="1"/>
  <c r="I11" i="38"/>
  <c r="H11" i="38"/>
  <c r="G11" i="38"/>
  <c r="U50" i="37"/>
  <c r="T50" i="37"/>
  <c r="S50" i="37"/>
  <c r="R50" i="37"/>
  <c r="Q50" i="37"/>
  <c r="P50" i="37"/>
  <c r="O50" i="37"/>
  <c r="N50" i="37"/>
  <c r="M50" i="37"/>
  <c r="L50" i="37"/>
  <c r="K50" i="37"/>
  <c r="J50" i="37"/>
  <c r="I50" i="37"/>
  <c r="H50" i="37"/>
  <c r="G50" i="37"/>
  <c r="R44" i="37"/>
  <c r="R48" i="37" s="1"/>
  <c r="Q44" i="37"/>
  <c r="Q48" i="37" s="1"/>
  <c r="P44" i="37"/>
  <c r="P48" i="37" s="1"/>
  <c r="O44" i="37"/>
  <c r="O48" i="37" s="1"/>
  <c r="N44" i="37"/>
  <c r="N48" i="37" s="1"/>
  <c r="M44" i="37"/>
  <c r="M48" i="37" s="1"/>
  <c r="L44" i="37"/>
  <c r="L48" i="37" s="1"/>
  <c r="K44" i="37"/>
  <c r="K48" i="37" s="1"/>
  <c r="J44" i="37"/>
  <c r="J48" i="37" s="1"/>
  <c r="I44" i="37"/>
  <c r="H44" i="37"/>
  <c r="G44" i="37"/>
  <c r="U47" i="37"/>
  <c r="T47" i="37"/>
  <c r="S47" i="37"/>
  <c r="R29" i="37"/>
  <c r="R47" i="37" s="1"/>
  <c r="Q29" i="37"/>
  <c r="Q47" i="37" s="1"/>
  <c r="P29" i="37"/>
  <c r="P47" i="37" s="1"/>
  <c r="O29" i="37"/>
  <c r="O47" i="37" s="1"/>
  <c r="N29" i="37"/>
  <c r="R9" i="32" s="1"/>
  <c r="M29" i="37"/>
  <c r="Q9" i="32" s="1"/>
  <c r="L29" i="37"/>
  <c r="L47" i="37" s="1"/>
  <c r="K29" i="37"/>
  <c r="K47" i="37" s="1"/>
  <c r="J29" i="37"/>
  <c r="J47" i="37" s="1"/>
  <c r="I29" i="37"/>
  <c r="I47" i="37" s="1"/>
  <c r="H29" i="37"/>
  <c r="H47" i="37" s="1"/>
  <c r="G29" i="37"/>
  <c r="U23" i="37"/>
  <c r="T23" i="37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R11" i="37"/>
  <c r="R49" i="37" s="1"/>
  <c r="Q11" i="37"/>
  <c r="Q22" i="37" s="1"/>
  <c r="P11" i="37"/>
  <c r="P22" i="37" s="1"/>
  <c r="O11" i="37"/>
  <c r="O22" i="37" s="1"/>
  <c r="N11" i="37"/>
  <c r="N49" i="37" s="1"/>
  <c r="M11" i="37"/>
  <c r="M49" i="37" s="1"/>
  <c r="L11" i="37"/>
  <c r="L22" i="37" s="1"/>
  <c r="K11" i="37"/>
  <c r="K22" i="37" s="1"/>
  <c r="J11" i="37"/>
  <c r="J22" i="37" s="1"/>
  <c r="J24" i="37" s="1"/>
  <c r="N8" i="32" s="1"/>
  <c r="I11" i="37"/>
  <c r="H11" i="37"/>
  <c r="G11" i="37"/>
  <c r="F31" i="25"/>
  <c r="U50" i="33"/>
  <c r="T50" i="33"/>
  <c r="S50" i="33"/>
  <c r="U47" i="33"/>
  <c r="T47" i="33"/>
  <c r="S47" i="33"/>
  <c r="U23" i="33"/>
  <c r="R23" i="24"/>
  <c r="Q23" i="24"/>
  <c r="P23" i="24"/>
  <c r="O23" i="24"/>
  <c r="N23" i="24"/>
  <c r="M23" i="24"/>
  <c r="L23" i="24"/>
  <c r="K23" i="24"/>
  <c r="J23" i="24"/>
  <c r="I23" i="24"/>
  <c r="H23" i="24"/>
  <c r="H11" i="24"/>
  <c r="H49" i="24" s="1"/>
  <c r="I11" i="24"/>
  <c r="I49" i="24" s="1"/>
  <c r="J11" i="24"/>
  <c r="J49" i="24" s="1"/>
  <c r="K11" i="24"/>
  <c r="K22" i="24" s="1"/>
  <c r="L11" i="24"/>
  <c r="L22" i="24" s="1"/>
  <c r="M11" i="24"/>
  <c r="M49" i="24" s="1"/>
  <c r="R11" i="24"/>
  <c r="R22" i="24" s="1"/>
  <c r="H50" i="24"/>
  <c r="I50" i="24"/>
  <c r="J50" i="24"/>
  <c r="K50" i="24"/>
  <c r="L50" i="24"/>
  <c r="M50" i="24"/>
  <c r="N50" i="24"/>
  <c r="O50" i="24"/>
  <c r="P50" i="24"/>
  <c r="Q50" i="24"/>
  <c r="R50" i="24"/>
  <c r="G50" i="24"/>
  <c r="R47" i="24"/>
  <c r="Q47" i="24"/>
  <c r="P47" i="24"/>
  <c r="K47" i="24"/>
  <c r="J47" i="24"/>
  <c r="I47" i="24"/>
  <c r="H47" i="24"/>
  <c r="H29" i="24"/>
  <c r="I29" i="24"/>
  <c r="J29" i="24"/>
  <c r="K29" i="24"/>
  <c r="L29" i="24"/>
  <c r="L47" i="24" s="1"/>
  <c r="M29" i="24"/>
  <c r="M47" i="24" s="1"/>
  <c r="N29" i="24"/>
  <c r="N47" i="24" s="1"/>
  <c r="O29" i="24"/>
  <c r="O47" i="24" s="1"/>
  <c r="P29" i="24"/>
  <c r="Q29" i="24"/>
  <c r="R29" i="24"/>
  <c r="G29" i="24"/>
  <c r="G47" i="24" s="1"/>
  <c r="K16" i="30" s="1"/>
  <c r="L63" i="32"/>
  <c r="M63" i="32"/>
  <c r="N63" i="32"/>
  <c r="O63" i="32"/>
  <c r="P63" i="32"/>
  <c r="Q63" i="32"/>
  <c r="R63" i="32"/>
  <c r="S63" i="32"/>
  <c r="T63" i="32"/>
  <c r="U63" i="32"/>
  <c r="V63" i="32"/>
  <c r="K63" i="32"/>
  <c r="L61" i="32"/>
  <c r="M61" i="32"/>
  <c r="N61" i="32"/>
  <c r="O61" i="32"/>
  <c r="P61" i="32"/>
  <c r="Q61" i="32"/>
  <c r="R61" i="32"/>
  <c r="S61" i="32"/>
  <c r="T61" i="32"/>
  <c r="U61" i="32"/>
  <c r="V61" i="32"/>
  <c r="K61" i="32"/>
  <c r="L59" i="32"/>
  <c r="M59" i="32"/>
  <c r="N59" i="32"/>
  <c r="O59" i="32"/>
  <c r="P59" i="32"/>
  <c r="Q59" i="32"/>
  <c r="R59" i="32"/>
  <c r="S59" i="32"/>
  <c r="T59" i="32"/>
  <c r="U59" i="32"/>
  <c r="V59" i="32"/>
  <c r="K59" i="32"/>
  <c r="L53" i="32"/>
  <c r="M53" i="32"/>
  <c r="N53" i="32"/>
  <c r="O53" i="32"/>
  <c r="P53" i="32"/>
  <c r="Q53" i="32"/>
  <c r="R53" i="32"/>
  <c r="S53" i="32"/>
  <c r="T53" i="32"/>
  <c r="U53" i="32"/>
  <c r="V53" i="32"/>
  <c r="K53" i="32"/>
  <c r="P51" i="32"/>
  <c r="T51" i="32"/>
  <c r="L47" i="32"/>
  <c r="N47" i="32"/>
  <c r="O47" i="32"/>
  <c r="R47" i="32"/>
  <c r="T47" i="32"/>
  <c r="V47" i="32"/>
  <c r="L63" i="31"/>
  <c r="M63" i="31"/>
  <c r="N63" i="31"/>
  <c r="O63" i="31"/>
  <c r="P63" i="31"/>
  <c r="Q63" i="31"/>
  <c r="R63" i="31"/>
  <c r="S63" i="31"/>
  <c r="T63" i="31"/>
  <c r="U63" i="31"/>
  <c r="V63" i="31"/>
  <c r="K63" i="31"/>
  <c r="M61" i="31"/>
  <c r="N61" i="31"/>
  <c r="O61" i="31"/>
  <c r="P61" i="31"/>
  <c r="Q61" i="31"/>
  <c r="R61" i="31"/>
  <c r="S61" i="31"/>
  <c r="T61" i="31"/>
  <c r="U61" i="31"/>
  <c r="L61" i="31"/>
  <c r="V61" i="31"/>
  <c r="K61" i="31"/>
  <c r="L59" i="31"/>
  <c r="M59" i="31"/>
  <c r="N59" i="31"/>
  <c r="O59" i="31"/>
  <c r="P59" i="31"/>
  <c r="Q59" i="31"/>
  <c r="R59" i="31"/>
  <c r="S59" i="31"/>
  <c r="T59" i="31"/>
  <c r="U59" i="31"/>
  <c r="V59" i="31"/>
  <c r="K59" i="31"/>
  <c r="M53" i="31"/>
  <c r="N53" i="31"/>
  <c r="O53" i="31"/>
  <c r="P53" i="31"/>
  <c r="Q53" i="31"/>
  <c r="R53" i="31"/>
  <c r="S53" i="31"/>
  <c r="T53" i="31"/>
  <c r="U53" i="31"/>
  <c r="V53" i="31"/>
  <c r="K53" i="31"/>
  <c r="N51" i="31"/>
  <c r="R51" i="31"/>
  <c r="V51" i="31"/>
  <c r="V47" i="31"/>
  <c r="U47" i="31"/>
  <c r="T47" i="31"/>
  <c r="S47" i="31"/>
  <c r="R47" i="31"/>
  <c r="Q47" i="31"/>
  <c r="P47" i="31"/>
  <c r="O47" i="31"/>
  <c r="N47" i="31"/>
  <c r="K47" i="31"/>
  <c r="O60" i="30"/>
  <c r="P60" i="30"/>
  <c r="Q60" i="30"/>
  <c r="R60" i="30"/>
  <c r="S60" i="30"/>
  <c r="T60" i="30"/>
  <c r="U60" i="30"/>
  <c r="V60" i="30"/>
  <c r="K60" i="30"/>
  <c r="L60" i="30"/>
  <c r="M60" i="30"/>
  <c r="N60" i="30"/>
  <c r="N62" i="30"/>
  <c r="O62" i="30"/>
  <c r="P62" i="30"/>
  <c r="Q62" i="30"/>
  <c r="R62" i="30"/>
  <c r="S62" i="30"/>
  <c r="T62" i="30"/>
  <c r="U62" i="30"/>
  <c r="V62" i="30"/>
  <c r="L62" i="30"/>
  <c r="M62" i="30"/>
  <c r="L58" i="30"/>
  <c r="M58" i="30"/>
  <c r="N58" i="30"/>
  <c r="O58" i="30"/>
  <c r="P58" i="30"/>
  <c r="Q58" i="30"/>
  <c r="R58" i="30"/>
  <c r="S58" i="30"/>
  <c r="T58" i="30"/>
  <c r="U58" i="30"/>
  <c r="V58" i="30"/>
  <c r="K58" i="30"/>
  <c r="L52" i="30"/>
  <c r="M52" i="30"/>
  <c r="N52" i="30"/>
  <c r="O52" i="30"/>
  <c r="P52" i="30"/>
  <c r="Q52" i="30"/>
  <c r="R52" i="30"/>
  <c r="S52" i="30"/>
  <c r="T52" i="30"/>
  <c r="U52" i="30"/>
  <c r="V52" i="30"/>
  <c r="K52" i="30"/>
  <c r="N46" i="30"/>
  <c r="O46" i="30"/>
  <c r="P46" i="30"/>
  <c r="Q46" i="30"/>
  <c r="Q56" i="29"/>
  <c r="V55" i="45" s="1"/>
  <c r="P56" i="29"/>
  <c r="U55" i="45" s="1"/>
  <c r="O56" i="29"/>
  <c r="T55" i="45" s="1"/>
  <c r="N56" i="29"/>
  <c r="S55" i="45" s="1"/>
  <c r="M56" i="29"/>
  <c r="R55" i="45" s="1"/>
  <c r="L56" i="29"/>
  <c r="Q55" i="45" s="1"/>
  <c r="K56" i="29"/>
  <c r="P55" i="45" s="1"/>
  <c r="J56" i="29"/>
  <c r="O55" i="45" s="1"/>
  <c r="I56" i="29"/>
  <c r="N55" i="45" s="1"/>
  <c r="H56" i="29"/>
  <c r="M55" i="45" s="1"/>
  <c r="G56" i="29"/>
  <c r="L55" i="45" s="1"/>
  <c r="F56" i="29"/>
  <c r="K55" i="45" s="1"/>
  <c r="T56" i="28"/>
  <c r="S56" i="28"/>
  <c r="R56" i="28"/>
  <c r="Q56" i="28"/>
  <c r="V55" i="44" s="1"/>
  <c r="P56" i="28"/>
  <c r="U55" i="44" s="1"/>
  <c r="O56" i="28"/>
  <c r="T55" i="44" s="1"/>
  <c r="N56" i="28"/>
  <c r="S55" i="44" s="1"/>
  <c r="M56" i="28"/>
  <c r="R55" i="44" s="1"/>
  <c r="L56" i="28"/>
  <c r="Q55" i="44" s="1"/>
  <c r="K56" i="28"/>
  <c r="P55" i="44" s="1"/>
  <c r="J56" i="28"/>
  <c r="O55" i="44" s="1"/>
  <c r="I56" i="28"/>
  <c r="N55" i="44" s="1"/>
  <c r="T58" i="27"/>
  <c r="S58" i="27"/>
  <c r="R58" i="27"/>
  <c r="Q58" i="27"/>
  <c r="V55" i="32" s="1"/>
  <c r="P58" i="27"/>
  <c r="U55" i="32" s="1"/>
  <c r="O58" i="27"/>
  <c r="T55" i="32" s="1"/>
  <c r="N58" i="27"/>
  <c r="S55" i="32" s="1"/>
  <c r="M58" i="27"/>
  <c r="R55" i="32" s="1"/>
  <c r="L58" i="27"/>
  <c r="Q55" i="32" s="1"/>
  <c r="K58" i="27"/>
  <c r="P55" i="32" s="1"/>
  <c r="J58" i="27"/>
  <c r="O55" i="32" s="1"/>
  <c r="I58" i="27"/>
  <c r="T59" i="26"/>
  <c r="S59" i="26"/>
  <c r="R59" i="26"/>
  <c r="Q59" i="26"/>
  <c r="P59" i="26"/>
  <c r="O59" i="26"/>
  <c r="N59" i="26"/>
  <c r="M59" i="26"/>
  <c r="L59" i="26"/>
  <c r="K59" i="26"/>
  <c r="J59" i="26"/>
  <c r="I59" i="26"/>
  <c r="H59" i="26"/>
  <c r="G59" i="26"/>
  <c r="F59" i="26"/>
  <c r="H58" i="23"/>
  <c r="I58" i="23"/>
  <c r="N54" i="30" s="1"/>
  <c r="J58" i="23"/>
  <c r="O54" i="30" s="1"/>
  <c r="K58" i="23"/>
  <c r="P54" i="30" s="1"/>
  <c r="L58" i="23"/>
  <c r="M58" i="23"/>
  <c r="R54" i="30" s="1"/>
  <c r="N58" i="23"/>
  <c r="O58" i="23"/>
  <c r="P58" i="23"/>
  <c r="Q58" i="23"/>
  <c r="V54" i="30" s="1"/>
  <c r="R58" i="23"/>
  <c r="S58" i="23"/>
  <c r="T58" i="23"/>
  <c r="G58" i="23"/>
  <c r="L54" i="30" s="1"/>
  <c r="F58" i="23"/>
  <c r="K54" i="30" s="1"/>
  <c r="J59" i="1"/>
  <c r="Q17" i="29"/>
  <c r="P17" i="29"/>
  <c r="O17" i="29"/>
  <c r="N17" i="29"/>
  <c r="M17" i="29"/>
  <c r="L17" i="29"/>
  <c r="K17" i="29"/>
  <c r="J17" i="29"/>
  <c r="I17" i="29"/>
  <c r="H17" i="29"/>
  <c r="G17" i="29"/>
  <c r="F17" i="29"/>
  <c r="F26" i="29" s="1"/>
  <c r="I55" i="1"/>
  <c r="T17" i="28"/>
  <c r="T26" i="28" s="1"/>
  <c r="S17" i="28"/>
  <c r="R17" i="28"/>
  <c r="Q17" i="28"/>
  <c r="P17" i="28"/>
  <c r="O17" i="28"/>
  <c r="N17" i="28"/>
  <c r="M17" i="28"/>
  <c r="L17" i="28"/>
  <c r="K17" i="28"/>
  <c r="J17" i="28"/>
  <c r="I17" i="28"/>
  <c r="T17" i="27"/>
  <c r="T26" i="27" s="1"/>
  <c r="S17" i="27"/>
  <c r="R17" i="27"/>
  <c r="R26" i="27" s="1"/>
  <c r="Q17" i="27"/>
  <c r="P17" i="27"/>
  <c r="O17" i="27"/>
  <c r="N17" i="27"/>
  <c r="N26" i="27" s="1"/>
  <c r="M17" i="27"/>
  <c r="L17" i="27"/>
  <c r="L26" i="27" s="1"/>
  <c r="K17" i="27"/>
  <c r="J17" i="27"/>
  <c r="J26" i="27" s="1"/>
  <c r="I17" i="27"/>
  <c r="T17" i="26"/>
  <c r="S17" i="26"/>
  <c r="R17" i="26"/>
  <c r="Q17" i="26"/>
  <c r="P17" i="26"/>
  <c r="O17" i="26"/>
  <c r="N17" i="26"/>
  <c r="M17" i="26"/>
  <c r="L17" i="26"/>
  <c r="K17" i="26"/>
  <c r="J17" i="26"/>
  <c r="I17" i="26"/>
  <c r="I25" i="25"/>
  <c r="N89" i="30" s="1"/>
  <c r="J25" i="25"/>
  <c r="O89" i="30" s="1"/>
  <c r="K25" i="25"/>
  <c r="P89" i="30" s="1"/>
  <c r="L25" i="25"/>
  <c r="Q89" i="30" s="1"/>
  <c r="M25" i="25"/>
  <c r="R89" i="30" s="1"/>
  <c r="N25" i="25"/>
  <c r="S89" i="30" s="1"/>
  <c r="O25" i="25"/>
  <c r="T89" i="30" s="1"/>
  <c r="P25" i="25"/>
  <c r="U89" i="30" s="1"/>
  <c r="Q25" i="25"/>
  <c r="V89" i="30" s="1"/>
  <c r="R25" i="25"/>
  <c r="S25" i="25"/>
  <c r="T25" i="25"/>
  <c r="G25" i="25"/>
  <c r="L89" i="30" s="1"/>
  <c r="H25" i="25"/>
  <c r="M89" i="30" s="1"/>
  <c r="H44" i="24"/>
  <c r="H48" i="24" s="1"/>
  <c r="I44" i="24"/>
  <c r="I48" i="24" s="1"/>
  <c r="J44" i="24"/>
  <c r="J48" i="24" s="1"/>
  <c r="K44" i="24"/>
  <c r="K48" i="24" s="1"/>
  <c r="L44" i="24"/>
  <c r="L48" i="24" s="1"/>
  <c r="M44" i="24"/>
  <c r="M48" i="24" s="1"/>
  <c r="N44" i="24"/>
  <c r="N48" i="24" s="1"/>
  <c r="O44" i="24"/>
  <c r="O48" i="24" s="1"/>
  <c r="P44" i="24"/>
  <c r="P48" i="24" s="1"/>
  <c r="Q44" i="24"/>
  <c r="Q48" i="24" s="1"/>
  <c r="R44" i="24"/>
  <c r="R48" i="24" s="1"/>
  <c r="G44" i="24"/>
  <c r="J17" i="23"/>
  <c r="K17" i="23"/>
  <c r="L17" i="23"/>
  <c r="M17" i="23"/>
  <c r="N17" i="23"/>
  <c r="O17" i="23"/>
  <c r="P17" i="23"/>
  <c r="P26" i="23" s="1"/>
  <c r="Q17" i="23"/>
  <c r="I17" i="23"/>
  <c r="H17" i="23"/>
  <c r="H26" i="23" s="1"/>
  <c r="G17" i="23"/>
  <c r="B4" i="21"/>
  <c r="N26" i="21"/>
  <c r="B26" i="21"/>
  <c r="N15" i="21"/>
  <c r="B15" i="21"/>
  <c r="N4" i="21"/>
  <c r="O20" i="20"/>
  <c r="N20" i="20"/>
  <c r="M20" i="20"/>
  <c r="L20" i="20"/>
  <c r="K20" i="20"/>
  <c r="J20" i="20"/>
  <c r="I20" i="20"/>
  <c r="H20" i="20"/>
  <c r="G20" i="20"/>
  <c r="F20" i="20"/>
  <c r="E20" i="20"/>
  <c r="D20" i="20"/>
  <c r="P19" i="20"/>
  <c r="P18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P16" i="20"/>
  <c r="P15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P13" i="20"/>
  <c r="P12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P10" i="20"/>
  <c r="P9" i="20"/>
  <c r="O8" i="20"/>
  <c r="N8" i="20"/>
  <c r="M8" i="20"/>
  <c r="L8" i="20"/>
  <c r="K8" i="20"/>
  <c r="J8" i="20"/>
  <c r="I8" i="20"/>
  <c r="H8" i="20"/>
  <c r="G8" i="20"/>
  <c r="F8" i="20"/>
  <c r="E8" i="20"/>
  <c r="D8" i="20"/>
  <c r="P7" i="20"/>
  <c r="P6" i="20"/>
  <c r="O5" i="20"/>
  <c r="N5" i="20"/>
  <c r="M5" i="20"/>
  <c r="L5" i="20"/>
  <c r="K5" i="20"/>
  <c r="J5" i="20"/>
  <c r="I5" i="20"/>
  <c r="H5" i="20"/>
  <c r="G5" i="20"/>
  <c r="F5" i="20"/>
  <c r="E5" i="20"/>
  <c r="D5" i="20"/>
  <c r="P4" i="20"/>
  <c r="P3" i="20"/>
  <c r="K18" i="17"/>
  <c r="K17" i="17"/>
  <c r="K19" i="17"/>
  <c r="I21" i="17"/>
  <c r="J21" i="17"/>
  <c r="K21" i="17" s="1"/>
  <c r="D21" i="17"/>
  <c r="E21" i="17"/>
  <c r="K20" i="17"/>
  <c r="K16" i="17"/>
  <c r="K15" i="17"/>
  <c r="K14" i="17"/>
  <c r="K13" i="17"/>
  <c r="K12" i="17"/>
  <c r="K11" i="17"/>
  <c r="K10" i="17"/>
  <c r="K9" i="17"/>
  <c r="K8" i="17"/>
  <c r="K7" i="17"/>
  <c r="K6" i="17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E7" i="16"/>
  <c r="O6" i="15"/>
  <c r="O7" i="15"/>
  <c r="O8" i="15"/>
  <c r="O9" i="15"/>
  <c r="O10" i="15"/>
  <c r="O11" i="15"/>
  <c r="O5" i="15"/>
  <c r="J44" i="15"/>
  <c r="I44" i="15"/>
  <c r="G44" i="15"/>
  <c r="E44" i="15"/>
  <c r="D44" i="15"/>
  <c r="L43" i="15"/>
  <c r="K43" i="15"/>
  <c r="H43" i="15"/>
  <c r="M43" i="15"/>
  <c r="F43" i="15"/>
  <c r="L42" i="15"/>
  <c r="K42" i="15"/>
  <c r="H42" i="15"/>
  <c r="M42" i="15"/>
  <c r="F42" i="15"/>
  <c r="L41" i="15"/>
  <c r="K41" i="15"/>
  <c r="H41" i="15"/>
  <c r="M41" i="15"/>
  <c r="F41" i="15"/>
  <c r="L40" i="15"/>
  <c r="K40" i="15"/>
  <c r="H40" i="15"/>
  <c r="M40" i="15"/>
  <c r="F40" i="15"/>
  <c r="L39" i="15"/>
  <c r="K39" i="15"/>
  <c r="H39" i="15"/>
  <c r="M39" i="15"/>
  <c r="F39" i="15"/>
  <c r="L38" i="15"/>
  <c r="K38" i="15"/>
  <c r="H38" i="15"/>
  <c r="M38" i="15"/>
  <c r="F38" i="15"/>
  <c r="L37" i="15"/>
  <c r="K37" i="15"/>
  <c r="H37" i="15"/>
  <c r="M37" i="15"/>
  <c r="F37" i="15"/>
  <c r="L36" i="15"/>
  <c r="K36" i="15"/>
  <c r="H36" i="15"/>
  <c r="M36" i="15"/>
  <c r="F36" i="15"/>
  <c r="L35" i="15"/>
  <c r="K35" i="15"/>
  <c r="H35" i="15"/>
  <c r="M35" i="15"/>
  <c r="F35" i="15"/>
  <c r="L34" i="15"/>
  <c r="K34" i="15"/>
  <c r="H34" i="15"/>
  <c r="F34" i="15"/>
  <c r="Q33" i="11"/>
  <c r="P33" i="11"/>
  <c r="O33" i="11"/>
  <c r="N33" i="11"/>
  <c r="M33" i="11"/>
  <c r="L33" i="11"/>
  <c r="K33" i="11"/>
  <c r="J33" i="11"/>
  <c r="I33" i="11"/>
  <c r="H33" i="11"/>
  <c r="Q32" i="11"/>
  <c r="P32" i="11"/>
  <c r="O32" i="11"/>
  <c r="N32" i="11"/>
  <c r="M32" i="11"/>
  <c r="L32" i="11"/>
  <c r="K32" i="11"/>
  <c r="J32" i="11"/>
  <c r="I32" i="11"/>
  <c r="H32" i="11"/>
  <c r="Q31" i="11"/>
  <c r="P31" i="11"/>
  <c r="O31" i="11"/>
  <c r="N31" i="11"/>
  <c r="M31" i="11"/>
  <c r="L31" i="11"/>
  <c r="K31" i="11"/>
  <c r="J31" i="11"/>
  <c r="I31" i="11"/>
  <c r="H31" i="11"/>
  <c r="Q30" i="11"/>
  <c r="P30" i="11"/>
  <c r="O30" i="11"/>
  <c r="N30" i="11"/>
  <c r="M30" i="11"/>
  <c r="L30" i="11"/>
  <c r="K30" i="11"/>
  <c r="J30" i="11"/>
  <c r="H30" i="11"/>
  <c r="I30" i="11"/>
  <c r="F37" i="2"/>
  <c r="F23" i="10" s="1"/>
  <c r="G37" i="2"/>
  <c r="G23" i="10" s="1"/>
  <c r="H37" i="2"/>
  <c r="H23" i="10" s="1"/>
  <c r="I37" i="2"/>
  <c r="I23" i="10" s="1"/>
  <c r="J37" i="2"/>
  <c r="J23" i="10" s="1"/>
  <c r="K37" i="2"/>
  <c r="K23" i="10" s="1"/>
  <c r="L37" i="2"/>
  <c r="L23" i="10" s="1"/>
  <c r="M37" i="2"/>
  <c r="M23" i="10" s="1"/>
  <c r="N37" i="2"/>
  <c r="N23" i="10" s="1"/>
  <c r="O37" i="2"/>
  <c r="O23" i="10" s="1"/>
  <c r="P37" i="2"/>
  <c r="P23" i="10" s="1"/>
  <c r="E37" i="2"/>
  <c r="E23" i="10" s="1"/>
  <c r="F36" i="2"/>
  <c r="F22" i="10" s="1"/>
  <c r="G36" i="2"/>
  <c r="G22" i="10" s="1"/>
  <c r="H36" i="2"/>
  <c r="H22" i="10" s="1"/>
  <c r="I36" i="2"/>
  <c r="I22" i="10" s="1"/>
  <c r="J36" i="2"/>
  <c r="J22" i="10" s="1"/>
  <c r="K36" i="2"/>
  <c r="K22" i="10" s="1"/>
  <c r="L36" i="2"/>
  <c r="L22" i="10" s="1"/>
  <c r="M36" i="2"/>
  <c r="M22" i="10" s="1"/>
  <c r="N36" i="2"/>
  <c r="N22" i="10" s="1"/>
  <c r="O36" i="2"/>
  <c r="O22" i="10" s="1"/>
  <c r="P36" i="2"/>
  <c r="P22" i="10" s="1"/>
  <c r="E36" i="2"/>
  <c r="E22" i="10" s="1"/>
  <c r="H12" i="10"/>
  <c r="G10" i="10"/>
  <c r="I10" i="10"/>
  <c r="O10" i="10"/>
  <c r="E21" i="2"/>
  <c r="F12" i="10" s="1"/>
  <c r="F21" i="2"/>
  <c r="G12" i="10" s="1"/>
  <c r="G21" i="2"/>
  <c r="H21" i="2"/>
  <c r="I12" i="10" s="1"/>
  <c r="I21" i="2"/>
  <c r="J12" i="10" s="1"/>
  <c r="J21" i="2"/>
  <c r="K12" i="10" s="1"/>
  <c r="K21" i="2"/>
  <c r="L12" i="10" s="1"/>
  <c r="L21" i="2"/>
  <c r="M12" i="10" s="1"/>
  <c r="M21" i="2"/>
  <c r="N12" i="10" s="1"/>
  <c r="N21" i="2"/>
  <c r="O12" i="10" s="1"/>
  <c r="O21" i="2"/>
  <c r="P12" i="10" s="1"/>
  <c r="D21" i="2"/>
  <c r="E12" i="10" s="1"/>
  <c r="E20" i="2"/>
  <c r="F11" i="10" s="1"/>
  <c r="F20" i="2"/>
  <c r="G11" i="10" s="1"/>
  <c r="G20" i="2"/>
  <c r="H11" i="10" s="1"/>
  <c r="H20" i="2"/>
  <c r="I11" i="10" s="1"/>
  <c r="I20" i="2"/>
  <c r="J11" i="10" s="1"/>
  <c r="J20" i="2"/>
  <c r="K11" i="10" s="1"/>
  <c r="K20" i="2"/>
  <c r="L11" i="10" s="1"/>
  <c r="L20" i="2"/>
  <c r="M11" i="10" s="1"/>
  <c r="M20" i="2"/>
  <c r="N11" i="10" s="1"/>
  <c r="N20" i="2"/>
  <c r="O11" i="10" s="1"/>
  <c r="O20" i="2"/>
  <c r="P11" i="10" s="1"/>
  <c r="D20" i="2"/>
  <c r="E11" i="10" s="1"/>
  <c r="E19" i="2"/>
  <c r="F10" i="10" s="1"/>
  <c r="F19" i="2"/>
  <c r="G19" i="2"/>
  <c r="H10" i="10" s="1"/>
  <c r="H19" i="2"/>
  <c r="I19" i="2"/>
  <c r="J10" i="10" s="1"/>
  <c r="J19" i="2"/>
  <c r="K10" i="10" s="1"/>
  <c r="K19" i="2"/>
  <c r="L10" i="10" s="1"/>
  <c r="L19" i="2"/>
  <c r="M10" i="10" s="1"/>
  <c r="M19" i="2"/>
  <c r="N10" i="10" s="1"/>
  <c r="N19" i="2"/>
  <c r="O19" i="2"/>
  <c r="P10" i="10" s="1"/>
  <c r="D19" i="2"/>
  <c r="E10" i="10" s="1"/>
  <c r="K44" i="15"/>
  <c r="H44" i="15"/>
  <c r="F44" i="15"/>
  <c r="L44" i="15"/>
  <c r="M34" i="15"/>
  <c r="M44" i="15"/>
  <c r="I91" i="31" l="1"/>
  <c r="I91" i="32"/>
  <c r="I91" i="44"/>
  <c r="I91" i="45"/>
  <c r="I89" i="30"/>
  <c r="I93" i="45"/>
  <c r="I91" i="30"/>
  <c r="I93" i="31"/>
  <c r="I93" i="32"/>
  <c r="I93" i="44"/>
  <c r="K91" i="45"/>
  <c r="F32" i="43"/>
  <c r="V23" i="39"/>
  <c r="I6" i="44"/>
  <c r="I6" i="32"/>
  <c r="I6" i="31"/>
  <c r="I6" i="30"/>
  <c r="I6" i="45"/>
  <c r="G48" i="39"/>
  <c r="G51" i="39" s="1"/>
  <c r="G54" i="39" s="1"/>
  <c r="S44" i="38"/>
  <c r="S48" i="38" s="1"/>
  <c r="H48" i="39"/>
  <c r="T44" i="38"/>
  <c r="T48" i="38" s="1"/>
  <c r="I48" i="39"/>
  <c r="U44" i="38"/>
  <c r="U48" i="38" s="1"/>
  <c r="I61" i="44"/>
  <c r="I61" i="32"/>
  <c r="I61" i="45"/>
  <c r="I60" i="30"/>
  <c r="I61" i="31"/>
  <c r="J57" i="52"/>
  <c r="J57" i="51"/>
  <c r="J57" i="50"/>
  <c r="K57" i="49"/>
  <c r="H91" i="44"/>
  <c r="H91" i="45"/>
  <c r="H89" i="30"/>
  <c r="H91" i="31"/>
  <c r="H91" i="32"/>
  <c r="H12" i="45"/>
  <c r="H12" i="44"/>
  <c r="H12" i="32"/>
  <c r="H12" i="31"/>
  <c r="H12" i="30"/>
  <c r="H15" i="45"/>
  <c r="H15" i="44"/>
  <c r="H15" i="32"/>
  <c r="H15" i="31"/>
  <c r="H15" i="30"/>
  <c r="H7" i="45"/>
  <c r="H7" i="44"/>
  <c r="H7" i="32"/>
  <c r="H7" i="31"/>
  <c r="H7" i="30"/>
  <c r="I48" i="38"/>
  <c r="U44" i="37"/>
  <c r="U48" i="37" s="1"/>
  <c r="H6" i="32"/>
  <c r="H6" i="31"/>
  <c r="H6" i="30"/>
  <c r="H6" i="45"/>
  <c r="H6" i="44"/>
  <c r="H63" i="31"/>
  <c r="H63" i="32"/>
  <c r="H63" i="44"/>
  <c r="H63" i="45"/>
  <c r="H62" i="30"/>
  <c r="I62" i="30"/>
  <c r="I63" i="31"/>
  <c r="I63" i="32"/>
  <c r="I63" i="44"/>
  <c r="I63" i="45"/>
  <c r="I59" i="52"/>
  <c r="J59" i="49"/>
  <c r="I59" i="51"/>
  <c r="I59" i="50"/>
  <c r="H61" i="45"/>
  <c r="H61" i="31"/>
  <c r="H60" i="30"/>
  <c r="H61" i="32"/>
  <c r="H61" i="44"/>
  <c r="J57" i="49"/>
  <c r="I57" i="52"/>
  <c r="I57" i="51"/>
  <c r="I57" i="50"/>
  <c r="G91" i="44"/>
  <c r="G91" i="45"/>
  <c r="G89" i="30"/>
  <c r="G91" i="31"/>
  <c r="G91" i="32"/>
  <c r="P24" i="37"/>
  <c r="T16" i="32" s="1"/>
  <c r="L24" i="37"/>
  <c r="P16" i="32" s="1"/>
  <c r="G6" i="31"/>
  <c r="G6" i="30"/>
  <c r="G6" i="45"/>
  <c r="G6" i="32"/>
  <c r="G6" i="44"/>
  <c r="G7" i="45"/>
  <c r="G7" i="44"/>
  <c r="G7" i="32"/>
  <c r="G7" i="31"/>
  <c r="G7" i="30"/>
  <c r="G15" i="45"/>
  <c r="G15" i="44"/>
  <c r="G15" i="32"/>
  <c r="G15" i="31"/>
  <c r="G15" i="30"/>
  <c r="G12" i="32"/>
  <c r="G12" i="31"/>
  <c r="G12" i="30"/>
  <c r="G12" i="45"/>
  <c r="G12" i="44"/>
  <c r="G63" i="31"/>
  <c r="G63" i="32"/>
  <c r="G63" i="45"/>
  <c r="G63" i="44"/>
  <c r="G62" i="30"/>
  <c r="H59" i="52"/>
  <c r="H59" i="50"/>
  <c r="I59" i="49"/>
  <c r="H59" i="51"/>
  <c r="G61" i="45"/>
  <c r="G60" i="30"/>
  <c r="G61" i="31"/>
  <c r="G61" i="32"/>
  <c r="G61" i="44"/>
  <c r="H57" i="50"/>
  <c r="I57" i="49"/>
  <c r="H57" i="51"/>
  <c r="H57" i="52"/>
  <c r="F91" i="44"/>
  <c r="F91" i="45"/>
  <c r="F89" i="30"/>
  <c r="F91" i="31"/>
  <c r="F91" i="32"/>
  <c r="F6" i="32"/>
  <c r="F6" i="31"/>
  <c r="F6" i="44"/>
  <c r="F6" i="30"/>
  <c r="F6" i="45"/>
  <c r="Q61" i="33"/>
  <c r="F63" i="44"/>
  <c r="F62" i="30"/>
  <c r="F63" i="45"/>
  <c r="F63" i="31"/>
  <c r="F63" i="32"/>
  <c r="H59" i="49"/>
  <c r="G59" i="51"/>
  <c r="G59" i="52"/>
  <c r="G59" i="50"/>
  <c r="F61" i="31"/>
  <c r="F61" i="32"/>
  <c r="F61" i="44"/>
  <c r="F61" i="45"/>
  <c r="F60" i="30"/>
  <c r="G57" i="1"/>
  <c r="G57" i="51"/>
  <c r="H57" i="49"/>
  <c r="G57" i="52"/>
  <c r="G57" i="50"/>
  <c r="E91" i="45"/>
  <c r="E89" i="30"/>
  <c r="E91" i="31"/>
  <c r="E91" i="32"/>
  <c r="E91" i="44"/>
  <c r="E6" i="30"/>
  <c r="E6" i="45"/>
  <c r="E6" i="44"/>
  <c r="E6" i="32"/>
  <c r="E6" i="31"/>
  <c r="E63" i="32"/>
  <c r="E63" i="44"/>
  <c r="E63" i="45"/>
  <c r="E62" i="30"/>
  <c r="E63" i="31"/>
  <c r="E60" i="30"/>
  <c r="E61" i="31"/>
  <c r="E61" i="32"/>
  <c r="E61" i="45"/>
  <c r="E61" i="44"/>
  <c r="F57" i="50"/>
  <c r="F57" i="51"/>
  <c r="F57" i="52"/>
  <c r="G57" i="49"/>
  <c r="H11" i="39"/>
  <c r="H49" i="39" s="1"/>
  <c r="H51" i="39" s="1"/>
  <c r="H54" i="39" s="1"/>
  <c r="I2" i="17"/>
  <c r="G22" i="39"/>
  <c r="S11" i="38"/>
  <c r="I22" i="39"/>
  <c r="U11" i="38"/>
  <c r="G22" i="38"/>
  <c r="S11" i="37"/>
  <c r="S22" i="37" s="1"/>
  <c r="H49" i="38"/>
  <c r="T11" i="37"/>
  <c r="T22" i="37" s="1"/>
  <c r="I49" i="38"/>
  <c r="U11" i="37"/>
  <c r="U49" i="37" s="1"/>
  <c r="U51" i="37" s="1"/>
  <c r="U54" i="37" s="1"/>
  <c r="O26" i="27"/>
  <c r="T49" i="32" s="1"/>
  <c r="K5" i="32"/>
  <c r="S11" i="33"/>
  <c r="S49" i="33" s="1"/>
  <c r="I22" i="37"/>
  <c r="U11" i="33"/>
  <c r="U49" i="33" s="1"/>
  <c r="H49" i="37"/>
  <c r="T11" i="33"/>
  <c r="T49" i="33" s="1"/>
  <c r="J49" i="33"/>
  <c r="J51" i="33" s="1"/>
  <c r="J54" i="33" s="1"/>
  <c r="J61" i="33" s="1"/>
  <c r="H11" i="33"/>
  <c r="L58" i="33"/>
  <c r="L59" i="33"/>
  <c r="P27" i="26"/>
  <c r="U49" i="31" s="1"/>
  <c r="H48" i="38"/>
  <c r="T44" i="37"/>
  <c r="T48" i="37" s="1"/>
  <c r="G48" i="38"/>
  <c r="S44" i="37"/>
  <c r="S48" i="37" s="1"/>
  <c r="H48" i="37"/>
  <c r="T44" i="33"/>
  <c r="T48" i="33" s="1"/>
  <c r="I48" i="37"/>
  <c r="U44" i="33"/>
  <c r="U48" i="33" s="1"/>
  <c r="U51" i="33" s="1"/>
  <c r="U54" i="33" s="1"/>
  <c r="U58" i="33" s="1"/>
  <c r="G48" i="37"/>
  <c r="S44" i="33"/>
  <c r="S48" i="33" s="1"/>
  <c r="V23" i="38"/>
  <c r="S26" i="28"/>
  <c r="R26" i="28"/>
  <c r="T27" i="26"/>
  <c r="S27" i="26"/>
  <c r="R27" i="26"/>
  <c r="K59" i="49"/>
  <c r="J59" i="50"/>
  <c r="J59" i="52"/>
  <c r="J59" i="51"/>
  <c r="J49" i="39"/>
  <c r="P5" i="45"/>
  <c r="M26" i="29"/>
  <c r="R49" i="45" s="1"/>
  <c r="H26" i="27"/>
  <c r="M49" i="32" s="1"/>
  <c r="M50" i="32" s="1"/>
  <c r="G26" i="27"/>
  <c r="M26" i="27"/>
  <c r="R49" i="32" s="1"/>
  <c r="L61" i="33"/>
  <c r="J27" i="26"/>
  <c r="O49" i="31" s="1"/>
  <c r="P5" i="44"/>
  <c r="O5" i="44"/>
  <c r="N5" i="44"/>
  <c r="H22" i="38"/>
  <c r="V5" i="44"/>
  <c r="I22" i="38"/>
  <c r="K26" i="28"/>
  <c r="P49" i="44" s="1"/>
  <c r="M22" i="38"/>
  <c r="J26" i="28"/>
  <c r="O49" i="44" s="1"/>
  <c r="Q22" i="38"/>
  <c r="P26" i="28"/>
  <c r="U49" i="44" s="1"/>
  <c r="H26" i="28"/>
  <c r="M49" i="39"/>
  <c r="M51" i="39" s="1"/>
  <c r="M54" i="39" s="1"/>
  <c r="M61" i="39" s="1"/>
  <c r="K5" i="45"/>
  <c r="O5" i="45"/>
  <c r="N49" i="39"/>
  <c r="N51" i="39" s="1"/>
  <c r="N54" i="39" s="1"/>
  <c r="N58" i="39" s="1"/>
  <c r="V5" i="45"/>
  <c r="N5" i="45"/>
  <c r="O49" i="39"/>
  <c r="O51" i="39" s="1"/>
  <c r="O54" i="39" s="1"/>
  <c r="O61" i="39" s="1"/>
  <c r="U5" i="45"/>
  <c r="M5" i="45"/>
  <c r="R49" i="39"/>
  <c r="R51" i="39" s="1"/>
  <c r="R54" i="39" s="1"/>
  <c r="R58" i="39" s="1"/>
  <c r="T5" i="45"/>
  <c r="H22" i="39"/>
  <c r="S5" i="45"/>
  <c r="M22" i="39"/>
  <c r="R5" i="45"/>
  <c r="P22" i="39"/>
  <c r="J26" i="29"/>
  <c r="O49" i="45" s="1"/>
  <c r="P26" i="29"/>
  <c r="U49" i="45" s="1"/>
  <c r="L26" i="29"/>
  <c r="Q49" i="45" s="1"/>
  <c r="U17" i="29"/>
  <c r="R5" i="44"/>
  <c r="Q5" i="44"/>
  <c r="K5" i="44"/>
  <c r="V11" i="38"/>
  <c r="L49" i="38"/>
  <c r="L51" i="38" s="1"/>
  <c r="L54" i="38" s="1"/>
  <c r="L61" i="38" s="1"/>
  <c r="N22" i="38"/>
  <c r="U5" i="44"/>
  <c r="M5" i="44"/>
  <c r="P22" i="38"/>
  <c r="T5" i="44"/>
  <c r="L5" i="44"/>
  <c r="S5" i="44"/>
  <c r="L48" i="44"/>
  <c r="Q26" i="28"/>
  <c r="V49" i="44" s="1"/>
  <c r="I26" i="28"/>
  <c r="N49" i="44" s="1"/>
  <c r="O26" i="28"/>
  <c r="T49" i="44" s="1"/>
  <c r="G26" i="28"/>
  <c r="L49" i="44" s="1"/>
  <c r="L50" i="44" s="1"/>
  <c r="L54" i="44"/>
  <c r="U17" i="28"/>
  <c r="J44" i="49" s="1"/>
  <c r="F26" i="28"/>
  <c r="K49" i="44" s="1"/>
  <c r="K50" i="44" s="1"/>
  <c r="Q24" i="37"/>
  <c r="U8" i="32" s="1"/>
  <c r="O49" i="32"/>
  <c r="Q26" i="27"/>
  <c r="I26" i="27"/>
  <c r="N49" i="32" s="1"/>
  <c r="Q59" i="33"/>
  <c r="Q27" i="26"/>
  <c r="V49" i="31" s="1"/>
  <c r="I27" i="26"/>
  <c r="N49" i="31" s="1"/>
  <c r="O27" i="26"/>
  <c r="T49" i="31" s="1"/>
  <c r="G27" i="26"/>
  <c r="L49" i="31" s="1"/>
  <c r="N27" i="26"/>
  <c r="M27" i="26"/>
  <c r="R49" i="31" s="1"/>
  <c r="L27" i="26"/>
  <c r="Q49" i="31" s="1"/>
  <c r="K27" i="26"/>
  <c r="P49" i="31" s="1"/>
  <c r="F16" i="25"/>
  <c r="G16" i="25" s="1"/>
  <c r="G18" i="25" s="1"/>
  <c r="G19" i="25" s="1"/>
  <c r="L87" i="30" s="1"/>
  <c r="Q49" i="24"/>
  <c r="Q51" i="24" s="1"/>
  <c r="Q54" i="24" s="1"/>
  <c r="Q22" i="24"/>
  <c r="R5" i="30"/>
  <c r="P5" i="30"/>
  <c r="O5" i="30"/>
  <c r="V5" i="30"/>
  <c r="N5" i="30"/>
  <c r="M5" i="30"/>
  <c r="T5" i="30"/>
  <c r="L5" i="30"/>
  <c r="S5" i="30"/>
  <c r="Q5" i="30"/>
  <c r="F29" i="1"/>
  <c r="F30" i="1" s="1"/>
  <c r="F13" i="23" s="1"/>
  <c r="G13" i="24" s="1"/>
  <c r="F32" i="1"/>
  <c r="F33" i="1" s="1"/>
  <c r="F14" i="23" s="1"/>
  <c r="G14" i="24" s="1"/>
  <c r="F26" i="1"/>
  <c r="F38" i="1"/>
  <c r="F39" i="1" s="1"/>
  <c r="F16" i="23" s="1"/>
  <c r="G16" i="24" s="1"/>
  <c r="G59" i="27"/>
  <c r="G63" i="27" s="1"/>
  <c r="K11" i="45"/>
  <c r="K9" i="44"/>
  <c r="K11" i="44"/>
  <c r="O58" i="33"/>
  <c r="R59" i="33"/>
  <c r="R61" i="33"/>
  <c r="O61" i="33"/>
  <c r="K59" i="33"/>
  <c r="N58" i="33"/>
  <c r="N59" i="33"/>
  <c r="P59" i="33"/>
  <c r="P58" i="33"/>
  <c r="P61" i="33"/>
  <c r="K61" i="33"/>
  <c r="M58" i="33"/>
  <c r="M61" i="33"/>
  <c r="M59" i="33"/>
  <c r="H27" i="25"/>
  <c r="I27" i="25" s="1"/>
  <c r="J27" i="25" s="1"/>
  <c r="K27" i="25" s="1"/>
  <c r="L27" i="25" s="1"/>
  <c r="M27" i="25" s="1"/>
  <c r="N27" i="25" s="1"/>
  <c r="O27" i="25" s="1"/>
  <c r="P27" i="25" s="1"/>
  <c r="Q27" i="25" s="1"/>
  <c r="V90" i="30" s="1"/>
  <c r="K9" i="30"/>
  <c r="K11" i="30"/>
  <c r="E13" i="9"/>
  <c r="L9" i="9" s="1"/>
  <c r="T59" i="27"/>
  <c r="T63" i="27" s="1"/>
  <c r="S59" i="27"/>
  <c r="S63" i="27" s="1"/>
  <c r="F13" i="9"/>
  <c r="M12" i="9" s="1"/>
  <c r="J63" i="23"/>
  <c r="J65" i="23" s="1"/>
  <c r="K24" i="24" s="1"/>
  <c r="K25" i="24" s="1"/>
  <c r="U5" i="31"/>
  <c r="N5" i="31"/>
  <c r="V5" i="31"/>
  <c r="O5" i="31"/>
  <c r="P5" i="31"/>
  <c r="Q5" i="31"/>
  <c r="R5" i="31"/>
  <c r="S5" i="31"/>
  <c r="T5" i="31"/>
  <c r="H13" i="9"/>
  <c r="O11" i="9" s="1"/>
  <c r="U37" i="29"/>
  <c r="P30" i="3" s="1"/>
  <c r="T60" i="26"/>
  <c r="T64" i="26" s="1"/>
  <c r="S60" i="26"/>
  <c r="S64" i="26" s="1"/>
  <c r="R60" i="26"/>
  <c r="R64" i="26" s="1"/>
  <c r="J60" i="26"/>
  <c r="J64" i="26" s="1"/>
  <c r="D13" i="9"/>
  <c r="K11" i="9" s="1"/>
  <c r="P49" i="37"/>
  <c r="P51" i="37" s="1"/>
  <c r="P54" i="37" s="1"/>
  <c r="L5" i="32"/>
  <c r="U5" i="32"/>
  <c r="O49" i="37"/>
  <c r="T5" i="32"/>
  <c r="M5" i="32"/>
  <c r="U16" i="32"/>
  <c r="T8" i="32"/>
  <c r="R22" i="37"/>
  <c r="R24" i="37" s="1"/>
  <c r="R57" i="37" s="1"/>
  <c r="V5" i="32"/>
  <c r="N5" i="32"/>
  <c r="N16" i="32"/>
  <c r="S5" i="32"/>
  <c r="G22" i="37"/>
  <c r="G24" i="37" s="1"/>
  <c r="G25" i="37" s="1"/>
  <c r="R5" i="32"/>
  <c r="M22" i="37"/>
  <c r="M24" i="37" s="1"/>
  <c r="Q5" i="32"/>
  <c r="V11" i="37"/>
  <c r="P5" i="32"/>
  <c r="G49" i="37"/>
  <c r="O5" i="32"/>
  <c r="M47" i="37"/>
  <c r="N47" i="37"/>
  <c r="N51" i="37" s="1"/>
  <c r="N54" i="37" s="1"/>
  <c r="S9" i="32"/>
  <c r="K11" i="32"/>
  <c r="K9" i="32"/>
  <c r="P9" i="32"/>
  <c r="O9" i="32"/>
  <c r="V9" i="32"/>
  <c r="N9" i="32"/>
  <c r="U9" i="32"/>
  <c r="M9" i="32"/>
  <c r="K9" i="31"/>
  <c r="G13" i="9"/>
  <c r="N9" i="9" s="1"/>
  <c r="R59" i="27"/>
  <c r="R63" i="27" s="1"/>
  <c r="J59" i="27"/>
  <c r="J63" i="27" s="1"/>
  <c r="J26" i="23"/>
  <c r="O48" i="30" s="1"/>
  <c r="K63" i="23"/>
  <c r="K65" i="23" s="1"/>
  <c r="L24" i="24" s="1"/>
  <c r="L25" i="24" s="1"/>
  <c r="I26" i="23"/>
  <c r="N48" i="30" s="1"/>
  <c r="L63" i="23"/>
  <c r="L65" i="23" s="1"/>
  <c r="M24" i="24" s="1"/>
  <c r="M25" i="24" s="1"/>
  <c r="T19" i="48"/>
  <c r="F21" i="17"/>
  <c r="G21" i="17"/>
  <c r="K2" i="17"/>
  <c r="H19" i="17"/>
  <c r="H8" i="17"/>
  <c r="H16" i="17"/>
  <c r="H6" i="17"/>
  <c r="H9" i="17"/>
  <c r="H20" i="17"/>
  <c r="H10" i="17"/>
  <c r="H11" i="17"/>
  <c r="H12" i="17"/>
  <c r="H13" i="17"/>
  <c r="H17" i="17"/>
  <c r="H14" i="17"/>
  <c r="H18" i="17"/>
  <c r="H7" i="17"/>
  <c r="H15" i="17"/>
  <c r="M57" i="29"/>
  <c r="M59" i="29" s="1"/>
  <c r="U56" i="29"/>
  <c r="S57" i="28"/>
  <c r="S61" i="28" s="1"/>
  <c r="K26" i="29"/>
  <c r="P49" i="45" s="1"/>
  <c r="H26" i="29"/>
  <c r="Q26" i="29"/>
  <c r="V49" i="45" s="1"/>
  <c r="I26" i="29"/>
  <c r="N49" i="45" s="1"/>
  <c r="O26" i="29"/>
  <c r="T49" i="45" s="1"/>
  <c r="G26" i="29"/>
  <c r="L49" i="45" s="1"/>
  <c r="K49" i="45"/>
  <c r="N26" i="29"/>
  <c r="M26" i="28"/>
  <c r="R49" i="44" s="1"/>
  <c r="L26" i="28"/>
  <c r="Q49" i="44" s="1"/>
  <c r="T57" i="28"/>
  <c r="T61" i="28" s="1"/>
  <c r="U18" i="28"/>
  <c r="N26" i="28"/>
  <c r="S49" i="44" s="1"/>
  <c r="S26" i="27"/>
  <c r="K26" i="27"/>
  <c r="P49" i="32" s="1"/>
  <c r="Q59" i="27"/>
  <c r="Q63" i="27" s="1"/>
  <c r="I59" i="27"/>
  <c r="I63" i="27" s="1"/>
  <c r="P59" i="27"/>
  <c r="P63" i="27" s="1"/>
  <c r="H59" i="27"/>
  <c r="H63" i="27" s="1"/>
  <c r="O59" i="27"/>
  <c r="O63" i="27" s="1"/>
  <c r="P26" i="27"/>
  <c r="U49" i="32" s="1"/>
  <c r="F59" i="27"/>
  <c r="F63" i="27" s="1"/>
  <c r="N59" i="27"/>
  <c r="N63" i="27" s="1"/>
  <c r="K59" i="27"/>
  <c r="K63" i="27" s="1"/>
  <c r="M59" i="27"/>
  <c r="M63" i="27" s="1"/>
  <c r="L59" i="27"/>
  <c r="L63" i="27" s="1"/>
  <c r="F26" i="27"/>
  <c r="K49" i="32" s="1"/>
  <c r="F60" i="26"/>
  <c r="F64" i="26" s="1"/>
  <c r="M60" i="26"/>
  <c r="M64" i="26" s="1"/>
  <c r="Q60" i="26"/>
  <c r="Q64" i="26" s="1"/>
  <c r="I60" i="26"/>
  <c r="I64" i="26" s="1"/>
  <c r="P60" i="26"/>
  <c r="P64" i="26" s="1"/>
  <c r="G60" i="26"/>
  <c r="G64" i="26" s="1"/>
  <c r="O26" i="23"/>
  <c r="T48" i="30" s="1"/>
  <c r="G26" i="23"/>
  <c r="L48" i="30" s="1"/>
  <c r="Q63" i="23"/>
  <c r="Q65" i="23" s="1"/>
  <c r="R24" i="24" s="1"/>
  <c r="R25" i="24" s="1"/>
  <c r="I63" i="23"/>
  <c r="I65" i="23" s="1"/>
  <c r="J24" i="24" s="1"/>
  <c r="J25" i="24" s="1"/>
  <c r="N26" i="23"/>
  <c r="S48" i="30" s="1"/>
  <c r="P63" i="23"/>
  <c r="P65" i="23" s="1"/>
  <c r="Q24" i="24" s="1"/>
  <c r="Q25" i="24" s="1"/>
  <c r="H63" i="23"/>
  <c r="H65" i="23" s="1"/>
  <c r="I24" i="24" s="1"/>
  <c r="I25" i="24" s="1"/>
  <c r="M26" i="23"/>
  <c r="R48" i="30" s="1"/>
  <c r="O63" i="23"/>
  <c r="O65" i="23" s="1"/>
  <c r="P24" i="24" s="1"/>
  <c r="P25" i="24" s="1"/>
  <c r="G63" i="23"/>
  <c r="G65" i="23" s="1"/>
  <c r="H24" i="24" s="1"/>
  <c r="H25" i="24" s="1"/>
  <c r="L26" i="23"/>
  <c r="Q48" i="30" s="1"/>
  <c r="N63" i="23"/>
  <c r="N65" i="23" s="1"/>
  <c r="O24" i="24" s="1"/>
  <c r="O25" i="24" s="1"/>
  <c r="K26" i="23"/>
  <c r="P48" i="30" s="1"/>
  <c r="M63" i="23"/>
  <c r="M65" i="23" s="1"/>
  <c r="N24" i="24" s="1"/>
  <c r="N25" i="24" s="1"/>
  <c r="Q26" i="23"/>
  <c r="V48" i="30" s="1"/>
  <c r="J48" i="1"/>
  <c r="L57" i="29"/>
  <c r="F57" i="29"/>
  <c r="K57" i="29"/>
  <c r="G57" i="29"/>
  <c r="J57" i="29"/>
  <c r="Q57" i="29"/>
  <c r="I57" i="29"/>
  <c r="P57" i="29"/>
  <c r="H57" i="29"/>
  <c r="O57" i="29"/>
  <c r="N57" i="29"/>
  <c r="R57" i="28"/>
  <c r="J57" i="28"/>
  <c r="I57" i="28"/>
  <c r="N57" i="28"/>
  <c r="N61" i="28" s="1"/>
  <c r="Q57" i="28"/>
  <c r="Q61" i="28" s="1"/>
  <c r="P57" i="28"/>
  <c r="H57" i="28"/>
  <c r="O57" i="28"/>
  <c r="O61" i="28" s="1"/>
  <c r="F57" i="28"/>
  <c r="G57" i="28"/>
  <c r="G61" i="28" s="1"/>
  <c r="M57" i="28"/>
  <c r="M61" i="28" s="1"/>
  <c r="L57" i="28"/>
  <c r="L61" i="28" s="1"/>
  <c r="K57" i="28"/>
  <c r="U56" i="28"/>
  <c r="K55" i="44"/>
  <c r="K56" i="44" s="1"/>
  <c r="U37" i="28"/>
  <c r="Q49" i="32"/>
  <c r="S49" i="32"/>
  <c r="U18" i="27"/>
  <c r="M47" i="32"/>
  <c r="M48" i="32" s="1"/>
  <c r="K45" i="32"/>
  <c r="K54" i="32" s="1"/>
  <c r="U17" i="27"/>
  <c r="V45" i="32"/>
  <c r="P45" i="32"/>
  <c r="P48" i="32" s="1"/>
  <c r="U38" i="27"/>
  <c r="H60" i="26"/>
  <c r="H64" i="26" s="1"/>
  <c r="K60" i="26"/>
  <c r="L60" i="26"/>
  <c r="N60" i="26"/>
  <c r="N64" i="26" s="1"/>
  <c r="O60" i="26"/>
  <c r="L47" i="31"/>
  <c r="M49" i="31"/>
  <c r="M47" i="31"/>
  <c r="U18" i="26"/>
  <c r="S49" i="31"/>
  <c r="K49" i="31"/>
  <c r="M48" i="30"/>
  <c r="O59" i="23"/>
  <c r="O61" i="23" s="1"/>
  <c r="N59" i="23"/>
  <c r="N61" i="23" s="1"/>
  <c r="G59" i="23"/>
  <c r="G61" i="23" s="1"/>
  <c r="M59" i="23"/>
  <c r="M61" i="23" s="1"/>
  <c r="L59" i="23"/>
  <c r="L61" i="23" s="1"/>
  <c r="K59" i="23"/>
  <c r="K61" i="23" s="1"/>
  <c r="J59" i="23"/>
  <c r="J61" i="23" s="1"/>
  <c r="O59" i="30" s="1"/>
  <c r="I59" i="23"/>
  <c r="I61" i="23" s="1"/>
  <c r="N59" i="30" s="1"/>
  <c r="Q59" i="23"/>
  <c r="Q61" i="23" s="1"/>
  <c r="H59" i="23"/>
  <c r="H61" i="23" s="1"/>
  <c r="P59" i="23"/>
  <c r="P61" i="23" s="1"/>
  <c r="U18" i="23"/>
  <c r="N44" i="30"/>
  <c r="N47" i="30" s="1"/>
  <c r="S17" i="23"/>
  <c r="S26" i="23" s="1"/>
  <c r="T17" i="23"/>
  <c r="O50" i="30"/>
  <c r="S44" i="30"/>
  <c r="R44" i="30"/>
  <c r="Q44" i="30"/>
  <c r="P44" i="30"/>
  <c r="P47" i="30" s="1"/>
  <c r="R17" i="23"/>
  <c r="R26" i="23" s="1"/>
  <c r="Q50" i="30"/>
  <c r="V50" i="30"/>
  <c r="U45" i="44"/>
  <c r="U48" i="44" s="1"/>
  <c r="O45" i="45"/>
  <c r="O48" i="45" s="1"/>
  <c r="O52" i="45"/>
  <c r="S45" i="44"/>
  <c r="S56" i="44" s="1"/>
  <c r="L56" i="44"/>
  <c r="K54" i="44"/>
  <c r="I48" i="1"/>
  <c r="K52" i="44"/>
  <c r="R45" i="44"/>
  <c r="R54" i="44" s="1"/>
  <c r="L52" i="44"/>
  <c r="U58" i="27"/>
  <c r="N55" i="32"/>
  <c r="T45" i="44"/>
  <c r="V45" i="44"/>
  <c r="Q45" i="44"/>
  <c r="Q52" i="44" s="1"/>
  <c r="P45" i="44"/>
  <c r="O45" i="44"/>
  <c r="O52" i="44" s="1"/>
  <c r="N45" i="44"/>
  <c r="M45" i="44"/>
  <c r="M46" i="44" s="1"/>
  <c r="I59" i="1"/>
  <c r="M49" i="44"/>
  <c r="L51" i="32"/>
  <c r="L52" i="32" s="1"/>
  <c r="N45" i="32"/>
  <c r="N48" i="32" s="1"/>
  <c r="O45" i="32"/>
  <c r="V49" i="32"/>
  <c r="K51" i="32"/>
  <c r="L49" i="32"/>
  <c r="L50" i="32" s="1"/>
  <c r="U45" i="32"/>
  <c r="T45" i="32"/>
  <c r="T48" i="32" s="1"/>
  <c r="S45" i="32"/>
  <c r="S52" i="32" s="1"/>
  <c r="R45" i="32"/>
  <c r="Q45" i="32"/>
  <c r="Q54" i="32" s="1"/>
  <c r="M55" i="32"/>
  <c r="M56" i="32" s="1"/>
  <c r="L48" i="32"/>
  <c r="H59" i="1"/>
  <c r="U50" i="30"/>
  <c r="P50" i="30"/>
  <c r="M50" i="30"/>
  <c r="U58" i="23"/>
  <c r="U38" i="23"/>
  <c r="U54" i="30"/>
  <c r="T54" i="30"/>
  <c r="S54" i="30"/>
  <c r="M54" i="30"/>
  <c r="U59" i="26"/>
  <c r="O51" i="31"/>
  <c r="K51" i="31"/>
  <c r="U17" i="26"/>
  <c r="U39" i="26"/>
  <c r="Q54" i="30"/>
  <c r="U44" i="30"/>
  <c r="U53" i="30" s="1"/>
  <c r="M44" i="30"/>
  <c r="U48" i="30"/>
  <c r="O44" i="30"/>
  <c r="O47" i="30" s="1"/>
  <c r="V44" i="30"/>
  <c r="T44" i="30"/>
  <c r="T47" i="30" s="1"/>
  <c r="L44" i="30"/>
  <c r="L47" i="30" s="1"/>
  <c r="S51" i="45"/>
  <c r="S51" i="44"/>
  <c r="P45" i="31"/>
  <c r="P52" i="31" s="1"/>
  <c r="M45" i="31"/>
  <c r="M54" i="31" s="1"/>
  <c r="U45" i="31"/>
  <c r="U54" i="31" s="1"/>
  <c r="O45" i="31"/>
  <c r="O48" i="31" s="1"/>
  <c r="N45" i="31"/>
  <c r="N54" i="31" s="1"/>
  <c r="V45" i="31"/>
  <c r="Q45" i="31"/>
  <c r="Q54" i="31" s="1"/>
  <c r="R45" i="31"/>
  <c r="R48" i="31" s="1"/>
  <c r="G59" i="1"/>
  <c r="K45" i="31"/>
  <c r="S45" i="31"/>
  <c r="L45" i="31"/>
  <c r="T45" i="31"/>
  <c r="H48" i="1"/>
  <c r="G48" i="1"/>
  <c r="S50" i="30"/>
  <c r="K45" i="45"/>
  <c r="K52" i="45" s="1"/>
  <c r="L45" i="45"/>
  <c r="L56" i="45" s="1"/>
  <c r="S45" i="45"/>
  <c r="S56" i="45" s="1"/>
  <c r="R45" i="45"/>
  <c r="R56" i="45" s="1"/>
  <c r="Q45" i="45"/>
  <c r="P45" i="45"/>
  <c r="P52" i="45" s="1"/>
  <c r="N45" i="45"/>
  <c r="S49" i="45"/>
  <c r="M45" i="45"/>
  <c r="M48" i="45" s="1"/>
  <c r="T45" i="45"/>
  <c r="T52" i="45" s="1"/>
  <c r="U45" i="45"/>
  <c r="U48" i="45" s="1"/>
  <c r="V45" i="45"/>
  <c r="U25" i="40"/>
  <c r="J57" i="1"/>
  <c r="J51" i="39"/>
  <c r="J54" i="39" s="1"/>
  <c r="J58" i="39" s="1"/>
  <c r="I57" i="1"/>
  <c r="K48" i="44"/>
  <c r="L46" i="44"/>
  <c r="L54" i="32"/>
  <c r="K11" i="31"/>
  <c r="L56" i="32"/>
  <c r="J55" i="1"/>
  <c r="H55" i="1"/>
  <c r="U25" i="43"/>
  <c r="U25" i="42"/>
  <c r="P51" i="39"/>
  <c r="P54" i="39" s="1"/>
  <c r="P59" i="39" s="1"/>
  <c r="G31" i="25"/>
  <c r="G32" i="25" s="1"/>
  <c r="L91" i="30" s="1"/>
  <c r="R49" i="24"/>
  <c r="R51" i="24" s="1"/>
  <c r="R54" i="24" s="1"/>
  <c r="K49" i="24"/>
  <c r="K51" i="24" s="1"/>
  <c r="K54" i="24" s="1"/>
  <c r="K59" i="24" s="1"/>
  <c r="I22" i="24"/>
  <c r="H22" i="24"/>
  <c r="P49" i="24"/>
  <c r="P51" i="24" s="1"/>
  <c r="P54" i="24" s="1"/>
  <c r="P61" i="24" s="1"/>
  <c r="N49" i="24"/>
  <c r="N51" i="24" s="1"/>
  <c r="N54" i="24" s="1"/>
  <c r="L49" i="24"/>
  <c r="L51" i="24" s="1"/>
  <c r="L54" i="24" s="1"/>
  <c r="L59" i="24" s="1"/>
  <c r="M22" i="24"/>
  <c r="K49" i="38"/>
  <c r="K51" i="38" s="1"/>
  <c r="K54" i="38" s="1"/>
  <c r="K61" i="38" s="1"/>
  <c r="I49" i="39"/>
  <c r="I51" i="39" s="1"/>
  <c r="I54" i="39" s="1"/>
  <c r="Q49" i="39"/>
  <c r="Q51" i="39" s="1"/>
  <c r="Q54" i="39" s="1"/>
  <c r="K49" i="39"/>
  <c r="K51" i="39" s="1"/>
  <c r="K54" i="39" s="1"/>
  <c r="L49" i="39"/>
  <c r="L51" i="39" s="1"/>
  <c r="L54" i="39" s="1"/>
  <c r="P51" i="38"/>
  <c r="P54" i="38" s="1"/>
  <c r="Q51" i="38"/>
  <c r="Q54" i="38" s="1"/>
  <c r="M51" i="38"/>
  <c r="M54" i="38" s="1"/>
  <c r="N51" i="38"/>
  <c r="N54" i="38" s="1"/>
  <c r="I51" i="38"/>
  <c r="I54" i="38" s="1"/>
  <c r="G49" i="38"/>
  <c r="O49" i="38"/>
  <c r="O51" i="38" s="1"/>
  <c r="O54" i="38" s="1"/>
  <c r="J49" i="38"/>
  <c r="J51" i="38" s="1"/>
  <c r="J54" i="38" s="1"/>
  <c r="R49" i="38"/>
  <c r="R51" i="38" s="1"/>
  <c r="R54" i="38" s="1"/>
  <c r="N22" i="37"/>
  <c r="N24" i="37" s="1"/>
  <c r="N25" i="37" s="1"/>
  <c r="J49" i="37"/>
  <c r="J51" i="37" s="1"/>
  <c r="J54" i="37" s="1"/>
  <c r="H22" i="37"/>
  <c r="H24" i="37" s="1"/>
  <c r="O24" i="37"/>
  <c r="O51" i="37"/>
  <c r="O54" i="37" s="1"/>
  <c r="O58" i="37" s="1"/>
  <c r="K24" i="37"/>
  <c r="V23" i="37"/>
  <c r="L57" i="37"/>
  <c r="L45" i="37"/>
  <c r="P17" i="32" s="1"/>
  <c r="M51" i="37"/>
  <c r="M54" i="37" s="1"/>
  <c r="J57" i="37"/>
  <c r="J45" i="37"/>
  <c r="N17" i="32" s="1"/>
  <c r="J25" i="37"/>
  <c r="I24" i="37"/>
  <c r="R51" i="37"/>
  <c r="R54" i="37" s="1"/>
  <c r="G47" i="37"/>
  <c r="I49" i="37"/>
  <c r="Q49" i="37"/>
  <c r="Q51" i="37" s="1"/>
  <c r="Q54" i="37" s="1"/>
  <c r="K49" i="37"/>
  <c r="K51" i="37" s="1"/>
  <c r="K54" i="37" s="1"/>
  <c r="S49" i="37"/>
  <c r="S51" i="37" s="1"/>
  <c r="S54" i="37" s="1"/>
  <c r="T49" i="37"/>
  <c r="T51" i="37" s="1"/>
  <c r="T54" i="37" s="1"/>
  <c r="L49" i="37"/>
  <c r="L51" i="37" s="1"/>
  <c r="L54" i="37" s="1"/>
  <c r="V23" i="33"/>
  <c r="U22" i="33"/>
  <c r="J22" i="24"/>
  <c r="J45" i="24" s="1"/>
  <c r="N17" i="30" s="1"/>
  <c r="O22" i="24"/>
  <c r="S22" i="33"/>
  <c r="H51" i="24"/>
  <c r="H54" i="24" s="1"/>
  <c r="H61" i="24" s="1"/>
  <c r="J51" i="24"/>
  <c r="J54" i="24" s="1"/>
  <c r="G48" i="24"/>
  <c r="M51" i="24"/>
  <c r="M54" i="24" s="1"/>
  <c r="I51" i="24"/>
  <c r="I54" i="24" s="1"/>
  <c r="O51" i="24"/>
  <c r="O54" i="24" s="1"/>
  <c r="H57" i="1"/>
  <c r="M52" i="32"/>
  <c r="M54" i="32"/>
  <c r="M46" i="32"/>
  <c r="P20" i="20"/>
  <c r="Q20" i="20" s="1"/>
  <c r="P14" i="20"/>
  <c r="Q14" i="20" s="1"/>
  <c r="P11" i="20"/>
  <c r="Q11" i="20" s="1"/>
  <c r="P8" i="20"/>
  <c r="Q8" i="20" s="1"/>
  <c r="P5" i="20"/>
  <c r="Q5" i="20" s="1"/>
  <c r="P17" i="20"/>
  <c r="Q17" i="20" s="1"/>
  <c r="F50" i="1" l="1"/>
  <c r="G50" i="49"/>
  <c r="F50" i="50"/>
  <c r="F50" i="51"/>
  <c r="F50" i="52"/>
  <c r="J61" i="39"/>
  <c r="G51" i="38"/>
  <c r="G54" i="38" s="1"/>
  <c r="G45" i="38" s="1"/>
  <c r="K17" i="44" s="1"/>
  <c r="L25" i="37"/>
  <c r="P25" i="37"/>
  <c r="P45" i="37"/>
  <c r="T17" i="32" s="1"/>
  <c r="P57" i="37"/>
  <c r="P8" i="32"/>
  <c r="I44" i="30"/>
  <c r="I45" i="44"/>
  <c r="I45" i="32"/>
  <c r="I45" i="31"/>
  <c r="I45" i="45"/>
  <c r="U52" i="45"/>
  <c r="I49" i="31"/>
  <c r="I49" i="45"/>
  <c r="I49" i="32"/>
  <c r="I48" i="30"/>
  <c r="I49" i="44"/>
  <c r="T11" i="38"/>
  <c r="T22" i="38" s="1"/>
  <c r="I5" i="31"/>
  <c r="I5" i="45"/>
  <c r="I5" i="32"/>
  <c r="I5" i="44"/>
  <c r="I5" i="30"/>
  <c r="L5" i="45"/>
  <c r="V11" i="39"/>
  <c r="H49" i="31"/>
  <c r="H49" i="45"/>
  <c r="H49" i="32"/>
  <c r="H49" i="44"/>
  <c r="H48" i="30"/>
  <c r="V54" i="44"/>
  <c r="H45" i="32"/>
  <c r="H44" i="30"/>
  <c r="H45" i="44"/>
  <c r="H45" i="31"/>
  <c r="H45" i="45"/>
  <c r="U22" i="37"/>
  <c r="H5" i="31"/>
  <c r="H5" i="45"/>
  <c r="H5" i="32"/>
  <c r="H5" i="30"/>
  <c r="H5" i="44"/>
  <c r="G49" i="44"/>
  <c r="G49" i="31"/>
  <c r="G49" i="45"/>
  <c r="G49" i="32"/>
  <c r="G48" i="30"/>
  <c r="G61" i="27"/>
  <c r="G65" i="27" s="1"/>
  <c r="T24" i="33" s="1"/>
  <c r="T25" i="33" s="1"/>
  <c r="S51" i="33"/>
  <c r="V52" i="32"/>
  <c r="G45" i="32"/>
  <c r="G45" i="31"/>
  <c r="G44" i="30"/>
  <c r="G45" i="44"/>
  <c r="G45" i="45"/>
  <c r="G5" i="45"/>
  <c r="G5" i="31"/>
  <c r="G5" i="32"/>
  <c r="G5" i="30"/>
  <c r="G5" i="44"/>
  <c r="F5" i="31"/>
  <c r="F5" i="44"/>
  <c r="F5" i="45"/>
  <c r="F5" i="32"/>
  <c r="F5" i="30"/>
  <c r="F45" i="45"/>
  <c r="F45" i="32"/>
  <c r="F44" i="30"/>
  <c r="F45" i="44"/>
  <c r="F45" i="31"/>
  <c r="F49" i="44"/>
  <c r="F49" i="31"/>
  <c r="F49" i="45"/>
  <c r="F49" i="32"/>
  <c r="F48" i="30"/>
  <c r="T8" i="30"/>
  <c r="V53" i="30"/>
  <c r="E44" i="30"/>
  <c r="E45" i="44"/>
  <c r="E45" i="31"/>
  <c r="E45" i="45"/>
  <c r="E45" i="32"/>
  <c r="E49" i="45"/>
  <c r="E49" i="32"/>
  <c r="E48" i="30"/>
  <c r="E49" i="44"/>
  <c r="E49" i="31"/>
  <c r="R57" i="24"/>
  <c r="E5" i="31"/>
  <c r="E5" i="45"/>
  <c r="E5" i="32"/>
  <c r="E5" i="30"/>
  <c r="E5" i="44"/>
  <c r="J59" i="39"/>
  <c r="U22" i="38"/>
  <c r="U49" i="38"/>
  <c r="U51" i="38" s="1"/>
  <c r="U54" i="38" s="1"/>
  <c r="U61" i="38" s="1"/>
  <c r="U26" i="29"/>
  <c r="P29" i="3" s="1"/>
  <c r="S22" i="38"/>
  <c r="S49" i="38"/>
  <c r="S51" i="38" s="1"/>
  <c r="S54" i="38" s="1"/>
  <c r="S58" i="38" s="1"/>
  <c r="H51" i="38"/>
  <c r="H54" i="38" s="1"/>
  <c r="H61" i="38" s="1"/>
  <c r="I44" i="51"/>
  <c r="I46" i="51" s="1"/>
  <c r="I47" i="51" s="1"/>
  <c r="I44" i="50"/>
  <c r="H57" i="37"/>
  <c r="Q45" i="37"/>
  <c r="U17" i="32" s="1"/>
  <c r="Q25" i="37"/>
  <c r="T51" i="33"/>
  <c r="L46" i="32"/>
  <c r="H51" i="37"/>
  <c r="H54" i="37" s="1"/>
  <c r="H61" i="37" s="1"/>
  <c r="Q57" i="37"/>
  <c r="T22" i="33"/>
  <c r="J59" i="33"/>
  <c r="J58" i="33"/>
  <c r="P50" i="31"/>
  <c r="M50" i="31"/>
  <c r="P57" i="24"/>
  <c r="F49" i="50"/>
  <c r="F49" i="51"/>
  <c r="G49" i="49"/>
  <c r="F49" i="52"/>
  <c r="P45" i="24"/>
  <c r="T17" i="30" s="1"/>
  <c r="T16" i="30"/>
  <c r="I51" i="37"/>
  <c r="I54" i="37" s="1"/>
  <c r="I59" i="37" s="1"/>
  <c r="K16" i="32"/>
  <c r="S50" i="45"/>
  <c r="O56" i="45"/>
  <c r="H44" i="51"/>
  <c r="H44" i="52"/>
  <c r="G44" i="52"/>
  <c r="G44" i="50"/>
  <c r="G46" i="50" s="1"/>
  <c r="G47" i="50" s="1"/>
  <c r="G44" i="51"/>
  <c r="U54" i="44"/>
  <c r="T50" i="44"/>
  <c r="M48" i="44"/>
  <c r="U50" i="44"/>
  <c r="Q48" i="44"/>
  <c r="N27" i="3"/>
  <c r="I44" i="52"/>
  <c r="P61" i="39"/>
  <c r="O59" i="39"/>
  <c r="O58" i="39"/>
  <c r="V22" i="39"/>
  <c r="M49" i="45"/>
  <c r="M50" i="45" s="1"/>
  <c r="J44" i="52"/>
  <c r="J44" i="51"/>
  <c r="J44" i="50"/>
  <c r="K44" i="49"/>
  <c r="K46" i="49" s="1"/>
  <c r="K47" i="49" s="1"/>
  <c r="P27" i="3"/>
  <c r="V22" i="38"/>
  <c r="U52" i="44"/>
  <c r="J46" i="49"/>
  <c r="J47" i="49" s="1"/>
  <c r="I46" i="50"/>
  <c r="I47" i="50" s="1"/>
  <c r="R45" i="37"/>
  <c r="V17" i="32" s="1"/>
  <c r="I44" i="49"/>
  <c r="I46" i="49" s="1"/>
  <c r="I47" i="49" s="1"/>
  <c r="H44" i="50"/>
  <c r="L27" i="3"/>
  <c r="L50" i="31"/>
  <c r="L48" i="31"/>
  <c r="H44" i="49"/>
  <c r="H46" i="49" s="1"/>
  <c r="H47" i="49" s="1"/>
  <c r="J27" i="3"/>
  <c r="R45" i="24"/>
  <c r="V17" i="30" s="1"/>
  <c r="V8" i="30"/>
  <c r="V16" i="30"/>
  <c r="F18" i="25"/>
  <c r="F19" i="25" s="1"/>
  <c r="H16" i="25"/>
  <c r="F27" i="1"/>
  <c r="F12" i="23" s="1"/>
  <c r="L8" i="30"/>
  <c r="L16" i="30"/>
  <c r="M45" i="24"/>
  <c r="Q17" i="30" s="1"/>
  <c r="Q16" i="30"/>
  <c r="Q8" i="30"/>
  <c r="O16" i="30"/>
  <c r="O8" i="30"/>
  <c r="R8" i="30"/>
  <c r="R16" i="30"/>
  <c r="I45" i="24"/>
  <c r="M17" i="30" s="1"/>
  <c r="M16" i="30"/>
  <c r="M8" i="30"/>
  <c r="S8" i="30"/>
  <c r="S16" i="30"/>
  <c r="P16" i="30"/>
  <c r="P8" i="30"/>
  <c r="N16" i="30"/>
  <c r="N8" i="30"/>
  <c r="Q45" i="24"/>
  <c r="U17" i="30" s="1"/>
  <c r="U16" i="30"/>
  <c r="U8" i="30"/>
  <c r="M61" i="29"/>
  <c r="I61" i="27"/>
  <c r="N60" i="32" s="1"/>
  <c r="T62" i="26"/>
  <c r="T66" i="26" s="1"/>
  <c r="I62" i="26"/>
  <c r="I66" i="26" s="1"/>
  <c r="L11" i="9"/>
  <c r="L10" i="9"/>
  <c r="L12" i="9"/>
  <c r="L58" i="38"/>
  <c r="L59" i="38"/>
  <c r="K59" i="38"/>
  <c r="K58" i="38"/>
  <c r="H31" i="25"/>
  <c r="H32" i="25" s="1"/>
  <c r="M91" i="30" s="1"/>
  <c r="S90" i="30"/>
  <c r="F27" i="40"/>
  <c r="K92" i="31" s="1"/>
  <c r="T90" i="30"/>
  <c r="N90" i="30"/>
  <c r="U27" i="25"/>
  <c r="O90" i="30"/>
  <c r="R90" i="30"/>
  <c r="P90" i="30"/>
  <c r="M90" i="30"/>
  <c r="Q90" i="30"/>
  <c r="U90" i="30"/>
  <c r="N12" i="9"/>
  <c r="O59" i="28"/>
  <c r="O63" i="28" s="1"/>
  <c r="P24" i="38" s="1"/>
  <c r="P57" i="38" s="1"/>
  <c r="S57" i="32"/>
  <c r="S58" i="32" s="1"/>
  <c r="S61" i="27"/>
  <c r="S65" i="27" s="1"/>
  <c r="J49" i="1"/>
  <c r="O10" i="9"/>
  <c r="G59" i="28"/>
  <c r="G63" i="28" s="1"/>
  <c r="H24" i="38" s="1"/>
  <c r="L16" i="44" s="1"/>
  <c r="M9" i="9"/>
  <c r="M10" i="9"/>
  <c r="K57" i="32"/>
  <c r="K58" i="32" s="1"/>
  <c r="M11" i="9"/>
  <c r="M57" i="32"/>
  <c r="M58" i="32" s="1"/>
  <c r="L32" i="3"/>
  <c r="R61" i="27"/>
  <c r="R65" i="27" s="1"/>
  <c r="T61" i="27"/>
  <c r="T65" i="27" s="1"/>
  <c r="J62" i="26"/>
  <c r="J66" i="26" s="1"/>
  <c r="Q62" i="26"/>
  <c r="Q66" i="26" s="1"/>
  <c r="K10" i="9"/>
  <c r="S16" i="31"/>
  <c r="S8" i="31"/>
  <c r="O9" i="9"/>
  <c r="O12" i="9"/>
  <c r="S62" i="26"/>
  <c r="S66" i="26" s="1"/>
  <c r="P62" i="26"/>
  <c r="P66" i="26" s="1"/>
  <c r="R62" i="26"/>
  <c r="R66" i="26" s="1"/>
  <c r="K9" i="9"/>
  <c r="K12" i="9"/>
  <c r="N45" i="37"/>
  <c r="R17" i="32" s="1"/>
  <c r="H45" i="37"/>
  <c r="L17" i="32" s="1"/>
  <c r="V22" i="37"/>
  <c r="K8" i="32"/>
  <c r="V24" i="37"/>
  <c r="N57" i="37"/>
  <c r="M16" i="32"/>
  <c r="M8" i="32"/>
  <c r="L16" i="32"/>
  <c r="L8" i="32"/>
  <c r="O57" i="37"/>
  <c r="S8" i="32"/>
  <c r="S16" i="32"/>
  <c r="O25" i="37"/>
  <c r="G57" i="37"/>
  <c r="K45" i="37"/>
  <c r="O17" i="32" s="1"/>
  <c r="O16" i="32"/>
  <c r="O8" i="32"/>
  <c r="M57" i="37"/>
  <c r="Q16" i="32"/>
  <c r="Q8" i="32"/>
  <c r="V8" i="32"/>
  <c r="R25" i="37"/>
  <c r="V16" i="32"/>
  <c r="R8" i="32"/>
  <c r="R16" i="32"/>
  <c r="H25" i="37"/>
  <c r="U59" i="33"/>
  <c r="U61" i="33"/>
  <c r="N11" i="9"/>
  <c r="N10" i="9"/>
  <c r="N30" i="3"/>
  <c r="L61" i="27"/>
  <c r="Q60" i="32" s="1"/>
  <c r="M61" i="27"/>
  <c r="R60" i="32" s="1"/>
  <c r="L30" i="3"/>
  <c r="F61" i="27"/>
  <c r="F65" i="27" s="1"/>
  <c r="S24" i="33" s="1"/>
  <c r="S25" i="33" s="1"/>
  <c r="U57" i="32"/>
  <c r="U58" i="32" s="1"/>
  <c r="J61" i="27"/>
  <c r="O60" i="32" s="1"/>
  <c r="Q61" i="27"/>
  <c r="V60" i="32" s="1"/>
  <c r="N51" i="30"/>
  <c r="T63" i="23"/>
  <c r="T65" i="23" s="1"/>
  <c r="S63" i="23"/>
  <c r="S65" i="23" s="1"/>
  <c r="T26" i="23"/>
  <c r="R63" i="23"/>
  <c r="R65" i="23" s="1"/>
  <c r="F49" i="1"/>
  <c r="H30" i="3"/>
  <c r="H21" i="17"/>
  <c r="K57" i="45"/>
  <c r="K58" i="45" s="1"/>
  <c r="U57" i="29"/>
  <c r="S59" i="28"/>
  <c r="S63" i="28" s="1"/>
  <c r="P32" i="3"/>
  <c r="I61" i="29"/>
  <c r="I59" i="29"/>
  <c r="N60" i="45" s="1"/>
  <c r="Q61" i="29"/>
  <c r="Q59" i="29"/>
  <c r="V60" i="45" s="1"/>
  <c r="N59" i="29"/>
  <c r="N61" i="29"/>
  <c r="P61" i="29"/>
  <c r="P59" i="29"/>
  <c r="J61" i="29"/>
  <c r="J59" i="29"/>
  <c r="G61" i="29"/>
  <c r="G59" i="29"/>
  <c r="K59" i="29"/>
  <c r="K61" i="29"/>
  <c r="O59" i="29"/>
  <c r="O61" i="29"/>
  <c r="F61" i="29"/>
  <c r="F59" i="29"/>
  <c r="P28" i="3"/>
  <c r="H61" i="29"/>
  <c r="H59" i="29"/>
  <c r="Q57" i="45"/>
  <c r="Q58" i="45" s="1"/>
  <c r="L59" i="29"/>
  <c r="Q60" i="45" s="1"/>
  <c r="L61" i="29"/>
  <c r="K59" i="28"/>
  <c r="P60" i="44" s="1"/>
  <c r="K61" i="28"/>
  <c r="P62" i="44" s="1"/>
  <c r="Q59" i="28"/>
  <c r="Q63" i="28" s="1"/>
  <c r="F59" i="28"/>
  <c r="K60" i="44" s="1"/>
  <c r="F61" i="28"/>
  <c r="I59" i="28"/>
  <c r="N60" i="44" s="1"/>
  <c r="I61" i="28"/>
  <c r="N62" i="44" s="1"/>
  <c r="N28" i="3"/>
  <c r="I45" i="1"/>
  <c r="J59" i="28"/>
  <c r="O60" i="44" s="1"/>
  <c r="J61" i="28"/>
  <c r="J63" i="28" s="1"/>
  <c r="H59" i="28"/>
  <c r="M60" i="44" s="1"/>
  <c r="H61" i="28"/>
  <c r="M62" i="44" s="1"/>
  <c r="R59" i="28"/>
  <c r="R61" i="28"/>
  <c r="T59" i="28"/>
  <c r="T63" i="28" s="1"/>
  <c r="P59" i="28"/>
  <c r="U60" i="44" s="1"/>
  <c r="P61" i="28"/>
  <c r="U62" i="44" s="1"/>
  <c r="H45" i="1"/>
  <c r="L28" i="3"/>
  <c r="J28" i="3"/>
  <c r="G45" i="1"/>
  <c r="S50" i="31"/>
  <c r="T50" i="31"/>
  <c r="M62" i="26"/>
  <c r="M66" i="26" s="1"/>
  <c r="F62" i="26"/>
  <c r="F66" i="26" s="1"/>
  <c r="N62" i="26"/>
  <c r="N66" i="26" s="1"/>
  <c r="O24" i="33" s="1"/>
  <c r="J32" i="3"/>
  <c r="L62" i="26"/>
  <c r="L64" i="26"/>
  <c r="K62" i="26"/>
  <c r="K64" i="26"/>
  <c r="O62" i="26"/>
  <c r="O64" i="26"/>
  <c r="J30" i="3"/>
  <c r="H62" i="26"/>
  <c r="H66" i="26" s="1"/>
  <c r="G62" i="26"/>
  <c r="G66" i="26" s="1"/>
  <c r="Q49" i="30"/>
  <c r="F45" i="1"/>
  <c r="H28" i="3"/>
  <c r="I50" i="1"/>
  <c r="O57" i="44"/>
  <c r="O58" i="44" s="1"/>
  <c r="N32" i="3"/>
  <c r="J45" i="1"/>
  <c r="V57" i="45"/>
  <c r="I49" i="1"/>
  <c r="P57" i="44"/>
  <c r="P58" i="44" s="1"/>
  <c r="V57" i="44"/>
  <c r="V62" i="44"/>
  <c r="M57" i="44"/>
  <c r="M58" i="44" s="1"/>
  <c r="N57" i="44"/>
  <c r="N58" i="44" s="1"/>
  <c r="N59" i="28"/>
  <c r="N63" i="28" s="1"/>
  <c r="O24" i="38" s="1"/>
  <c r="U26" i="28"/>
  <c r="R50" i="44"/>
  <c r="R52" i="44"/>
  <c r="U57" i="44"/>
  <c r="U58" i="44" s="1"/>
  <c r="R46" i="44"/>
  <c r="U46" i="32"/>
  <c r="K48" i="32"/>
  <c r="S48" i="32"/>
  <c r="N50" i="32"/>
  <c r="S56" i="32"/>
  <c r="S54" i="32"/>
  <c r="K56" i="32"/>
  <c r="U48" i="32"/>
  <c r="K52" i="32"/>
  <c r="R46" i="32"/>
  <c r="V50" i="32"/>
  <c r="K50" i="32"/>
  <c r="U56" i="32"/>
  <c r="U50" i="32"/>
  <c r="P54" i="32"/>
  <c r="N52" i="32"/>
  <c r="O46" i="32"/>
  <c r="H61" i="27"/>
  <c r="M62" i="32" s="1"/>
  <c r="N54" i="32"/>
  <c r="N46" i="32"/>
  <c r="P50" i="32"/>
  <c r="P52" i="32"/>
  <c r="T54" i="32"/>
  <c r="T56" i="32"/>
  <c r="T46" i="32"/>
  <c r="T52" i="32"/>
  <c r="S50" i="32"/>
  <c r="T50" i="32"/>
  <c r="Q46" i="32"/>
  <c r="P56" i="32"/>
  <c r="V54" i="32"/>
  <c r="V56" i="32"/>
  <c r="V46" i="32"/>
  <c r="V48" i="32"/>
  <c r="V57" i="32"/>
  <c r="N56" i="32"/>
  <c r="Q52" i="32"/>
  <c r="U26" i="27"/>
  <c r="Q50" i="32"/>
  <c r="N62" i="31"/>
  <c r="R62" i="31"/>
  <c r="U27" i="26"/>
  <c r="S54" i="31"/>
  <c r="P48" i="31"/>
  <c r="G50" i="1"/>
  <c r="P56" i="31"/>
  <c r="R52" i="31"/>
  <c r="S48" i="31"/>
  <c r="P54" i="31"/>
  <c r="S46" i="31"/>
  <c r="O62" i="31"/>
  <c r="V50" i="31"/>
  <c r="R54" i="31"/>
  <c r="R50" i="31"/>
  <c r="S52" i="31"/>
  <c r="L52" i="31"/>
  <c r="S56" i="31"/>
  <c r="L56" i="31"/>
  <c r="R46" i="31"/>
  <c r="N49" i="30"/>
  <c r="N55" i="30"/>
  <c r="R49" i="30"/>
  <c r="N53" i="30"/>
  <c r="T59" i="23"/>
  <c r="T61" i="23" s="1"/>
  <c r="R59" i="23"/>
  <c r="R61" i="23" s="1"/>
  <c r="S59" i="23"/>
  <c r="S61" i="23" s="1"/>
  <c r="P51" i="30"/>
  <c r="Q53" i="30"/>
  <c r="P45" i="30"/>
  <c r="O45" i="30"/>
  <c r="O51" i="30"/>
  <c r="P53" i="30"/>
  <c r="Q47" i="30"/>
  <c r="Q55" i="30"/>
  <c r="P55" i="30"/>
  <c r="Q45" i="30"/>
  <c r="O53" i="30"/>
  <c r="O55" i="30"/>
  <c r="U49" i="30"/>
  <c r="M55" i="30"/>
  <c r="Q51" i="30"/>
  <c r="S45" i="30"/>
  <c r="S56" i="30"/>
  <c r="S57" i="30" s="1"/>
  <c r="O56" i="30"/>
  <c r="O57" i="30" s="1"/>
  <c r="L49" i="30"/>
  <c r="M45" i="30"/>
  <c r="P49" i="30"/>
  <c r="L53" i="30"/>
  <c r="L55" i="30"/>
  <c r="M49" i="30"/>
  <c r="V55" i="30"/>
  <c r="O49" i="30"/>
  <c r="S55" i="30"/>
  <c r="L51" i="30"/>
  <c r="T51" i="30"/>
  <c r="T55" i="30"/>
  <c r="M47" i="30"/>
  <c r="R51" i="30"/>
  <c r="N45" i="30"/>
  <c r="V47" i="30"/>
  <c r="S51" i="30"/>
  <c r="U55" i="30"/>
  <c r="R45" i="30"/>
  <c r="M51" i="30"/>
  <c r="T45" i="30"/>
  <c r="S53" i="30"/>
  <c r="S49" i="30"/>
  <c r="S47" i="30"/>
  <c r="U51" i="30"/>
  <c r="R55" i="30"/>
  <c r="U45" i="30"/>
  <c r="M53" i="30"/>
  <c r="V45" i="30"/>
  <c r="R53" i="30"/>
  <c r="U47" i="30"/>
  <c r="R47" i="30"/>
  <c r="T49" i="30"/>
  <c r="V49" i="30"/>
  <c r="T53" i="30"/>
  <c r="O50" i="45"/>
  <c r="P50" i="45"/>
  <c r="U56" i="44"/>
  <c r="S54" i="44"/>
  <c r="T46" i="44"/>
  <c r="M59" i="28"/>
  <c r="S46" i="44"/>
  <c r="N57" i="45"/>
  <c r="N58" i="45" s="1"/>
  <c r="O54" i="45"/>
  <c r="T46" i="45"/>
  <c r="U46" i="45"/>
  <c r="U54" i="45"/>
  <c r="U50" i="45"/>
  <c r="Q50" i="45"/>
  <c r="S46" i="45"/>
  <c r="Q48" i="45"/>
  <c r="R48" i="45"/>
  <c r="M52" i="45"/>
  <c r="M54" i="45"/>
  <c r="M56" i="45"/>
  <c r="T56" i="44"/>
  <c r="K57" i="44"/>
  <c r="K58" i="44" s="1"/>
  <c r="T54" i="44"/>
  <c r="N46" i="44"/>
  <c r="R56" i="44"/>
  <c r="L59" i="28"/>
  <c r="L63" i="28" s="1"/>
  <c r="M50" i="44"/>
  <c r="M52" i="44"/>
  <c r="R48" i="44"/>
  <c r="S52" i="44"/>
  <c r="S48" i="44"/>
  <c r="S50" i="44"/>
  <c r="O57" i="32"/>
  <c r="O58" i="32" s="1"/>
  <c r="V62" i="32"/>
  <c r="N57" i="32"/>
  <c r="N58" i="32" s="1"/>
  <c r="N61" i="27"/>
  <c r="L65" i="27"/>
  <c r="Q64" i="32" s="1"/>
  <c r="Q65" i="32" s="1"/>
  <c r="J65" i="27"/>
  <c r="O64" i="32" s="1"/>
  <c r="O65" i="32" s="1"/>
  <c r="U59" i="27"/>
  <c r="P61" i="27"/>
  <c r="M65" i="27"/>
  <c r="R64" i="32" s="1"/>
  <c r="R65" i="32" s="1"/>
  <c r="O62" i="32"/>
  <c r="T52" i="44"/>
  <c r="T48" i="44"/>
  <c r="U46" i="44"/>
  <c r="V50" i="44"/>
  <c r="V52" i="44"/>
  <c r="V46" i="44"/>
  <c r="V56" i="44"/>
  <c r="V48" i="44"/>
  <c r="P50" i="44"/>
  <c r="M54" i="44"/>
  <c r="M56" i="44"/>
  <c r="O50" i="44"/>
  <c r="N50" i="44"/>
  <c r="Q50" i="44"/>
  <c r="Q57" i="44"/>
  <c r="Q58" i="44" s="1"/>
  <c r="O48" i="44"/>
  <c r="O54" i="44"/>
  <c r="O46" i="44"/>
  <c r="O56" i="44"/>
  <c r="Q54" i="44"/>
  <c r="Q46" i="44"/>
  <c r="Q56" i="44"/>
  <c r="P52" i="44"/>
  <c r="P48" i="44"/>
  <c r="P46" i="44"/>
  <c r="P56" i="44"/>
  <c r="P54" i="44"/>
  <c r="N56" i="44"/>
  <c r="N52" i="44"/>
  <c r="N54" i="44"/>
  <c r="N48" i="44"/>
  <c r="I44" i="1"/>
  <c r="Q62" i="32"/>
  <c r="Q56" i="32"/>
  <c r="Q48" i="32"/>
  <c r="O48" i="32"/>
  <c r="R54" i="32"/>
  <c r="P46" i="32"/>
  <c r="R56" i="32"/>
  <c r="O54" i="32"/>
  <c r="O52" i="32"/>
  <c r="O50" i="32"/>
  <c r="U54" i="32"/>
  <c r="U52" i="32"/>
  <c r="R52" i="32"/>
  <c r="O56" i="32"/>
  <c r="H50" i="1"/>
  <c r="S46" i="32"/>
  <c r="Q57" i="32"/>
  <c r="Q58" i="32" s="1"/>
  <c r="R48" i="32"/>
  <c r="R50" i="32"/>
  <c r="H44" i="1"/>
  <c r="S63" i="30"/>
  <c r="S64" i="30" s="1"/>
  <c r="R62" i="32"/>
  <c r="R57" i="32"/>
  <c r="R58" i="32" s="1"/>
  <c r="Q63" i="30"/>
  <c r="Q64" i="30" s="1"/>
  <c r="R63" i="30"/>
  <c r="R64" i="30" s="1"/>
  <c r="T63" i="30"/>
  <c r="T64" i="30" s="1"/>
  <c r="V59" i="30"/>
  <c r="U56" i="30"/>
  <c r="U57" i="30" s="1"/>
  <c r="U59" i="30"/>
  <c r="N56" i="30"/>
  <c r="N57" i="30" s="1"/>
  <c r="U63" i="30"/>
  <c r="U64" i="30" s="1"/>
  <c r="U61" i="30"/>
  <c r="P63" i="30"/>
  <c r="P64" i="30" s="1"/>
  <c r="P61" i="30"/>
  <c r="V63" i="30"/>
  <c r="V61" i="30"/>
  <c r="P56" i="30"/>
  <c r="P57" i="30" s="1"/>
  <c r="V56" i="30"/>
  <c r="P59" i="30"/>
  <c r="S61" i="30"/>
  <c r="T59" i="30"/>
  <c r="R56" i="31"/>
  <c r="R59" i="30"/>
  <c r="T61" i="30"/>
  <c r="R56" i="30"/>
  <c r="R57" i="30" s="1"/>
  <c r="R61" i="30"/>
  <c r="T56" i="30"/>
  <c r="T57" i="30" s="1"/>
  <c r="N46" i="31"/>
  <c r="O52" i="31"/>
  <c r="V62" i="31"/>
  <c r="Q48" i="31"/>
  <c r="Q52" i="31"/>
  <c r="Q46" i="31"/>
  <c r="Q50" i="31"/>
  <c r="Q56" i="31"/>
  <c r="U46" i="31"/>
  <c r="U52" i="31"/>
  <c r="U50" i="31"/>
  <c r="U48" i="31"/>
  <c r="V46" i="31"/>
  <c r="U56" i="31"/>
  <c r="G49" i="1"/>
  <c r="U62" i="31"/>
  <c r="Q59" i="30"/>
  <c r="V51" i="30"/>
  <c r="Q56" i="30"/>
  <c r="Q57" i="30" s="1"/>
  <c r="Q61" i="30"/>
  <c r="K87" i="30"/>
  <c r="S59" i="30"/>
  <c r="S57" i="45"/>
  <c r="S58" i="45" s="1"/>
  <c r="L57" i="44"/>
  <c r="L58" i="44" s="1"/>
  <c r="T57" i="44"/>
  <c r="T58" i="44" s="1"/>
  <c r="R57" i="44"/>
  <c r="R58" i="44" s="1"/>
  <c r="H49" i="1"/>
  <c r="O61" i="27"/>
  <c r="O65" i="27" s="1"/>
  <c r="T57" i="32"/>
  <c r="T58" i="32" s="1"/>
  <c r="K61" i="27"/>
  <c r="K65" i="27" s="1"/>
  <c r="P57" i="32"/>
  <c r="P58" i="32" s="1"/>
  <c r="K48" i="31"/>
  <c r="K56" i="31"/>
  <c r="V56" i="31"/>
  <c r="O46" i="31"/>
  <c r="M56" i="31"/>
  <c r="N52" i="31"/>
  <c r="N56" i="31"/>
  <c r="T56" i="31"/>
  <c r="O54" i="31"/>
  <c r="T52" i="31"/>
  <c r="M48" i="31"/>
  <c r="L54" i="31"/>
  <c r="K54" i="31"/>
  <c r="T48" i="31"/>
  <c r="V52" i="31"/>
  <c r="T46" i="31"/>
  <c r="P46" i="31"/>
  <c r="L46" i="31"/>
  <c r="K52" i="31"/>
  <c r="O56" i="31"/>
  <c r="V48" i="31"/>
  <c r="M46" i="31"/>
  <c r="M52" i="31"/>
  <c r="O50" i="31"/>
  <c r="M62" i="31"/>
  <c r="T54" i="31"/>
  <c r="N50" i="31"/>
  <c r="K50" i="31"/>
  <c r="N48" i="31"/>
  <c r="G44" i="1"/>
  <c r="V54" i="31"/>
  <c r="L57" i="32"/>
  <c r="L58" i="32" s="1"/>
  <c r="L56" i="30"/>
  <c r="L57" i="30" s="1"/>
  <c r="L59" i="30"/>
  <c r="M59" i="30"/>
  <c r="M56" i="30"/>
  <c r="M57" i="30" s="1"/>
  <c r="P57" i="45"/>
  <c r="P58" i="45" s="1"/>
  <c r="K56" i="45"/>
  <c r="P46" i="45"/>
  <c r="N46" i="45"/>
  <c r="N54" i="45"/>
  <c r="N52" i="45"/>
  <c r="K54" i="45"/>
  <c r="S48" i="45"/>
  <c r="N50" i="45"/>
  <c r="K48" i="45"/>
  <c r="L50" i="45"/>
  <c r="O46" i="45"/>
  <c r="K50" i="45"/>
  <c r="M46" i="45"/>
  <c r="Q52" i="45"/>
  <c r="Q54" i="45"/>
  <c r="Q56" i="45"/>
  <c r="P48" i="45"/>
  <c r="L54" i="45"/>
  <c r="M57" i="45"/>
  <c r="M58" i="45" s="1"/>
  <c r="R57" i="45"/>
  <c r="R58" i="45" s="1"/>
  <c r="Q46" i="45"/>
  <c r="S54" i="45"/>
  <c r="P56" i="45"/>
  <c r="V54" i="45"/>
  <c r="U57" i="45"/>
  <c r="U58" i="45" s="1"/>
  <c r="R52" i="45"/>
  <c r="R54" i="45"/>
  <c r="R46" i="45"/>
  <c r="N48" i="45"/>
  <c r="O57" i="45"/>
  <c r="O58" i="45" s="1"/>
  <c r="L46" i="45"/>
  <c r="L48" i="45"/>
  <c r="L52" i="45"/>
  <c r="L57" i="45"/>
  <c r="L58" i="45" s="1"/>
  <c r="J50" i="1"/>
  <c r="S52" i="45"/>
  <c r="P54" i="45"/>
  <c r="N56" i="45"/>
  <c r="R50" i="45"/>
  <c r="T56" i="45"/>
  <c r="T54" i="45"/>
  <c r="T48" i="45"/>
  <c r="T57" i="45"/>
  <c r="T58" i="45" s="1"/>
  <c r="T50" i="45"/>
  <c r="V48" i="45"/>
  <c r="V46" i="45"/>
  <c r="U56" i="45"/>
  <c r="V50" i="45"/>
  <c r="V56" i="45"/>
  <c r="V52" i="45"/>
  <c r="J44" i="1"/>
  <c r="R61" i="39"/>
  <c r="R59" i="39"/>
  <c r="P58" i="39"/>
  <c r="M59" i="39"/>
  <c r="M58" i="39"/>
  <c r="N61" i="39"/>
  <c r="N59" i="39"/>
  <c r="G61" i="39"/>
  <c r="G45" i="39"/>
  <c r="I31" i="25"/>
  <c r="I32" i="25" s="1"/>
  <c r="N91" i="30" s="1"/>
  <c r="J57" i="24"/>
  <c r="K57" i="24"/>
  <c r="I57" i="24"/>
  <c r="N57" i="24"/>
  <c r="N45" i="24"/>
  <c r="R17" i="30" s="1"/>
  <c r="Q57" i="24"/>
  <c r="O57" i="24"/>
  <c r="M57" i="24"/>
  <c r="L57" i="24"/>
  <c r="G59" i="39"/>
  <c r="G58" i="39"/>
  <c r="G51" i="37"/>
  <c r="G54" i="37" s="1"/>
  <c r="K58" i="39"/>
  <c r="K59" i="39"/>
  <c r="K61" i="39"/>
  <c r="I58" i="39"/>
  <c r="I59" i="39"/>
  <c r="I61" i="39"/>
  <c r="Q58" i="39"/>
  <c r="Q59" i="39"/>
  <c r="Q61" i="39"/>
  <c r="H58" i="39"/>
  <c r="H59" i="39"/>
  <c r="H61" i="39"/>
  <c r="L59" i="39"/>
  <c r="L61" i="39"/>
  <c r="L58" i="39"/>
  <c r="I58" i="38"/>
  <c r="I59" i="38"/>
  <c r="I61" i="38"/>
  <c r="O58" i="38"/>
  <c r="O59" i="38"/>
  <c r="O61" i="38"/>
  <c r="P58" i="38"/>
  <c r="P59" i="38"/>
  <c r="P61" i="38"/>
  <c r="N58" i="38"/>
  <c r="N59" i="38"/>
  <c r="N61" i="38"/>
  <c r="J59" i="38"/>
  <c r="J61" i="38"/>
  <c r="J58" i="38"/>
  <c r="M61" i="38"/>
  <c r="M58" i="38"/>
  <c r="M59" i="38"/>
  <c r="R58" i="38"/>
  <c r="R59" i="38"/>
  <c r="R61" i="38"/>
  <c r="Q58" i="38"/>
  <c r="Q59" i="38"/>
  <c r="Q61" i="38"/>
  <c r="O61" i="37"/>
  <c r="O45" i="37"/>
  <c r="S17" i="32" s="1"/>
  <c r="O59" i="37"/>
  <c r="M45" i="37"/>
  <c r="Q17" i="32" s="1"/>
  <c r="M25" i="37"/>
  <c r="K57" i="37"/>
  <c r="K25" i="37"/>
  <c r="T59" i="37"/>
  <c r="T61" i="37"/>
  <c r="T58" i="37"/>
  <c r="L59" i="37"/>
  <c r="L61" i="37"/>
  <c r="L58" i="37"/>
  <c r="N61" i="37"/>
  <c r="N58" i="37"/>
  <c r="N59" i="37"/>
  <c r="S58" i="37"/>
  <c r="S59" i="37"/>
  <c r="S61" i="37"/>
  <c r="Q58" i="37"/>
  <c r="Q59" i="37"/>
  <c r="Q61" i="37"/>
  <c r="M61" i="37"/>
  <c r="M59" i="37"/>
  <c r="M58" i="37"/>
  <c r="R59" i="37"/>
  <c r="R58" i="37"/>
  <c r="R61" i="37"/>
  <c r="P58" i="37"/>
  <c r="P59" i="37"/>
  <c r="P61" i="37"/>
  <c r="K58" i="37"/>
  <c r="K61" i="37"/>
  <c r="K59" i="37"/>
  <c r="J59" i="37"/>
  <c r="J58" i="37"/>
  <c r="J61" i="37"/>
  <c r="I45" i="37"/>
  <c r="M17" i="32" s="1"/>
  <c r="I57" i="37"/>
  <c r="I25" i="37"/>
  <c r="U61" i="37"/>
  <c r="U58" i="37"/>
  <c r="U59" i="37"/>
  <c r="P58" i="24"/>
  <c r="P59" i="24"/>
  <c r="H57" i="24"/>
  <c r="H18" i="25"/>
  <c r="H19" i="25" s="1"/>
  <c r="M87" i="30" s="1"/>
  <c r="I16" i="25"/>
  <c r="H58" i="24"/>
  <c r="H59" i="24"/>
  <c r="S57" i="33"/>
  <c r="S45" i="33"/>
  <c r="O45" i="24"/>
  <c r="S17" i="30" s="1"/>
  <c r="K45" i="24"/>
  <c r="O17" i="30" s="1"/>
  <c r="H45" i="24"/>
  <c r="L17" i="30" s="1"/>
  <c r="L45" i="24"/>
  <c r="P17" i="30" s="1"/>
  <c r="L61" i="24"/>
  <c r="L58" i="24"/>
  <c r="K61" i="24"/>
  <c r="K58" i="24"/>
  <c r="Q61" i="24"/>
  <c r="Q59" i="24"/>
  <c r="Q58" i="24"/>
  <c r="N58" i="24"/>
  <c r="N59" i="24"/>
  <c r="N61" i="24"/>
  <c r="J59" i="24"/>
  <c r="J61" i="24"/>
  <c r="J58" i="24"/>
  <c r="O58" i="24"/>
  <c r="O59" i="24"/>
  <c r="O61" i="24"/>
  <c r="I61" i="24"/>
  <c r="I58" i="24"/>
  <c r="I59" i="24"/>
  <c r="R59" i="24"/>
  <c r="R61" i="24"/>
  <c r="R58" i="24"/>
  <c r="M59" i="24"/>
  <c r="M58" i="24"/>
  <c r="M61" i="24"/>
  <c r="K62" i="31"/>
  <c r="U59" i="38" l="1"/>
  <c r="U58" i="38"/>
  <c r="G61" i="38"/>
  <c r="G59" i="38"/>
  <c r="G58" i="38"/>
  <c r="H59" i="38"/>
  <c r="H58" i="38"/>
  <c r="T8" i="44"/>
  <c r="T45" i="33"/>
  <c r="T57" i="33"/>
  <c r="I46" i="32"/>
  <c r="I45" i="30"/>
  <c r="I46" i="44"/>
  <c r="I46" i="31"/>
  <c r="I46" i="45"/>
  <c r="T49" i="38"/>
  <c r="T51" i="38" s="1"/>
  <c r="T54" i="38" s="1"/>
  <c r="I48" i="45"/>
  <c r="I48" i="32"/>
  <c r="I47" i="30"/>
  <c r="I48" i="44"/>
  <c r="I48" i="31"/>
  <c r="I51" i="30"/>
  <c r="I52" i="44"/>
  <c r="I52" i="31"/>
  <c r="I52" i="45"/>
  <c r="I52" i="32"/>
  <c r="I59" i="30"/>
  <c r="I60" i="44"/>
  <c r="I60" i="31"/>
  <c r="I60" i="45"/>
  <c r="I60" i="32"/>
  <c r="I56" i="45"/>
  <c r="I56" i="31"/>
  <c r="I56" i="32"/>
  <c r="I55" i="30"/>
  <c r="I56" i="44"/>
  <c r="I50" i="31"/>
  <c r="I50" i="45"/>
  <c r="I50" i="44"/>
  <c r="I50" i="32"/>
  <c r="I49" i="30"/>
  <c r="I54" i="32"/>
  <c r="I53" i="30"/>
  <c r="I54" i="44"/>
  <c r="I54" i="31"/>
  <c r="I54" i="45"/>
  <c r="V58" i="45"/>
  <c r="I57" i="31"/>
  <c r="I57" i="45"/>
  <c r="I57" i="32"/>
  <c r="I56" i="30"/>
  <c r="I57" i="44"/>
  <c r="H54" i="32"/>
  <c r="H53" i="30"/>
  <c r="H54" i="44"/>
  <c r="H54" i="31"/>
  <c r="H54" i="45"/>
  <c r="T16" i="44"/>
  <c r="H56" i="31"/>
  <c r="H56" i="45"/>
  <c r="H56" i="32"/>
  <c r="H55" i="30"/>
  <c r="H56" i="44"/>
  <c r="H46" i="32"/>
  <c r="H45" i="30"/>
  <c r="H46" i="45"/>
  <c r="H46" i="44"/>
  <c r="H46" i="31"/>
  <c r="V58" i="44"/>
  <c r="H57" i="31"/>
  <c r="H57" i="44"/>
  <c r="H57" i="45"/>
  <c r="H57" i="32"/>
  <c r="H56" i="30"/>
  <c r="H50" i="44"/>
  <c r="H49" i="30"/>
  <c r="H50" i="31"/>
  <c r="H50" i="45"/>
  <c r="H50" i="32"/>
  <c r="L8" i="44"/>
  <c r="H51" i="30"/>
  <c r="H52" i="44"/>
  <c r="H52" i="32"/>
  <c r="H52" i="31"/>
  <c r="H52" i="45"/>
  <c r="O25" i="38"/>
  <c r="S16" i="44"/>
  <c r="S8" i="44"/>
  <c r="O57" i="38"/>
  <c r="O45" i="38"/>
  <c r="S17" i="44" s="1"/>
  <c r="O64" i="44"/>
  <c r="O65" i="44" s="1"/>
  <c r="K24" i="38"/>
  <c r="V64" i="44"/>
  <c r="R24" i="38"/>
  <c r="P25" i="38"/>
  <c r="P45" i="38"/>
  <c r="T17" i="44" s="1"/>
  <c r="H48" i="31"/>
  <c r="H48" i="45"/>
  <c r="H48" i="32"/>
  <c r="H47" i="30"/>
  <c r="H48" i="44"/>
  <c r="Q64" i="44"/>
  <c r="Q65" i="44" s="1"/>
  <c r="M24" i="38"/>
  <c r="T24" i="37"/>
  <c r="T45" i="37" s="1"/>
  <c r="H62" i="32"/>
  <c r="H62" i="45"/>
  <c r="H61" i="30"/>
  <c r="H62" i="44"/>
  <c r="H62" i="31"/>
  <c r="H25" i="38"/>
  <c r="T25" i="37" s="1"/>
  <c r="H57" i="38"/>
  <c r="H45" i="38"/>
  <c r="L17" i="44" s="1"/>
  <c r="G46" i="45"/>
  <c r="G46" i="32"/>
  <c r="G45" i="30"/>
  <c r="G46" i="44"/>
  <c r="G46" i="31"/>
  <c r="G56" i="31"/>
  <c r="G56" i="45"/>
  <c r="G56" i="32"/>
  <c r="G55" i="30"/>
  <c r="G56" i="44"/>
  <c r="G54" i="45"/>
  <c r="G54" i="32"/>
  <c r="G53" i="30"/>
  <c r="G54" i="31"/>
  <c r="G54" i="44"/>
  <c r="G17" i="30"/>
  <c r="G17" i="44"/>
  <c r="G17" i="31"/>
  <c r="G17" i="32"/>
  <c r="G17" i="45"/>
  <c r="G8" i="44"/>
  <c r="G8" i="31"/>
  <c r="G8" i="45"/>
  <c r="G8" i="32"/>
  <c r="G8" i="30"/>
  <c r="G62" i="45"/>
  <c r="G62" i="32"/>
  <c r="G61" i="30"/>
  <c r="G62" i="44"/>
  <c r="G62" i="31"/>
  <c r="V58" i="32"/>
  <c r="G57" i="44"/>
  <c r="G57" i="31"/>
  <c r="G57" i="45"/>
  <c r="G56" i="30"/>
  <c r="G57" i="32"/>
  <c r="G49" i="30"/>
  <c r="G50" i="44"/>
  <c r="G50" i="31"/>
  <c r="G50" i="45"/>
  <c r="G50" i="32"/>
  <c r="G16" i="44"/>
  <c r="G16" i="31"/>
  <c r="G16" i="45"/>
  <c r="G16" i="30"/>
  <c r="G16" i="32"/>
  <c r="G52" i="32"/>
  <c r="G51" i="30"/>
  <c r="G52" i="44"/>
  <c r="G52" i="45"/>
  <c r="G52" i="31"/>
  <c r="G48" i="31"/>
  <c r="G48" i="45"/>
  <c r="G47" i="30"/>
  <c r="G48" i="32"/>
  <c r="G48" i="44"/>
  <c r="G60" i="32"/>
  <c r="G60" i="45"/>
  <c r="G59" i="30"/>
  <c r="G60" i="44"/>
  <c r="G60" i="31"/>
  <c r="F54" i="45"/>
  <c r="F54" i="32"/>
  <c r="F53" i="30"/>
  <c r="F54" i="44"/>
  <c r="F54" i="31"/>
  <c r="F50" i="44"/>
  <c r="F50" i="31"/>
  <c r="F50" i="45"/>
  <c r="F50" i="32"/>
  <c r="F49" i="30"/>
  <c r="N64" i="31"/>
  <c r="N65" i="31" s="1"/>
  <c r="J24" i="33"/>
  <c r="F62" i="45"/>
  <c r="F62" i="32"/>
  <c r="F61" i="30"/>
  <c r="F62" i="44"/>
  <c r="F62" i="31"/>
  <c r="M64" i="31"/>
  <c r="M65" i="31" s="1"/>
  <c r="U24" i="24"/>
  <c r="U25" i="24" s="1"/>
  <c r="I24" i="33"/>
  <c r="I25" i="33" s="1"/>
  <c r="O25" i="33"/>
  <c r="O45" i="33"/>
  <c r="S17" i="31" s="1"/>
  <c r="O57" i="33"/>
  <c r="F48" i="31"/>
  <c r="F48" i="45"/>
  <c r="F48" i="32"/>
  <c r="F47" i="30"/>
  <c r="F48" i="44"/>
  <c r="R64" i="31"/>
  <c r="R65" i="31" s="1"/>
  <c r="N24" i="33"/>
  <c r="U64" i="31"/>
  <c r="U65" i="31" s="1"/>
  <c r="Q24" i="33"/>
  <c r="O64" i="31"/>
  <c r="O65" i="31" s="1"/>
  <c r="K24" i="33"/>
  <c r="F52" i="32"/>
  <c r="F52" i="44"/>
  <c r="F52" i="31"/>
  <c r="F51" i="30"/>
  <c r="F52" i="45"/>
  <c r="T24" i="24"/>
  <c r="T25" i="24" s="1"/>
  <c r="H24" i="33"/>
  <c r="H25" i="33" s="1"/>
  <c r="G24" i="33"/>
  <c r="G25" i="33" s="1"/>
  <c r="S24" i="24"/>
  <c r="S25" i="24" s="1"/>
  <c r="V64" i="31"/>
  <c r="R24" i="33"/>
  <c r="F46" i="45"/>
  <c r="F46" i="32"/>
  <c r="F45" i="30"/>
  <c r="F46" i="44"/>
  <c r="F46" i="31"/>
  <c r="E52" i="44"/>
  <c r="E52" i="31"/>
  <c r="E52" i="45"/>
  <c r="E52" i="32"/>
  <c r="E51" i="30"/>
  <c r="E45" i="30"/>
  <c r="E46" i="44"/>
  <c r="E46" i="31"/>
  <c r="E46" i="45"/>
  <c r="E46" i="32"/>
  <c r="E16" i="30"/>
  <c r="E16" i="31"/>
  <c r="E16" i="45"/>
  <c r="E16" i="32"/>
  <c r="E16" i="44"/>
  <c r="E61" i="30"/>
  <c r="E62" i="44"/>
  <c r="E62" i="31"/>
  <c r="E62" i="45"/>
  <c r="E62" i="32"/>
  <c r="V57" i="30"/>
  <c r="E57" i="45"/>
  <c r="E57" i="32"/>
  <c r="E56" i="30"/>
  <c r="E57" i="44"/>
  <c r="E57" i="31"/>
  <c r="E8" i="30"/>
  <c r="E8" i="44"/>
  <c r="E8" i="31"/>
  <c r="E8" i="45"/>
  <c r="E8" i="32"/>
  <c r="E50" i="31"/>
  <c r="E50" i="45"/>
  <c r="E50" i="32"/>
  <c r="E49" i="30"/>
  <c r="E50" i="44"/>
  <c r="E17" i="30"/>
  <c r="E17" i="44"/>
  <c r="E17" i="31"/>
  <c r="E17" i="45"/>
  <c r="E17" i="32"/>
  <c r="V64" i="30"/>
  <c r="E63" i="30"/>
  <c r="E64" i="44"/>
  <c r="E64" i="31"/>
  <c r="E64" i="45"/>
  <c r="E64" i="32"/>
  <c r="E60" i="44"/>
  <c r="E60" i="31"/>
  <c r="E60" i="45"/>
  <c r="E60" i="32"/>
  <c r="E59" i="30"/>
  <c r="E48" i="32"/>
  <c r="E47" i="30"/>
  <c r="E48" i="44"/>
  <c r="E48" i="31"/>
  <c r="E48" i="45"/>
  <c r="E53" i="30"/>
  <c r="E54" i="44"/>
  <c r="E54" i="31"/>
  <c r="E54" i="45"/>
  <c r="E54" i="32"/>
  <c r="E55" i="30"/>
  <c r="E56" i="44"/>
  <c r="E56" i="32"/>
  <c r="E56" i="31"/>
  <c r="E56" i="45"/>
  <c r="F56" i="31"/>
  <c r="F56" i="45"/>
  <c r="F56" i="32"/>
  <c r="F55" i="30"/>
  <c r="F56" i="44"/>
  <c r="S59" i="38"/>
  <c r="S61" i="38"/>
  <c r="H58" i="37"/>
  <c r="H59" i="37"/>
  <c r="I61" i="37"/>
  <c r="K60" i="32"/>
  <c r="I58" i="37"/>
  <c r="I53" i="51"/>
  <c r="I54" i="51" s="1"/>
  <c r="H53" i="51"/>
  <c r="I53" i="52"/>
  <c r="I54" i="52" s="1"/>
  <c r="H53" i="52"/>
  <c r="H46" i="52"/>
  <c r="H47" i="52" s="1"/>
  <c r="H46" i="51"/>
  <c r="H47" i="51" s="1"/>
  <c r="G46" i="51"/>
  <c r="G47" i="51" s="1"/>
  <c r="G46" i="52"/>
  <c r="G47" i="52" s="1"/>
  <c r="I46" i="52"/>
  <c r="I47" i="52" s="1"/>
  <c r="P31" i="3"/>
  <c r="J53" i="50"/>
  <c r="J54" i="50" s="1"/>
  <c r="J53" i="52"/>
  <c r="J54" i="52" s="1"/>
  <c r="K53" i="49"/>
  <c r="K54" i="49" s="1"/>
  <c r="J53" i="51"/>
  <c r="J54" i="51" s="1"/>
  <c r="J46" i="50"/>
  <c r="J47" i="50" s="1"/>
  <c r="J46" i="51"/>
  <c r="J47" i="51" s="1"/>
  <c r="J46" i="52"/>
  <c r="J47" i="52" s="1"/>
  <c r="H46" i="50"/>
  <c r="H47" i="50" s="1"/>
  <c r="L31" i="3"/>
  <c r="I53" i="50"/>
  <c r="I54" i="50" s="1"/>
  <c r="H53" i="50"/>
  <c r="I53" i="49"/>
  <c r="J53" i="49"/>
  <c r="J54" i="49" s="1"/>
  <c r="F17" i="23"/>
  <c r="F26" i="23" s="1"/>
  <c r="G12" i="24"/>
  <c r="G11" i="24" s="1"/>
  <c r="K17" i="45"/>
  <c r="G61" i="37"/>
  <c r="G27" i="40"/>
  <c r="R27" i="25"/>
  <c r="U64" i="26"/>
  <c r="K60" i="31"/>
  <c r="P62" i="31"/>
  <c r="G58" i="37"/>
  <c r="G59" i="37"/>
  <c r="G45" i="37"/>
  <c r="O62" i="44"/>
  <c r="U59" i="29"/>
  <c r="U61" i="29"/>
  <c r="K60" i="45"/>
  <c r="R63" i="28"/>
  <c r="V60" i="44"/>
  <c r="H63" i="28"/>
  <c r="I63" i="28"/>
  <c r="N29" i="3"/>
  <c r="P63" i="28"/>
  <c r="F63" i="28"/>
  <c r="G24" i="38" s="1"/>
  <c r="K63" i="28"/>
  <c r="L29" i="3"/>
  <c r="K66" i="26"/>
  <c r="J29" i="3"/>
  <c r="O66" i="26"/>
  <c r="L66" i="26"/>
  <c r="M24" i="33" s="1"/>
  <c r="U60" i="45"/>
  <c r="I46" i="1"/>
  <c r="I47" i="1" s="1"/>
  <c r="L63" i="29"/>
  <c r="Q62" i="45"/>
  <c r="S60" i="45"/>
  <c r="P63" i="29"/>
  <c r="U62" i="45"/>
  <c r="N63" i="29"/>
  <c r="S62" i="45"/>
  <c r="J46" i="1"/>
  <c r="J47" i="1" s="1"/>
  <c r="U57" i="28"/>
  <c r="S57" i="44"/>
  <c r="S58" i="44" s="1"/>
  <c r="H65" i="27"/>
  <c r="M60" i="32"/>
  <c r="G46" i="1"/>
  <c r="G47" i="1" s="1"/>
  <c r="U59" i="28"/>
  <c r="I56" i="52" s="1"/>
  <c r="Q60" i="44"/>
  <c r="Q62" i="44"/>
  <c r="Q65" i="27"/>
  <c r="V64" i="32" s="1"/>
  <c r="S60" i="32"/>
  <c r="U60" i="32"/>
  <c r="U61" i="27"/>
  <c r="I65" i="27"/>
  <c r="N64" i="32" s="1"/>
  <c r="N65" i="32" s="1"/>
  <c r="N62" i="32"/>
  <c r="H46" i="1"/>
  <c r="H47" i="1" s="1"/>
  <c r="U62" i="26"/>
  <c r="L60" i="44"/>
  <c r="R60" i="44"/>
  <c r="T60" i="44"/>
  <c r="S60" i="44"/>
  <c r="P60" i="32"/>
  <c r="T60" i="32"/>
  <c r="L60" i="32"/>
  <c r="G63" i="29"/>
  <c r="L60" i="45"/>
  <c r="H63" i="29"/>
  <c r="M60" i="45"/>
  <c r="M63" i="29"/>
  <c r="N24" i="39" s="1"/>
  <c r="R60" i="45"/>
  <c r="J63" i="29"/>
  <c r="K24" i="39" s="1"/>
  <c r="O60" i="45"/>
  <c r="K63" i="29"/>
  <c r="L24" i="39" s="1"/>
  <c r="P60" i="45"/>
  <c r="O63" i="29"/>
  <c r="P24" i="39" s="1"/>
  <c r="T60" i="45"/>
  <c r="T64" i="32"/>
  <c r="T65" i="32" s="1"/>
  <c r="T62" i="32"/>
  <c r="L64" i="32"/>
  <c r="L65" i="32" s="1"/>
  <c r="L62" i="32"/>
  <c r="P64" i="32"/>
  <c r="P65" i="32" s="1"/>
  <c r="P62" i="32"/>
  <c r="J31" i="25"/>
  <c r="J32" i="25" s="1"/>
  <c r="O91" i="30" s="1"/>
  <c r="Q62" i="31"/>
  <c r="T62" i="31"/>
  <c r="J16" i="25"/>
  <c r="I18" i="25"/>
  <c r="I19" i="25" s="1"/>
  <c r="J53" i="1"/>
  <c r="J54" i="1" s="1"/>
  <c r="H53" i="1"/>
  <c r="I53" i="1"/>
  <c r="I54" i="1" s="1"/>
  <c r="K62" i="44"/>
  <c r="K62" i="32"/>
  <c r="T57" i="37" l="1"/>
  <c r="P25" i="39"/>
  <c r="P57" i="39"/>
  <c r="P45" i="39"/>
  <c r="T17" i="45" s="1"/>
  <c r="T8" i="45"/>
  <c r="T16" i="45"/>
  <c r="T61" i="38"/>
  <c r="T58" i="38"/>
  <c r="T59" i="38"/>
  <c r="I58" i="44"/>
  <c r="I58" i="31"/>
  <c r="I58" i="45"/>
  <c r="I58" i="32"/>
  <c r="I57" i="30"/>
  <c r="K25" i="39"/>
  <c r="O16" i="45"/>
  <c r="O8" i="45"/>
  <c r="K45" i="39"/>
  <c r="O17" i="45" s="1"/>
  <c r="K57" i="39"/>
  <c r="S64" i="45"/>
  <c r="S65" i="45" s="1"/>
  <c r="O24" i="39"/>
  <c r="Q64" i="45"/>
  <c r="Q65" i="45" s="1"/>
  <c r="M24" i="39"/>
  <c r="U24" i="38"/>
  <c r="I24" i="39"/>
  <c r="L25" i="39"/>
  <c r="P8" i="45"/>
  <c r="L57" i="39"/>
  <c r="L45" i="39"/>
  <c r="P17" i="45" s="1"/>
  <c r="P16" i="45"/>
  <c r="H24" i="39"/>
  <c r="T24" i="38"/>
  <c r="N25" i="39"/>
  <c r="R16" i="45"/>
  <c r="R8" i="45"/>
  <c r="N57" i="39"/>
  <c r="N45" i="39"/>
  <c r="R17" i="45" s="1"/>
  <c r="U64" i="45"/>
  <c r="U65" i="45" s="1"/>
  <c r="Q24" i="39"/>
  <c r="M25" i="38"/>
  <c r="M57" i="38"/>
  <c r="Q16" i="44"/>
  <c r="Q8" i="44"/>
  <c r="M45" i="38"/>
  <c r="Q17" i="44" s="1"/>
  <c r="V65" i="44"/>
  <c r="H64" i="31"/>
  <c r="H64" i="45"/>
  <c r="H64" i="32"/>
  <c r="H63" i="30"/>
  <c r="H64" i="44"/>
  <c r="K25" i="38"/>
  <c r="O8" i="44"/>
  <c r="K45" i="38"/>
  <c r="O17" i="44" s="1"/>
  <c r="O16" i="44"/>
  <c r="K57" i="38"/>
  <c r="U64" i="44"/>
  <c r="U65" i="44" s="1"/>
  <c r="Q24" i="38"/>
  <c r="P64" i="44"/>
  <c r="P65" i="44" s="1"/>
  <c r="L24" i="38"/>
  <c r="G25" i="38"/>
  <c r="S25" i="37" s="1"/>
  <c r="K16" i="44"/>
  <c r="S24" i="37"/>
  <c r="K8" i="44"/>
  <c r="G57" i="38"/>
  <c r="H59" i="30"/>
  <c r="H60" i="44"/>
  <c r="H60" i="31"/>
  <c r="H60" i="32"/>
  <c r="H60" i="45"/>
  <c r="N64" i="44"/>
  <c r="N65" i="44" s="1"/>
  <c r="J24" i="38"/>
  <c r="M64" i="44"/>
  <c r="M65" i="44" s="1"/>
  <c r="I24" i="38"/>
  <c r="R25" i="38"/>
  <c r="R45" i="38"/>
  <c r="V17" i="44" s="1"/>
  <c r="V8" i="44"/>
  <c r="R57" i="38"/>
  <c r="V16" i="44"/>
  <c r="H58" i="44"/>
  <c r="H58" i="31"/>
  <c r="H58" i="45"/>
  <c r="H58" i="32"/>
  <c r="H57" i="30"/>
  <c r="V65" i="32"/>
  <c r="G64" i="31"/>
  <c r="G64" i="45"/>
  <c r="G64" i="32"/>
  <c r="G63" i="30"/>
  <c r="G64" i="44"/>
  <c r="M64" i="32"/>
  <c r="M65" i="32" s="1"/>
  <c r="U24" i="33"/>
  <c r="G57" i="30"/>
  <c r="G58" i="44"/>
  <c r="G58" i="31"/>
  <c r="G58" i="45"/>
  <c r="G58" i="32"/>
  <c r="J25" i="33"/>
  <c r="J45" i="33"/>
  <c r="N17" i="31" s="1"/>
  <c r="J57" i="33"/>
  <c r="N16" i="31"/>
  <c r="N8" i="31"/>
  <c r="M25" i="33"/>
  <c r="M57" i="33"/>
  <c r="M45" i="33"/>
  <c r="Q17" i="31" s="1"/>
  <c r="Q8" i="31"/>
  <c r="Q16" i="31"/>
  <c r="K25" i="33"/>
  <c r="K45" i="33"/>
  <c r="O17" i="31" s="1"/>
  <c r="K57" i="33"/>
  <c r="O8" i="31"/>
  <c r="O16" i="31"/>
  <c r="P64" i="31"/>
  <c r="P65" i="31" s="1"/>
  <c r="L24" i="33"/>
  <c r="T64" i="31"/>
  <c r="T65" i="31" s="1"/>
  <c r="P24" i="33"/>
  <c r="N25" i="33"/>
  <c r="N57" i="33"/>
  <c r="N45" i="33"/>
  <c r="R17" i="31" s="1"/>
  <c r="R16" i="31"/>
  <c r="R8" i="31"/>
  <c r="V65" i="31"/>
  <c r="F64" i="45"/>
  <c r="F64" i="32"/>
  <c r="F63" i="30"/>
  <c r="F64" i="44"/>
  <c r="F64" i="31"/>
  <c r="Q25" i="33"/>
  <c r="Q57" i="33"/>
  <c r="U8" i="31"/>
  <c r="Q45" i="33"/>
  <c r="U17" i="31" s="1"/>
  <c r="U16" i="31"/>
  <c r="R25" i="33"/>
  <c r="R45" i="33"/>
  <c r="V17" i="31" s="1"/>
  <c r="R57" i="33"/>
  <c r="V8" i="31"/>
  <c r="V16" i="31"/>
  <c r="E58" i="31"/>
  <c r="E58" i="45"/>
  <c r="E58" i="32"/>
  <c r="E57" i="30"/>
  <c r="E58" i="44"/>
  <c r="E65" i="45"/>
  <c r="E65" i="32"/>
  <c r="E64" i="30"/>
  <c r="E65" i="44"/>
  <c r="E65" i="31"/>
  <c r="H56" i="52"/>
  <c r="H56" i="51"/>
  <c r="H56" i="49"/>
  <c r="G56" i="50"/>
  <c r="G56" i="52"/>
  <c r="G56" i="51"/>
  <c r="G58" i="50"/>
  <c r="G58" i="52"/>
  <c r="G58" i="51"/>
  <c r="K44" i="30"/>
  <c r="K47" i="30" s="1"/>
  <c r="F59" i="23"/>
  <c r="F61" i="23" s="1"/>
  <c r="F63" i="23"/>
  <c r="U17" i="23"/>
  <c r="J58" i="50"/>
  <c r="J58" i="51"/>
  <c r="J58" i="52"/>
  <c r="K58" i="49"/>
  <c r="J56" i="52"/>
  <c r="J56" i="50"/>
  <c r="K56" i="49"/>
  <c r="J56" i="51"/>
  <c r="I56" i="1"/>
  <c r="I56" i="51"/>
  <c r="I56" i="50"/>
  <c r="J56" i="49"/>
  <c r="I56" i="49"/>
  <c r="H56" i="50"/>
  <c r="J33" i="3"/>
  <c r="H58" i="49"/>
  <c r="G49" i="24"/>
  <c r="G51" i="24" s="1"/>
  <c r="V11" i="24"/>
  <c r="K5" i="30"/>
  <c r="G22" i="24"/>
  <c r="U26" i="23"/>
  <c r="K48" i="30"/>
  <c r="L92" i="31"/>
  <c r="S27" i="25"/>
  <c r="H27" i="40"/>
  <c r="K17" i="32"/>
  <c r="V45" i="37"/>
  <c r="N31" i="3"/>
  <c r="Q63" i="29"/>
  <c r="V62" i="45"/>
  <c r="I63" i="29"/>
  <c r="N62" i="45"/>
  <c r="K62" i="45"/>
  <c r="F63" i="29"/>
  <c r="M63" i="28"/>
  <c r="U61" i="28"/>
  <c r="I58" i="52" s="1"/>
  <c r="N65" i="27"/>
  <c r="S64" i="32" s="1"/>
  <c r="S65" i="32" s="1"/>
  <c r="S62" i="32"/>
  <c r="P65" i="27"/>
  <c r="U62" i="32"/>
  <c r="U63" i="27"/>
  <c r="U60" i="26"/>
  <c r="K57" i="31"/>
  <c r="K58" i="31" s="1"/>
  <c r="Q64" i="31"/>
  <c r="Q65" i="31" s="1"/>
  <c r="N87" i="30"/>
  <c r="R62" i="44"/>
  <c r="S64" i="44"/>
  <c r="S65" i="44" s="1"/>
  <c r="S62" i="44"/>
  <c r="L64" i="44"/>
  <c r="L65" i="44" s="1"/>
  <c r="L62" i="44"/>
  <c r="T64" i="44"/>
  <c r="T65" i="44" s="1"/>
  <c r="T62" i="44"/>
  <c r="S64" i="31"/>
  <c r="S65" i="31" s="1"/>
  <c r="S62" i="31"/>
  <c r="L64" i="45"/>
  <c r="L65" i="45" s="1"/>
  <c r="L62" i="45"/>
  <c r="O64" i="45"/>
  <c r="O65" i="45" s="1"/>
  <c r="O62" i="45"/>
  <c r="R64" i="45"/>
  <c r="R65" i="45" s="1"/>
  <c r="R62" i="45"/>
  <c r="P64" i="45"/>
  <c r="P65" i="45" s="1"/>
  <c r="P62" i="45"/>
  <c r="M64" i="45"/>
  <c r="M65" i="45" s="1"/>
  <c r="M62" i="45"/>
  <c r="T64" i="45"/>
  <c r="T65" i="45" s="1"/>
  <c r="T62" i="45"/>
  <c r="K31" i="25"/>
  <c r="K32" i="25" s="1"/>
  <c r="P91" i="30" s="1"/>
  <c r="K64" i="31"/>
  <c r="K65" i="31" s="1"/>
  <c r="K16" i="25"/>
  <c r="J18" i="25"/>
  <c r="J19" i="25" s="1"/>
  <c r="J56" i="1"/>
  <c r="H56" i="1"/>
  <c r="P33" i="3"/>
  <c r="F64" i="23" l="1"/>
  <c r="I25" i="39"/>
  <c r="I57" i="39"/>
  <c r="I45" i="39"/>
  <c r="M17" i="45" s="1"/>
  <c r="M8" i="45"/>
  <c r="M16" i="45"/>
  <c r="Q25" i="39"/>
  <c r="U16" i="45"/>
  <c r="Q45" i="39"/>
  <c r="U17" i="45" s="1"/>
  <c r="U8" i="45"/>
  <c r="Q57" i="39"/>
  <c r="H25" i="39"/>
  <c r="H45" i="39"/>
  <c r="L8" i="45"/>
  <c r="H57" i="39"/>
  <c r="L16" i="45"/>
  <c r="M25" i="39"/>
  <c r="M45" i="39"/>
  <c r="Q17" i="45" s="1"/>
  <c r="M57" i="39"/>
  <c r="Q16" i="45"/>
  <c r="Q8" i="45"/>
  <c r="S24" i="38"/>
  <c r="G24" i="39"/>
  <c r="U25" i="38"/>
  <c r="U45" i="38"/>
  <c r="U57" i="38"/>
  <c r="N64" i="45"/>
  <c r="N65" i="45" s="1"/>
  <c r="J24" i="39"/>
  <c r="T25" i="38"/>
  <c r="T45" i="38"/>
  <c r="T57" i="38"/>
  <c r="I62" i="32"/>
  <c r="I61" i="30"/>
  <c r="I62" i="44"/>
  <c r="I62" i="31"/>
  <c r="I62" i="45"/>
  <c r="O25" i="39"/>
  <c r="O57" i="39"/>
  <c r="S16" i="45"/>
  <c r="O45" i="39"/>
  <c r="S17" i="45" s="1"/>
  <c r="S8" i="45"/>
  <c r="V64" i="45"/>
  <c r="R24" i="39"/>
  <c r="J25" i="38"/>
  <c r="N8" i="44"/>
  <c r="J45" i="38"/>
  <c r="N17" i="44" s="1"/>
  <c r="N16" i="44"/>
  <c r="J57" i="38"/>
  <c r="H16" i="30"/>
  <c r="H16" i="44"/>
  <c r="H16" i="31"/>
  <c r="H16" i="45"/>
  <c r="H16" i="32"/>
  <c r="S57" i="37"/>
  <c r="S45" i="37"/>
  <c r="H8" i="30"/>
  <c r="H8" i="44"/>
  <c r="H8" i="31"/>
  <c r="H8" i="45"/>
  <c r="H8" i="32"/>
  <c r="H65" i="31"/>
  <c r="H65" i="45"/>
  <c r="H65" i="44"/>
  <c r="H65" i="32"/>
  <c r="H64" i="30"/>
  <c r="H17" i="32"/>
  <c r="H17" i="30"/>
  <c r="H17" i="44"/>
  <c r="H17" i="31"/>
  <c r="H17" i="45"/>
  <c r="I25" i="38"/>
  <c r="U25" i="37" s="1"/>
  <c r="I57" i="38"/>
  <c r="I45" i="38"/>
  <c r="M8" i="44"/>
  <c r="M16" i="44"/>
  <c r="U24" i="37"/>
  <c r="Q25" i="38"/>
  <c r="Q45" i="38"/>
  <c r="U17" i="44" s="1"/>
  <c r="U8" i="44"/>
  <c r="Q57" i="38"/>
  <c r="U16" i="44"/>
  <c r="U63" i="28"/>
  <c r="I60" i="52" s="1"/>
  <c r="I51" i="52" s="1"/>
  <c r="N24" i="38"/>
  <c r="L25" i="38"/>
  <c r="P16" i="44"/>
  <c r="P8" i="44"/>
  <c r="L57" i="38"/>
  <c r="L45" i="38"/>
  <c r="P17" i="44" s="1"/>
  <c r="U25" i="33"/>
  <c r="U45" i="33"/>
  <c r="U57" i="33"/>
  <c r="G65" i="44"/>
  <c r="G65" i="31"/>
  <c r="G65" i="45"/>
  <c r="G64" i="30"/>
  <c r="G65" i="32"/>
  <c r="P25" i="33"/>
  <c r="P45" i="33"/>
  <c r="T17" i="31" s="1"/>
  <c r="P57" i="33"/>
  <c r="T8" i="31"/>
  <c r="T16" i="31"/>
  <c r="F16" i="30"/>
  <c r="F16" i="44"/>
  <c r="F16" i="32"/>
  <c r="F16" i="31"/>
  <c r="F16" i="45"/>
  <c r="F8" i="30"/>
  <c r="F8" i="44"/>
  <c r="F8" i="31"/>
  <c r="F8" i="45"/>
  <c r="F8" i="32"/>
  <c r="L25" i="33"/>
  <c r="L45" i="33"/>
  <c r="P17" i="31" s="1"/>
  <c r="L57" i="33"/>
  <c r="P16" i="31"/>
  <c r="P8" i="31"/>
  <c r="F17" i="32"/>
  <c r="F17" i="30"/>
  <c r="F17" i="44"/>
  <c r="F17" i="31"/>
  <c r="F17" i="45"/>
  <c r="F65" i="31"/>
  <c r="F65" i="45"/>
  <c r="F65" i="32"/>
  <c r="F64" i="30"/>
  <c r="F65" i="44"/>
  <c r="U59" i="23"/>
  <c r="F53" i="1" s="1"/>
  <c r="K55" i="30"/>
  <c r="F44" i="1"/>
  <c r="F46" i="1" s="1"/>
  <c r="F47" i="1" s="1"/>
  <c r="K53" i="30"/>
  <c r="H58" i="52"/>
  <c r="H58" i="51"/>
  <c r="G53" i="52"/>
  <c r="G53" i="51"/>
  <c r="G53" i="50"/>
  <c r="K51" i="30"/>
  <c r="K49" i="30"/>
  <c r="L45" i="30"/>
  <c r="H27" i="3"/>
  <c r="K56" i="30"/>
  <c r="K57" i="30" s="1"/>
  <c r="K61" i="30"/>
  <c r="F53" i="50"/>
  <c r="F53" i="52"/>
  <c r="G44" i="49"/>
  <c r="F44" i="52"/>
  <c r="F44" i="51"/>
  <c r="F44" i="50"/>
  <c r="N33" i="3"/>
  <c r="I58" i="50"/>
  <c r="J58" i="49"/>
  <c r="I58" i="51"/>
  <c r="L33" i="3"/>
  <c r="H58" i="50"/>
  <c r="I58" i="49"/>
  <c r="J31" i="3"/>
  <c r="H53" i="49"/>
  <c r="V22" i="24"/>
  <c r="H29" i="3"/>
  <c r="K59" i="30"/>
  <c r="U61" i="23"/>
  <c r="M92" i="31"/>
  <c r="I27" i="40"/>
  <c r="T27" i="25"/>
  <c r="U63" i="29"/>
  <c r="R64" i="44"/>
  <c r="R65" i="44" s="1"/>
  <c r="U65" i="27"/>
  <c r="U64" i="32"/>
  <c r="U65" i="32" s="1"/>
  <c r="O87" i="30"/>
  <c r="K64" i="44"/>
  <c r="K65" i="44" s="1"/>
  <c r="K64" i="45"/>
  <c r="K65" i="45" s="1"/>
  <c r="K64" i="32"/>
  <c r="K65" i="32" s="1"/>
  <c r="L31" i="25"/>
  <c r="L32" i="25" s="1"/>
  <c r="Q91" i="30" s="1"/>
  <c r="L16" i="25"/>
  <c r="K18" i="25"/>
  <c r="K19" i="25" s="1"/>
  <c r="J58" i="1"/>
  <c r="I58" i="1"/>
  <c r="H58" i="1"/>
  <c r="G21" i="24" l="1"/>
  <c r="U64" i="23"/>
  <c r="K62" i="30"/>
  <c r="F65" i="23"/>
  <c r="J60" i="49"/>
  <c r="J61" i="49" s="1"/>
  <c r="N34" i="3"/>
  <c r="I60" i="50"/>
  <c r="I61" i="50" s="1"/>
  <c r="I61" i="52"/>
  <c r="I60" i="51"/>
  <c r="I51" i="51" s="1"/>
  <c r="I52" i="52"/>
  <c r="G25" i="39"/>
  <c r="K16" i="45"/>
  <c r="G57" i="39"/>
  <c r="V24" i="39"/>
  <c r="K8" i="45"/>
  <c r="V65" i="45"/>
  <c r="I64" i="45"/>
  <c r="I64" i="32"/>
  <c r="I64" i="31"/>
  <c r="I63" i="30"/>
  <c r="I64" i="44"/>
  <c r="S25" i="38"/>
  <c r="S45" i="38"/>
  <c r="S57" i="38"/>
  <c r="L17" i="45"/>
  <c r="J25" i="39"/>
  <c r="N8" i="45"/>
  <c r="J45" i="39"/>
  <c r="N17" i="45" s="1"/>
  <c r="J57" i="39"/>
  <c r="N16" i="45"/>
  <c r="R25" i="39"/>
  <c r="R57" i="39"/>
  <c r="R45" i="39"/>
  <c r="V17" i="45" s="1"/>
  <c r="V16" i="45"/>
  <c r="V8" i="45"/>
  <c r="N25" i="38"/>
  <c r="N45" i="38"/>
  <c r="R17" i="44" s="1"/>
  <c r="R8" i="44"/>
  <c r="R16" i="44"/>
  <c r="N57" i="38"/>
  <c r="V24" i="38"/>
  <c r="U45" i="37"/>
  <c r="U57" i="37"/>
  <c r="M17" i="44"/>
  <c r="I62" i="52"/>
  <c r="I63" i="52" s="1"/>
  <c r="F53" i="51"/>
  <c r="F54" i="51" s="1"/>
  <c r="H31" i="3"/>
  <c r="G53" i="49"/>
  <c r="I54" i="49" s="1"/>
  <c r="H60" i="52"/>
  <c r="H60" i="51"/>
  <c r="F46" i="51"/>
  <c r="F47" i="51" s="1"/>
  <c r="F46" i="52"/>
  <c r="F47" i="52" s="1"/>
  <c r="G46" i="49"/>
  <c r="G47" i="49" s="1"/>
  <c r="H54" i="52"/>
  <c r="G54" i="52"/>
  <c r="F54" i="52"/>
  <c r="H54" i="50"/>
  <c r="F54" i="50"/>
  <c r="G54" i="50"/>
  <c r="F56" i="50"/>
  <c r="F56" i="51"/>
  <c r="G56" i="49"/>
  <c r="F56" i="52"/>
  <c r="F46" i="50"/>
  <c r="F47" i="50" s="1"/>
  <c r="K60" i="49"/>
  <c r="J60" i="50"/>
  <c r="J60" i="52"/>
  <c r="J60" i="51"/>
  <c r="I61" i="51"/>
  <c r="I62" i="51"/>
  <c r="I63" i="51" s="1"/>
  <c r="L34" i="3"/>
  <c r="H60" i="50"/>
  <c r="I60" i="49"/>
  <c r="F54" i="1"/>
  <c r="H54" i="1"/>
  <c r="G54" i="1"/>
  <c r="N92" i="31"/>
  <c r="J27" i="40"/>
  <c r="P34" i="3"/>
  <c r="P87" i="30"/>
  <c r="J60" i="1"/>
  <c r="J51" i="1" s="1"/>
  <c r="I60" i="1"/>
  <c r="I62" i="1" s="1"/>
  <c r="I63" i="1" s="1"/>
  <c r="H60" i="1"/>
  <c r="H52" i="1" s="1"/>
  <c r="M31" i="25"/>
  <c r="M32" i="25" s="1"/>
  <c r="R91" i="30" s="1"/>
  <c r="M16" i="25"/>
  <c r="L18" i="25"/>
  <c r="L19" i="25" s="1"/>
  <c r="M61" i="30"/>
  <c r="G54" i="49" l="1"/>
  <c r="G24" i="24"/>
  <c r="K63" i="30"/>
  <c r="K64" i="30" s="1"/>
  <c r="H54" i="51"/>
  <c r="F59" i="50"/>
  <c r="F59" i="51"/>
  <c r="G59" i="49"/>
  <c r="F59" i="1"/>
  <c r="F59" i="52"/>
  <c r="H32" i="3"/>
  <c r="G53" i="24"/>
  <c r="G23" i="24"/>
  <c r="V23" i="24" s="1"/>
  <c r="V45" i="39"/>
  <c r="V45" i="38"/>
  <c r="I52" i="51"/>
  <c r="J52" i="49"/>
  <c r="J51" i="49"/>
  <c r="I62" i="50"/>
  <c r="I63" i="50" s="1"/>
  <c r="J62" i="49"/>
  <c r="J63" i="49" s="1"/>
  <c r="I51" i="50"/>
  <c r="I52" i="50"/>
  <c r="I65" i="31"/>
  <c r="I65" i="45"/>
  <c r="I65" i="32"/>
  <c r="I64" i="30"/>
  <c r="I65" i="44"/>
  <c r="I16" i="30"/>
  <c r="I16" i="44"/>
  <c r="I16" i="32"/>
  <c r="I16" i="31"/>
  <c r="I16" i="45"/>
  <c r="I17" i="32"/>
  <c r="I17" i="30"/>
  <c r="I17" i="44"/>
  <c r="I17" i="31"/>
  <c r="I17" i="45"/>
  <c r="I8" i="30"/>
  <c r="I8" i="44"/>
  <c r="I8" i="31"/>
  <c r="I8" i="45"/>
  <c r="I8" i="32"/>
  <c r="G54" i="51"/>
  <c r="H54" i="49"/>
  <c r="H61" i="51"/>
  <c r="H62" i="51"/>
  <c r="H63" i="51" s="1"/>
  <c r="H52" i="51"/>
  <c r="H62" i="52"/>
  <c r="H63" i="52" s="1"/>
  <c r="H61" i="52"/>
  <c r="H52" i="52"/>
  <c r="J61" i="51"/>
  <c r="J51" i="51"/>
  <c r="J62" i="51"/>
  <c r="J63" i="51" s="1"/>
  <c r="J52" i="51"/>
  <c r="J61" i="52"/>
  <c r="J62" i="52"/>
  <c r="J63" i="52" s="1"/>
  <c r="J52" i="52"/>
  <c r="J51" i="52"/>
  <c r="J61" i="50"/>
  <c r="J51" i="50"/>
  <c r="J62" i="50"/>
  <c r="J63" i="50" s="1"/>
  <c r="J52" i="50"/>
  <c r="K62" i="49"/>
  <c r="K63" i="49" s="1"/>
  <c r="K51" i="49"/>
  <c r="K61" i="49"/>
  <c r="K52" i="49"/>
  <c r="I61" i="49"/>
  <c r="I52" i="49"/>
  <c r="I62" i="49"/>
  <c r="I63" i="49" s="1"/>
  <c r="H61" i="50"/>
  <c r="H62" i="50"/>
  <c r="H63" i="50" s="1"/>
  <c r="H52" i="50"/>
  <c r="O92" i="31"/>
  <c r="K27" i="40"/>
  <c r="Q87" i="30"/>
  <c r="J61" i="1"/>
  <c r="J62" i="1"/>
  <c r="J63" i="1" s="1"/>
  <c r="J52" i="1"/>
  <c r="I61" i="1"/>
  <c r="I52" i="1"/>
  <c r="I51" i="1"/>
  <c r="M63" i="30"/>
  <c r="M64" i="30" s="1"/>
  <c r="H61" i="1"/>
  <c r="H62" i="1"/>
  <c r="H63" i="1" s="1"/>
  <c r="N31" i="25"/>
  <c r="N32" i="25" s="1"/>
  <c r="S91" i="30" s="1"/>
  <c r="N16" i="25"/>
  <c r="M18" i="25"/>
  <c r="M19" i="25" s="1"/>
  <c r="F24" i="25" l="1"/>
  <c r="G54" i="24"/>
  <c r="G25" i="24"/>
  <c r="V24" i="24"/>
  <c r="G57" i="24"/>
  <c r="K8" i="30"/>
  <c r="L27" i="40"/>
  <c r="P92" i="31"/>
  <c r="R87" i="30"/>
  <c r="F56" i="1"/>
  <c r="O31" i="25"/>
  <c r="O32" i="25" s="1"/>
  <c r="T91" i="30" s="1"/>
  <c r="O16" i="25"/>
  <c r="N18" i="25"/>
  <c r="N19" i="25" s="1"/>
  <c r="N61" i="30"/>
  <c r="G58" i="24" l="1"/>
  <c r="G61" i="24"/>
  <c r="G59" i="24"/>
  <c r="G45" i="24"/>
  <c r="F25" i="25"/>
  <c r="U25" i="25" s="1"/>
  <c r="F32" i="25"/>
  <c r="K91" i="30" s="1"/>
  <c r="M27" i="40"/>
  <c r="Q92" i="31"/>
  <c r="U63" i="23"/>
  <c r="F57" i="1"/>
  <c r="S87" i="30"/>
  <c r="O63" i="30"/>
  <c r="O64" i="30" s="1"/>
  <c r="O61" i="30"/>
  <c r="N63" i="30"/>
  <c r="N64" i="30" s="1"/>
  <c r="L61" i="30"/>
  <c r="P31" i="25"/>
  <c r="P32" i="25" s="1"/>
  <c r="U91" i="30" s="1"/>
  <c r="P16" i="25"/>
  <c r="O18" i="25"/>
  <c r="O19" i="25" s="1"/>
  <c r="F11" i="25" l="1"/>
  <c r="F14" i="25" s="1"/>
  <c r="V45" i="24"/>
  <c r="K17" i="30"/>
  <c r="H33" i="3"/>
  <c r="F58" i="51"/>
  <c r="G58" i="49"/>
  <c r="F58" i="52"/>
  <c r="F58" i="50"/>
  <c r="N27" i="40"/>
  <c r="R92" i="31"/>
  <c r="U65" i="23"/>
  <c r="T87" i="30"/>
  <c r="L63" i="30"/>
  <c r="L64" i="30" s="1"/>
  <c r="Q31" i="25"/>
  <c r="Q32" i="25" s="1"/>
  <c r="V91" i="30" s="1"/>
  <c r="Q16" i="25"/>
  <c r="P18" i="25"/>
  <c r="P19" i="25" s="1"/>
  <c r="F58" i="1"/>
  <c r="G11" i="25" l="1"/>
  <c r="G14" i="25" s="1"/>
  <c r="K86" i="30"/>
  <c r="K93" i="30"/>
  <c r="F20" i="25"/>
  <c r="E93" i="44"/>
  <c r="E91" i="30"/>
  <c r="E93" i="45"/>
  <c r="E93" i="31"/>
  <c r="E93" i="32"/>
  <c r="H34" i="3"/>
  <c r="F60" i="51"/>
  <c r="F60" i="52"/>
  <c r="G60" i="49"/>
  <c r="F60" i="50"/>
  <c r="S92" i="31"/>
  <c r="O27" i="40"/>
  <c r="Q18" i="25"/>
  <c r="Q19" i="25" s="1"/>
  <c r="F16" i="40"/>
  <c r="U87" i="30"/>
  <c r="F60" i="1"/>
  <c r="R31" i="25"/>
  <c r="R32" i="25" s="1"/>
  <c r="K88" i="30" l="1"/>
  <c r="F33" i="25"/>
  <c r="L86" i="30"/>
  <c r="G20" i="25"/>
  <c r="H11" i="25"/>
  <c r="H14" i="25" s="1"/>
  <c r="L93" i="30"/>
  <c r="G51" i="50"/>
  <c r="F51" i="50"/>
  <c r="F62" i="50"/>
  <c r="F63" i="50" s="1"/>
  <c r="H51" i="50"/>
  <c r="F61" i="50"/>
  <c r="F52" i="50"/>
  <c r="I51" i="49"/>
  <c r="G62" i="49"/>
  <c r="G63" i="49" s="1"/>
  <c r="G61" i="49"/>
  <c r="G51" i="49"/>
  <c r="H51" i="49"/>
  <c r="G52" i="49"/>
  <c r="F61" i="52"/>
  <c r="G51" i="52"/>
  <c r="F51" i="52"/>
  <c r="H51" i="52"/>
  <c r="F62" i="52"/>
  <c r="F63" i="52" s="1"/>
  <c r="F52" i="52"/>
  <c r="G51" i="51"/>
  <c r="F51" i="51"/>
  <c r="H51" i="51"/>
  <c r="F62" i="51"/>
  <c r="F63" i="51" s="1"/>
  <c r="F61" i="51"/>
  <c r="F52" i="51"/>
  <c r="T92" i="31"/>
  <c r="P27" i="40"/>
  <c r="R16" i="25"/>
  <c r="G16" i="40"/>
  <c r="F18" i="40"/>
  <c r="F19" i="40" s="1"/>
  <c r="V87" i="30"/>
  <c r="U19" i="25"/>
  <c r="G51" i="1"/>
  <c r="F62" i="1"/>
  <c r="F63" i="1" s="1"/>
  <c r="F51" i="1"/>
  <c r="H51" i="1"/>
  <c r="F61" i="1"/>
  <c r="F52" i="1"/>
  <c r="T31" i="25"/>
  <c r="T32" i="25" s="1"/>
  <c r="S31" i="25"/>
  <c r="S32" i="25" s="1"/>
  <c r="M93" i="30" l="1"/>
  <c r="H20" i="25"/>
  <c r="I11" i="25"/>
  <c r="I14" i="25" s="1"/>
  <c r="M86" i="30"/>
  <c r="L88" i="30"/>
  <c r="G33" i="25"/>
  <c r="K92" i="30"/>
  <c r="K96" i="30" s="1"/>
  <c r="K97" i="30" s="1"/>
  <c r="F35" i="25"/>
  <c r="F36" i="25" s="1"/>
  <c r="U92" i="31"/>
  <c r="Q27" i="40"/>
  <c r="K89" i="31"/>
  <c r="R18" i="25"/>
  <c r="R19" i="25" s="1"/>
  <c r="S16" i="25"/>
  <c r="H16" i="40"/>
  <c r="G18" i="40"/>
  <c r="G19" i="40" s="1"/>
  <c r="F31" i="40"/>
  <c r="G31" i="40"/>
  <c r="G32" i="40" s="1"/>
  <c r="L93" i="31" s="1"/>
  <c r="L92" i="30" l="1"/>
  <c r="L96" i="30" s="1"/>
  <c r="L97" i="30" s="1"/>
  <c r="G35" i="25"/>
  <c r="G36" i="25" s="1"/>
  <c r="J11" i="25"/>
  <c r="J14" i="25" s="1"/>
  <c r="N86" i="30"/>
  <c r="N93" i="30"/>
  <c r="I20" i="25"/>
  <c r="M88" i="30"/>
  <c r="H33" i="25"/>
  <c r="F32" i="40"/>
  <c r="K93" i="31" s="1"/>
  <c r="F31" i="41"/>
  <c r="F32" i="41" s="1"/>
  <c r="V92" i="31"/>
  <c r="U27" i="40"/>
  <c r="L89" i="31"/>
  <c r="T16" i="25"/>
  <c r="T18" i="25" s="1"/>
  <c r="T19" i="25" s="1"/>
  <c r="S18" i="25"/>
  <c r="S19" i="25" s="1"/>
  <c r="I16" i="40"/>
  <c r="H18" i="40"/>
  <c r="H19" i="40" s="1"/>
  <c r="H35" i="25" l="1"/>
  <c r="H36" i="25" s="1"/>
  <c r="M92" i="30"/>
  <c r="M96" i="30" s="1"/>
  <c r="M97" i="30" s="1"/>
  <c r="K11" i="25"/>
  <c r="K14" i="25" s="1"/>
  <c r="O86" i="30"/>
  <c r="J20" i="25"/>
  <c r="O93" i="30"/>
  <c r="N88" i="30"/>
  <c r="I33" i="25"/>
  <c r="G31" i="41"/>
  <c r="G32" i="41" s="1"/>
  <c r="K92" i="32"/>
  <c r="R27" i="40"/>
  <c r="R63" i="26" s="1"/>
  <c r="S20" i="33" s="1"/>
  <c r="M89" i="31"/>
  <c r="J16" i="40"/>
  <c r="I18" i="40"/>
  <c r="I19" i="40" s="1"/>
  <c r="H31" i="40"/>
  <c r="H32" i="40" s="1"/>
  <c r="M93" i="31" s="1"/>
  <c r="I35" i="25" l="1"/>
  <c r="I36" i="25" s="1"/>
  <c r="N92" i="30"/>
  <c r="N96" i="30" s="1"/>
  <c r="N97" i="30" s="1"/>
  <c r="O88" i="30"/>
  <c r="J33" i="25"/>
  <c r="K20" i="25"/>
  <c r="P93" i="30"/>
  <c r="L11" i="25"/>
  <c r="L14" i="25" s="1"/>
  <c r="P86" i="30"/>
  <c r="S52" i="33"/>
  <c r="S54" i="33" s="1"/>
  <c r="S23" i="33"/>
  <c r="H31" i="41"/>
  <c r="H32" i="41" s="1"/>
  <c r="S27" i="40"/>
  <c r="S63" i="26" s="1"/>
  <c r="T20" i="33" s="1"/>
  <c r="L92" i="32"/>
  <c r="N89" i="31"/>
  <c r="K16" i="40"/>
  <c r="J18" i="40"/>
  <c r="J19" i="40" s="1"/>
  <c r="I31" i="40"/>
  <c r="I32" i="40" s="1"/>
  <c r="N93" i="31" s="1"/>
  <c r="Q86" i="30" l="1"/>
  <c r="L20" i="25"/>
  <c r="M11" i="25"/>
  <c r="M14" i="25" s="1"/>
  <c r="Q93" i="30"/>
  <c r="K33" i="25"/>
  <c r="P88" i="30"/>
  <c r="O92" i="30"/>
  <c r="O96" i="30" s="1"/>
  <c r="O97" i="30" s="1"/>
  <c r="J35" i="25"/>
  <c r="J36" i="25" s="1"/>
  <c r="T52" i="33"/>
  <c r="T54" i="33" s="1"/>
  <c r="T23" i="33"/>
  <c r="S61" i="33"/>
  <c r="S59" i="33"/>
  <c r="S58" i="33"/>
  <c r="I31" i="41"/>
  <c r="I32" i="41" s="1"/>
  <c r="T27" i="40"/>
  <c r="M92" i="32"/>
  <c r="O89" i="31"/>
  <c r="L16" i="40"/>
  <c r="K18" i="40"/>
  <c r="K19" i="40" s="1"/>
  <c r="J31" i="40"/>
  <c r="J32" i="40" s="1"/>
  <c r="O93" i="31" s="1"/>
  <c r="P92" i="30" l="1"/>
  <c r="P96" i="30" s="1"/>
  <c r="P97" i="30" s="1"/>
  <c r="K35" i="25"/>
  <c r="K36" i="25" s="1"/>
  <c r="R86" i="30"/>
  <c r="M20" i="25"/>
  <c r="N11" i="25"/>
  <c r="N14" i="25" s="1"/>
  <c r="R93" i="30"/>
  <c r="Q88" i="30"/>
  <c r="L33" i="25"/>
  <c r="T58" i="33"/>
  <c r="T61" i="33"/>
  <c r="T59" i="33"/>
  <c r="J31" i="41"/>
  <c r="J32" i="41" s="1"/>
  <c r="N92" i="32"/>
  <c r="M16" i="40"/>
  <c r="L18" i="40"/>
  <c r="L19" i="40" s="1"/>
  <c r="P89" i="31"/>
  <c r="K31" i="40"/>
  <c r="K32" i="40" s="1"/>
  <c r="P93" i="31" s="1"/>
  <c r="S86" i="30" l="1"/>
  <c r="O11" i="25"/>
  <c r="O14" i="25" s="1"/>
  <c r="S93" i="30"/>
  <c r="N20" i="25"/>
  <c r="L35" i="25"/>
  <c r="L36" i="25" s="1"/>
  <c r="Q92" i="30"/>
  <c r="Q96" i="30" s="1"/>
  <c r="Q97" i="30" s="1"/>
  <c r="R88" i="30"/>
  <c r="M33" i="25"/>
  <c r="K31" i="41"/>
  <c r="K32" i="41" s="1"/>
  <c r="O92" i="32"/>
  <c r="N16" i="40"/>
  <c r="M18" i="40"/>
  <c r="M19" i="40" s="1"/>
  <c r="Q89" i="31"/>
  <c r="L31" i="40"/>
  <c r="L32" i="40" s="1"/>
  <c r="Q93" i="31" s="1"/>
  <c r="N33" i="25" l="1"/>
  <c r="S88" i="30"/>
  <c r="T86" i="30"/>
  <c r="T93" i="30"/>
  <c r="P11" i="25"/>
  <c r="P14" i="25" s="1"/>
  <c r="O20" i="25"/>
  <c r="R92" i="30"/>
  <c r="R96" i="30" s="1"/>
  <c r="R97" i="30" s="1"/>
  <c r="M35" i="25"/>
  <c r="M36" i="25" s="1"/>
  <c r="L31" i="41"/>
  <c r="L32" i="41" s="1"/>
  <c r="P92" i="32"/>
  <c r="O16" i="40"/>
  <c r="N18" i="40"/>
  <c r="N19" i="40" s="1"/>
  <c r="R89" i="31"/>
  <c r="M31" i="40"/>
  <c r="M32" i="40" s="1"/>
  <c r="R93" i="31" s="1"/>
  <c r="U86" i="30" l="1"/>
  <c r="Q11" i="25"/>
  <c r="Q14" i="25" s="1"/>
  <c r="U93" i="30"/>
  <c r="P20" i="25"/>
  <c r="U14" i="25"/>
  <c r="O33" i="25"/>
  <c r="T88" i="30"/>
  <c r="N35" i="25"/>
  <c r="N36" i="25" s="1"/>
  <c r="S92" i="30"/>
  <c r="S96" i="30" s="1"/>
  <c r="S97" i="30" s="1"/>
  <c r="M31" i="41"/>
  <c r="M32" i="41" s="1"/>
  <c r="Q92" i="32"/>
  <c r="P16" i="40"/>
  <c r="O18" i="40"/>
  <c r="O19" i="40" s="1"/>
  <c r="S89" i="31"/>
  <c r="N31" i="40"/>
  <c r="N32" i="40" s="1"/>
  <c r="S93" i="31" s="1"/>
  <c r="T92" i="30" l="1"/>
  <c r="T96" i="30" s="1"/>
  <c r="T97" i="30" s="1"/>
  <c r="O35" i="25"/>
  <c r="O36" i="25" s="1"/>
  <c r="P33" i="25"/>
  <c r="U88" i="30"/>
  <c r="U20" i="25"/>
  <c r="V86" i="30"/>
  <c r="V93" i="30"/>
  <c r="Q20" i="25"/>
  <c r="N31" i="41"/>
  <c r="N32" i="41" s="1"/>
  <c r="R92" i="32"/>
  <c r="Q16" i="40"/>
  <c r="F16" i="41" s="1"/>
  <c r="P18" i="40"/>
  <c r="P19" i="40" s="1"/>
  <c r="T89" i="31"/>
  <c r="O31" i="40"/>
  <c r="O32" i="40" s="1"/>
  <c r="T93" i="31" s="1"/>
  <c r="E95" i="45" l="1"/>
  <c r="E95" i="32"/>
  <c r="E93" i="30"/>
  <c r="E95" i="44"/>
  <c r="E95" i="31"/>
  <c r="E86" i="30"/>
  <c r="E88" i="45"/>
  <c r="E88" i="32"/>
  <c r="E88" i="44"/>
  <c r="E88" i="31"/>
  <c r="U92" i="30"/>
  <c r="U96" i="30" s="1"/>
  <c r="U97" i="30" s="1"/>
  <c r="P35" i="25"/>
  <c r="P36" i="25" s="1"/>
  <c r="V88" i="30"/>
  <c r="Q33" i="25"/>
  <c r="O31" i="41"/>
  <c r="O32" i="41" s="1"/>
  <c r="F18" i="41"/>
  <c r="F19" i="41" s="1"/>
  <c r="G16" i="41"/>
  <c r="S92" i="32"/>
  <c r="R16" i="40"/>
  <c r="Q18" i="40"/>
  <c r="Q19" i="40" s="1"/>
  <c r="U89" i="31"/>
  <c r="P31" i="40"/>
  <c r="P32" i="40" s="1"/>
  <c r="U93" i="31" s="1"/>
  <c r="Q35" i="25" l="1"/>
  <c r="Q36" i="25" s="1"/>
  <c r="V92" i="30"/>
  <c r="U33" i="25"/>
  <c r="E90" i="44"/>
  <c r="E90" i="32"/>
  <c r="E90" i="31"/>
  <c r="E90" i="45"/>
  <c r="E88" i="30"/>
  <c r="P31" i="41"/>
  <c r="P32" i="41" s="1"/>
  <c r="H16" i="41"/>
  <c r="G18" i="41"/>
  <c r="G19" i="41" s="1"/>
  <c r="T92" i="32"/>
  <c r="V89" i="31"/>
  <c r="U19" i="40"/>
  <c r="R18" i="40"/>
  <c r="R19" i="40" s="1"/>
  <c r="S16" i="40"/>
  <c r="K93" i="32"/>
  <c r="Q31" i="40"/>
  <c r="Q32" i="40" s="1"/>
  <c r="V93" i="31" s="1"/>
  <c r="V96" i="30" l="1"/>
  <c r="E94" i="31"/>
  <c r="E92" i="30"/>
  <c r="E94" i="44"/>
  <c r="E94" i="45"/>
  <c r="E94" i="32"/>
  <c r="F93" i="32"/>
  <c r="F93" i="31"/>
  <c r="F93" i="44"/>
  <c r="F93" i="45"/>
  <c r="F91" i="30"/>
  <c r="Q31" i="41"/>
  <c r="Q32" i="41" s="1"/>
  <c r="U27" i="41"/>
  <c r="H18" i="41"/>
  <c r="H19" i="41" s="1"/>
  <c r="I16" i="41"/>
  <c r="U92" i="32"/>
  <c r="S18" i="40"/>
  <c r="S19" i="40" s="1"/>
  <c r="T16" i="40"/>
  <c r="T18" i="40" s="1"/>
  <c r="T19" i="40" s="1"/>
  <c r="L93" i="32"/>
  <c r="R31" i="40"/>
  <c r="R32" i="40" s="1"/>
  <c r="V97" i="30" l="1"/>
  <c r="E98" i="45"/>
  <c r="E98" i="32"/>
  <c r="E98" i="44"/>
  <c r="E96" i="30"/>
  <c r="E98" i="31"/>
  <c r="I18" i="41"/>
  <c r="I19" i="41" s="1"/>
  <c r="J16" i="41"/>
  <c r="V92" i="32"/>
  <c r="R31" i="41"/>
  <c r="R32" i="41" s="1"/>
  <c r="M93" i="32"/>
  <c r="S31" i="40"/>
  <c r="S32" i="40" s="1"/>
  <c r="T31" i="40"/>
  <c r="T32" i="40" s="1"/>
  <c r="K89" i="32"/>
  <c r="E99" i="45" l="1"/>
  <c r="E99" i="32"/>
  <c r="E97" i="30"/>
  <c r="E99" i="31"/>
  <c r="E99" i="44"/>
  <c r="J18" i="41"/>
  <c r="J19" i="41" s="1"/>
  <c r="K16" i="41"/>
  <c r="K92" i="44"/>
  <c r="N93" i="32"/>
  <c r="S31" i="41" l="1"/>
  <c r="S32" i="41" s="1"/>
  <c r="K18" i="41"/>
  <c r="K19" i="41" s="1"/>
  <c r="L16" i="41"/>
  <c r="L92" i="44"/>
  <c r="L89" i="32"/>
  <c r="M89" i="32"/>
  <c r="O93" i="32"/>
  <c r="L18" i="41" l="1"/>
  <c r="L19" i="41" s="1"/>
  <c r="M16" i="41"/>
  <c r="T31" i="41"/>
  <c r="T32" i="41" s="1"/>
  <c r="M92" i="44"/>
  <c r="N89" i="32"/>
  <c r="P93" i="32"/>
  <c r="N16" i="41" l="1"/>
  <c r="M18" i="41"/>
  <c r="M19" i="41" s="1"/>
  <c r="N92" i="44"/>
  <c r="O89" i="32"/>
  <c r="Q93" i="32"/>
  <c r="O16" i="41" l="1"/>
  <c r="N18" i="41"/>
  <c r="N19" i="41" s="1"/>
  <c r="O92" i="44"/>
  <c r="P89" i="32"/>
  <c r="R93" i="32"/>
  <c r="O18" i="41" l="1"/>
  <c r="O19" i="41" s="1"/>
  <c r="P16" i="41"/>
  <c r="P92" i="44"/>
  <c r="Q89" i="32"/>
  <c r="S93" i="32"/>
  <c r="P18" i="41" l="1"/>
  <c r="P19" i="41" s="1"/>
  <c r="Q16" i="41"/>
  <c r="Q18" i="41" s="1"/>
  <c r="Q19" i="41" s="1"/>
  <c r="U19" i="41" s="1"/>
  <c r="Q92" i="44"/>
  <c r="R89" i="32"/>
  <c r="T93" i="32"/>
  <c r="R92" i="44" l="1"/>
  <c r="S89" i="32"/>
  <c r="U93" i="32"/>
  <c r="S92" i="44" l="1"/>
  <c r="T89" i="32"/>
  <c r="V93" i="32"/>
  <c r="G93" i="32" l="1"/>
  <c r="G93" i="44"/>
  <c r="G93" i="45"/>
  <c r="G91" i="30"/>
  <c r="G93" i="31"/>
  <c r="T92" i="44"/>
  <c r="U89" i="32"/>
  <c r="V89" i="32"/>
  <c r="F16" i="42"/>
  <c r="R16" i="41" s="1"/>
  <c r="F31" i="42"/>
  <c r="F32" i="42" s="1"/>
  <c r="K93" i="44" s="1"/>
  <c r="S16" i="41" l="1"/>
  <c r="R18" i="41"/>
  <c r="R19" i="41" s="1"/>
  <c r="U92" i="44"/>
  <c r="U27" i="42"/>
  <c r="F18" i="42"/>
  <c r="F19" i="42" s="1"/>
  <c r="K89" i="44" s="1"/>
  <c r="G16" i="42"/>
  <c r="G31" i="42"/>
  <c r="G32" i="42" s="1"/>
  <c r="L93" i="44" s="1"/>
  <c r="T16" i="41" l="1"/>
  <c r="T18" i="41" s="1"/>
  <c r="T19" i="41" s="1"/>
  <c r="S18" i="41"/>
  <c r="S19" i="41" s="1"/>
  <c r="V92" i="44"/>
  <c r="H16" i="42"/>
  <c r="G18" i="42"/>
  <c r="G19" i="42" s="1"/>
  <c r="H31" i="42"/>
  <c r="H32" i="42" s="1"/>
  <c r="M93" i="44" s="1"/>
  <c r="K92" i="45" l="1"/>
  <c r="F31" i="43"/>
  <c r="K93" i="45" s="1"/>
  <c r="L89" i="44"/>
  <c r="H18" i="42"/>
  <c r="H19" i="42" s="1"/>
  <c r="I16" i="42"/>
  <c r="I31" i="42"/>
  <c r="I32" i="42" s="1"/>
  <c r="N93" i="44" s="1"/>
  <c r="G31" i="43" l="1"/>
  <c r="G32" i="43" s="1"/>
  <c r="L93" i="45" s="1"/>
  <c r="L92" i="45"/>
  <c r="M89" i="44"/>
  <c r="J16" i="42"/>
  <c r="I18" i="42"/>
  <c r="I19" i="42" s="1"/>
  <c r="J31" i="42"/>
  <c r="J32" i="42" s="1"/>
  <c r="O93" i="44" s="1"/>
  <c r="M92" i="45" l="1"/>
  <c r="H31" i="43"/>
  <c r="H32" i="43" s="1"/>
  <c r="M93" i="45" s="1"/>
  <c r="N89" i="44"/>
  <c r="K16" i="42"/>
  <c r="J18" i="42"/>
  <c r="J19" i="42" s="1"/>
  <c r="O89" i="44" s="1"/>
  <c r="K31" i="42"/>
  <c r="K32" i="42" s="1"/>
  <c r="P93" i="44" s="1"/>
  <c r="I31" i="43" l="1"/>
  <c r="I32" i="43" s="1"/>
  <c r="N93" i="45" s="1"/>
  <c r="N92" i="45"/>
  <c r="K18" i="42"/>
  <c r="K19" i="42" s="1"/>
  <c r="L16" i="42"/>
  <c r="L31" i="42"/>
  <c r="L32" i="42" s="1"/>
  <c r="Q93" i="44" s="1"/>
  <c r="J31" i="43" l="1"/>
  <c r="J32" i="43" s="1"/>
  <c r="O93" i="45" s="1"/>
  <c r="O92" i="45"/>
  <c r="P89" i="44"/>
  <c r="M16" i="42"/>
  <c r="L18" i="42"/>
  <c r="L19" i="42" s="1"/>
  <c r="M31" i="42"/>
  <c r="M32" i="42" s="1"/>
  <c r="R93" i="44" s="1"/>
  <c r="K31" i="43" l="1"/>
  <c r="K32" i="43" s="1"/>
  <c r="P93" i="45" s="1"/>
  <c r="P92" i="45"/>
  <c r="Q89" i="44"/>
  <c r="N16" i="42"/>
  <c r="M18" i="42"/>
  <c r="M19" i="42" s="1"/>
  <c r="N31" i="43"/>
  <c r="N31" i="42"/>
  <c r="N32" i="42" s="1"/>
  <c r="S93" i="44" s="1"/>
  <c r="L31" i="43" l="1"/>
  <c r="L32" i="43" s="1"/>
  <c r="Q93" i="45" s="1"/>
  <c r="Q92" i="45"/>
  <c r="R89" i="44"/>
  <c r="O16" i="42"/>
  <c r="N18" i="42"/>
  <c r="N19" i="42" s="1"/>
  <c r="O31" i="42"/>
  <c r="O31" i="43"/>
  <c r="M31" i="43" l="1"/>
  <c r="M32" i="43" s="1"/>
  <c r="R93" i="45" s="1"/>
  <c r="R92" i="45"/>
  <c r="O32" i="42"/>
  <c r="T93" i="44" s="1"/>
  <c r="S89" i="44"/>
  <c r="O18" i="42"/>
  <c r="O19" i="42" s="1"/>
  <c r="P16" i="42"/>
  <c r="Q31" i="43"/>
  <c r="P31" i="43"/>
  <c r="P31" i="42"/>
  <c r="P32" i="42" l="1"/>
  <c r="U93" i="44" s="1"/>
  <c r="T89" i="44"/>
  <c r="P18" i="42"/>
  <c r="P19" i="42" s="1"/>
  <c r="Q16" i="42"/>
  <c r="Q31" i="42"/>
  <c r="Q32" i="42" l="1"/>
  <c r="V93" i="44" s="1"/>
  <c r="U89" i="44"/>
  <c r="Q18" i="42"/>
  <c r="Q19" i="42" s="1"/>
  <c r="V89" i="44" s="1"/>
  <c r="F16" i="43"/>
  <c r="R31" i="42"/>
  <c r="R32" i="42" s="1"/>
  <c r="H93" i="32" l="1"/>
  <c r="H93" i="44"/>
  <c r="H93" i="45"/>
  <c r="H91" i="30"/>
  <c r="H93" i="31"/>
  <c r="R16" i="42"/>
  <c r="G16" i="43"/>
  <c r="F18" i="43"/>
  <c r="F19" i="43" s="1"/>
  <c r="K89" i="45" s="1"/>
  <c r="U19" i="42"/>
  <c r="T31" i="42"/>
  <c r="T32" i="42" s="1"/>
  <c r="S31" i="42"/>
  <c r="S32" i="42" s="1"/>
  <c r="H16" i="43" l="1"/>
  <c r="G18" i="43"/>
  <c r="G19" i="43" s="1"/>
  <c r="R18" i="42"/>
  <c r="R19" i="42" s="1"/>
  <c r="S16" i="42"/>
  <c r="L89" i="45" l="1"/>
  <c r="S18" i="42"/>
  <c r="S19" i="42" s="1"/>
  <c r="T16" i="42"/>
  <c r="T18" i="42" s="1"/>
  <c r="T19" i="42" s="1"/>
  <c r="H18" i="43"/>
  <c r="H19" i="43" s="1"/>
  <c r="I16" i="43"/>
  <c r="M89" i="45" l="1"/>
  <c r="J16" i="43"/>
  <c r="I18" i="43"/>
  <c r="I19" i="43" s="1"/>
  <c r="N89" i="45" s="1"/>
  <c r="K16" i="43" l="1"/>
  <c r="J18" i="43"/>
  <c r="J19" i="43" s="1"/>
  <c r="O89" i="45" l="1"/>
  <c r="L16" i="43"/>
  <c r="K18" i="43"/>
  <c r="K19" i="43" s="1"/>
  <c r="P89" i="45" l="1"/>
  <c r="L18" i="43"/>
  <c r="L19" i="43" s="1"/>
  <c r="Q89" i="45" s="1"/>
  <c r="M16" i="43"/>
  <c r="N16" i="43" l="1"/>
  <c r="M18" i="43"/>
  <c r="M19" i="43" s="1"/>
  <c r="R89" i="45" l="1"/>
  <c r="N18" i="43"/>
  <c r="N19" i="43" s="1"/>
  <c r="O16" i="43"/>
  <c r="S89" i="45" l="1"/>
  <c r="P16" i="43"/>
  <c r="O18" i="43"/>
  <c r="O19" i="43" s="1"/>
  <c r="T89" i="45" l="1"/>
  <c r="P18" i="43"/>
  <c r="P19" i="43" s="1"/>
  <c r="Q16" i="43"/>
  <c r="Q18" i="43" s="1"/>
  <c r="Q19" i="43" s="1"/>
  <c r="V89" i="45" s="1"/>
  <c r="U89" i="45" l="1"/>
  <c r="U19" i="43"/>
  <c r="U66" i="26" l="1"/>
  <c r="G60" i="51" l="1"/>
  <c r="G60" i="50"/>
  <c r="G60" i="52"/>
  <c r="J34" i="3"/>
  <c r="H60" i="49"/>
  <c r="L64" i="31"/>
  <c r="L65" i="31" s="1"/>
  <c r="G58" i="1"/>
  <c r="G60" i="1"/>
  <c r="L62" i="31"/>
  <c r="G61" i="52" l="1"/>
  <c r="G62" i="52"/>
  <c r="G63" i="52" s="1"/>
  <c r="G52" i="52"/>
  <c r="G62" i="50"/>
  <c r="G63" i="50" s="1"/>
  <c r="G52" i="50"/>
  <c r="G61" i="50"/>
  <c r="G61" i="51"/>
  <c r="G62" i="51"/>
  <c r="G63" i="51" s="1"/>
  <c r="G52" i="51"/>
  <c r="H62" i="49"/>
  <c r="H63" i="49" s="1"/>
  <c r="H52" i="49"/>
  <c r="H61" i="49"/>
  <c r="G62" i="1"/>
  <c r="G63" i="1" s="1"/>
  <c r="G52" i="1"/>
  <c r="G61" i="1"/>
  <c r="O57" i="31" l="1"/>
  <c r="O58" i="31" s="1"/>
  <c r="N57" i="31"/>
  <c r="N58" i="31" s="1"/>
  <c r="V57" i="31"/>
  <c r="T57" i="31"/>
  <c r="T58" i="31" s="1"/>
  <c r="R60" i="31"/>
  <c r="L57" i="31"/>
  <c r="L58" i="31" s="1"/>
  <c r="S60" i="31"/>
  <c r="S57" i="31"/>
  <c r="S58" i="31" s="1"/>
  <c r="U57" i="31"/>
  <c r="U58" i="31" s="1"/>
  <c r="M57" i="31"/>
  <c r="M58" i="31" s="1"/>
  <c r="R57" i="31"/>
  <c r="R58" i="31" s="1"/>
  <c r="Q60" i="31"/>
  <c r="Q57" i="31"/>
  <c r="Q58" i="31" s="1"/>
  <c r="O60" i="31"/>
  <c r="P60" i="31"/>
  <c r="P57" i="31"/>
  <c r="P58" i="31" s="1"/>
  <c r="V60" i="31"/>
  <c r="N60" i="31"/>
  <c r="U60" i="31"/>
  <c r="M60" i="31"/>
  <c r="T60" i="31"/>
  <c r="L60" i="31"/>
  <c r="V58" i="31" l="1"/>
  <c r="F57" i="44"/>
  <c r="F57" i="45"/>
  <c r="F57" i="32"/>
  <c r="F56" i="30"/>
  <c r="F57" i="31"/>
  <c r="F60" i="44"/>
  <c r="F60" i="31"/>
  <c r="F60" i="45"/>
  <c r="F60" i="32"/>
  <c r="F59" i="30"/>
  <c r="G53" i="1"/>
  <c r="F58" i="44" l="1"/>
  <c r="F58" i="31"/>
  <c r="F58" i="45"/>
  <c r="F58" i="32"/>
  <c r="F57" i="30"/>
  <c r="G56" i="1"/>
  <c r="H49" i="33"/>
  <c r="H51" i="33" s="1"/>
  <c r="H54" i="33" s="1"/>
  <c r="V11" i="33"/>
  <c r="H22" i="33"/>
  <c r="G22" i="33"/>
  <c r="G49" i="33"/>
  <c r="G51" i="33" s="1"/>
  <c r="G54" i="33" s="1"/>
  <c r="G59" i="33" s="1"/>
  <c r="S13" i="24"/>
  <c r="T12" i="24"/>
  <c r="U15" i="24"/>
  <c r="T11" i="24"/>
  <c r="T22" i="24" s="1"/>
  <c r="L16" i="31" s="1"/>
  <c r="L5" i="31"/>
  <c r="S15" i="24"/>
  <c r="U14" i="24"/>
  <c r="U16" i="24"/>
  <c r="S12" i="24"/>
  <c r="S14" i="24"/>
  <c r="S11" i="24"/>
  <c r="S22" i="24" s="1"/>
  <c r="K5" i="31"/>
  <c r="U13" i="24"/>
  <c r="I22" i="33"/>
  <c r="T16" i="24"/>
  <c r="U12" i="24"/>
  <c r="T15" i="24"/>
  <c r="T14" i="24"/>
  <c r="S16" i="24"/>
  <c r="T13" i="24"/>
  <c r="M5" i="31"/>
  <c r="U11" i="24"/>
  <c r="U22" i="24" s="1"/>
  <c r="I49" i="33"/>
  <c r="I51" i="33" s="1"/>
  <c r="I54" i="33" s="1"/>
  <c r="V22" i="33" l="1"/>
  <c r="U49" i="24"/>
  <c r="U51" i="24" s="1"/>
  <c r="U54" i="24" s="1"/>
  <c r="U58" i="24" s="1"/>
  <c r="T45" i="24"/>
  <c r="H57" i="33"/>
  <c r="U57" i="24"/>
  <c r="T57" i="24"/>
  <c r="I59" i="33"/>
  <c r="I61" i="33"/>
  <c r="I58" i="33"/>
  <c r="U45" i="24"/>
  <c r="T49" i="24"/>
  <c r="T51" i="24" s="1"/>
  <c r="T54" i="24" s="1"/>
  <c r="K8" i="31"/>
  <c r="G57" i="33"/>
  <c r="G45" i="33"/>
  <c r="V24" i="33"/>
  <c r="K16" i="31"/>
  <c r="S45" i="24"/>
  <c r="S57" i="24"/>
  <c r="I57" i="33"/>
  <c r="M8" i="31"/>
  <c r="I45" i="33"/>
  <c r="M17" i="31" s="1"/>
  <c r="M16" i="31"/>
  <c r="G61" i="33"/>
  <c r="F11" i="40"/>
  <c r="G58" i="33"/>
  <c r="H58" i="33"/>
  <c r="H61" i="33"/>
  <c r="H59" i="33"/>
  <c r="L8" i="31"/>
  <c r="H45" i="33"/>
  <c r="L17" i="31" s="1"/>
  <c r="S49" i="24"/>
  <c r="S51" i="24" s="1"/>
  <c r="S54" i="24" s="1"/>
  <c r="U59" i="24" l="1"/>
  <c r="U61" i="24"/>
  <c r="K17" i="31"/>
  <c r="V45" i="33"/>
  <c r="F14" i="40"/>
  <c r="R11" i="25"/>
  <c r="R14" i="25" s="1"/>
  <c r="R20" i="25" s="1"/>
  <c r="R33" i="25" s="1"/>
  <c r="R35" i="25" s="1"/>
  <c r="R36" i="25" s="1"/>
  <c r="S59" i="24"/>
  <c r="S58" i="24"/>
  <c r="S61" i="24"/>
  <c r="T59" i="24"/>
  <c r="T61" i="24"/>
  <c r="T58" i="24"/>
  <c r="F20" i="40" l="1"/>
  <c r="K95" i="31"/>
  <c r="G11" i="40"/>
  <c r="K88" i="31"/>
  <c r="S11" i="25" l="1"/>
  <c r="S14" i="25" s="1"/>
  <c r="S20" i="25" s="1"/>
  <c r="S33" i="25" s="1"/>
  <c r="S35" i="25" s="1"/>
  <c r="S36" i="25" s="1"/>
  <c r="G14" i="40"/>
  <c r="K90" i="31"/>
  <c r="F33" i="40"/>
  <c r="F35" i="40" l="1"/>
  <c r="F36" i="40" s="1"/>
  <c r="K94" i="31"/>
  <c r="K98" i="31" s="1"/>
  <c r="K99" i="31" s="1"/>
  <c r="L88" i="31"/>
  <c r="G20" i="40"/>
  <c r="L95" i="31"/>
  <c r="H11" i="40"/>
  <c r="H14" i="40" l="1"/>
  <c r="T11" i="25"/>
  <c r="T14" i="25" s="1"/>
  <c r="T20" i="25" s="1"/>
  <c r="T33" i="25" s="1"/>
  <c r="T35" i="25" s="1"/>
  <c r="T36" i="25" s="1"/>
  <c r="G33" i="40"/>
  <c r="L90" i="31"/>
  <c r="G35" i="40" l="1"/>
  <c r="G36" i="40" s="1"/>
  <c r="L94" i="31"/>
  <c r="L98" i="31" s="1"/>
  <c r="L99" i="31" s="1"/>
  <c r="I11" i="40"/>
  <c r="I14" i="40" s="1"/>
  <c r="M95" i="31"/>
  <c r="M88" i="31"/>
  <c r="H20" i="40"/>
  <c r="N88" i="31" l="1"/>
  <c r="J11" i="40"/>
  <c r="J14" i="40" s="1"/>
  <c r="N95" i="31"/>
  <c r="I20" i="40"/>
  <c r="H33" i="40"/>
  <c r="M90" i="31"/>
  <c r="M94" i="31" l="1"/>
  <c r="M98" i="31" s="1"/>
  <c r="M99" i="31" s="1"/>
  <c r="H35" i="40"/>
  <c r="H36" i="40" s="1"/>
  <c r="I33" i="40"/>
  <c r="N90" i="31"/>
  <c r="J20" i="40"/>
  <c r="O95" i="31"/>
  <c r="O88" i="31"/>
  <c r="K11" i="40"/>
  <c r="K14" i="40" s="1"/>
  <c r="O90" i="31" l="1"/>
  <c r="J33" i="40"/>
  <c r="I35" i="40"/>
  <c r="I36" i="40" s="1"/>
  <c r="N94" i="31"/>
  <c r="N98" i="31" s="1"/>
  <c r="N99" i="31" s="1"/>
  <c r="L11" i="40"/>
  <c r="L14" i="40" s="1"/>
  <c r="K20" i="40"/>
  <c r="P95" i="31"/>
  <c r="P88" i="31"/>
  <c r="P90" i="31" l="1"/>
  <c r="K33" i="40"/>
  <c r="L20" i="40"/>
  <c r="Q88" i="31"/>
  <c r="M11" i="40"/>
  <c r="M14" i="40" s="1"/>
  <c r="Q95" i="31"/>
  <c r="J35" i="40"/>
  <c r="J36" i="40" s="1"/>
  <c r="O94" i="31"/>
  <c r="O98" i="31" s="1"/>
  <c r="O99" i="31" s="1"/>
  <c r="N11" i="40" l="1"/>
  <c r="N14" i="40" s="1"/>
  <c r="M20" i="40"/>
  <c r="R88" i="31"/>
  <c r="R95" i="31"/>
  <c r="L33" i="40"/>
  <c r="Q90" i="31"/>
  <c r="K35" i="40"/>
  <c r="K36" i="40" s="1"/>
  <c r="P94" i="31"/>
  <c r="P98" i="31" s="1"/>
  <c r="P99" i="31" s="1"/>
  <c r="L35" i="40" l="1"/>
  <c r="L36" i="40" s="1"/>
  <c r="Q94" i="31"/>
  <c r="Q98" i="31" s="1"/>
  <c r="Q99" i="31" s="1"/>
  <c r="R90" i="31"/>
  <c r="M33" i="40"/>
  <c r="O11" i="40"/>
  <c r="O14" i="40" s="1"/>
  <c r="S95" i="31"/>
  <c r="S88" i="31"/>
  <c r="N20" i="40"/>
  <c r="T95" i="31" l="1"/>
  <c r="O20" i="40"/>
  <c r="P11" i="40"/>
  <c r="P14" i="40" s="1"/>
  <c r="T88" i="31"/>
  <c r="N33" i="40"/>
  <c r="S90" i="31"/>
  <c r="R94" i="31"/>
  <c r="R98" i="31" s="1"/>
  <c r="R99" i="31" s="1"/>
  <c r="M35" i="40"/>
  <c r="M36" i="40" s="1"/>
  <c r="S94" i="31" l="1"/>
  <c r="S98" i="31" s="1"/>
  <c r="S99" i="31" s="1"/>
  <c r="N35" i="40"/>
  <c r="N36" i="40" s="1"/>
  <c r="U88" i="31"/>
  <c r="Q11" i="40"/>
  <c r="Q14" i="40" s="1"/>
  <c r="U95" i="31"/>
  <c r="P20" i="40"/>
  <c r="T90" i="31"/>
  <c r="O33" i="40"/>
  <c r="T94" i="31" l="1"/>
  <c r="T98" i="31" s="1"/>
  <c r="T99" i="31" s="1"/>
  <c r="O35" i="40"/>
  <c r="O36" i="40" s="1"/>
  <c r="U90" i="31"/>
  <c r="P33" i="40"/>
  <c r="V95" i="31"/>
  <c r="Q20" i="40"/>
  <c r="V88" i="31"/>
  <c r="F11" i="41"/>
  <c r="U14" i="40"/>
  <c r="F95" i="44" l="1"/>
  <c r="F95" i="45"/>
  <c r="F95" i="32"/>
  <c r="F93" i="30"/>
  <c r="F95" i="31"/>
  <c r="F88" i="44"/>
  <c r="F88" i="45"/>
  <c r="F88" i="32"/>
  <c r="F86" i="30"/>
  <c r="F88" i="31"/>
  <c r="F14" i="41"/>
  <c r="R11" i="40"/>
  <c r="R14" i="40" s="1"/>
  <c r="R20" i="40" s="1"/>
  <c r="R33" i="40" s="1"/>
  <c r="R35" i="40" s="1"/>
  <c r="R36" i="40" s="1"/>
  <c r="Q33" i="40"/>
  <c r="V90" i="31"/>
  <c r="U20" i="40"/>
  <c r="P35" i="40"/>
  <c r="P36" i="40" s="1"/>
  <c r="U94" i="31"/>
  <c r="U98" i="31" s="1"/>
  <c r="U99" i="31" s="1"/>
  <c r="F90" i="45" l="1"/>
  <c r="F90" i="32"/>
  <c r="F88" i="30"/>
  <c r="F90" i="44"/>
  <c r="F90" i="31"/>
  <c r="Q35" i="40"/>
  <c r="Q36" i="40" s="1"/>
  <c r="V94" i="31"/>
  <c r="U33" i="40"/>
  <c r="K95" i="32"/>
  <c r="K88" i="32"/>
  <c r="G11" i="41"/>
  <c r="F20" i="41"/>
  <c r="V98" i="31" l="1"/>
  <c r="F94" i="44"/>
  <c r="F94" i="31"/>
  <c r="F94" i="45"/>
  <c r="F94" i="32"/>
  <c r="F92" i="30"/>
  <c r="F33" i="41"/>
  <c r="K90" i="32"/>
  <c r="G14" i="41"/>
  <c r="S11" i="40"/>
  <c r="S14" i="40" s="1"/>
  <c r="S20" i="40" s="1"/>
  <c r="S33" i="40" s="1"/>
  <c r="S35" i="40" s="1"/>
  <c r="S36" i="40" s="1"/>
  <c r="V99" i="31" l="1"/>
  <c r="F98" i="45"/>
  <c r="F98" i="32"/>
  <c r="F96" i="30"/>
  <c r="F98" i="44"/>
  <c r="F98" i="31"/>
  <c r="G20" i="41"/>
  <c r="L88" i="32"/>
  <c r="H11" i="41"/>
  <c r="L95" i="32"/>
  <c r="K94" i="32"/>
  <c r="K98" i="32" s="1"/>
  <c r="K99" i="32" s="1"/>
  <c r="F35" i="41"/>
  <c r="F36" i="41" s="1"/>
  <c r="F97" i="30" l="1"/>
  <c r="F99" i="44"/>
  <c r="F99" i="31"/>
  <c r="F99" i="45"/>
  <c r="F99" i="32"/>
  <c r="H14" i="41"/>
  <c r="T11" i="40"/>
  <c r="T14" i="40" s="1"/>
  <c r="T20" i="40" s="1"/>
  <c r="T33" i="40" s="1"/>
  <c r="T35" i="40" s="1"/>
  <c r="T36" i="40" s="1"/>
  <c r="L90" i="32"/>
  <c r="G33" i="41"/>
  <c r="G35" i="41" l="1"/>
  <c r="G36" i="41" s="1"/>
  <c r="L94" i="32"/>
  <c r="L98" i="32" s="1"/>
  <c r="L99" i="32" s="1"/>
  <c r="M95" i="32"/>
  <c r="M88" i="32"/>
  <c r="I11" i="41"/>
  <c r="I14" i="41" s="1"/>
  <c r="H20" i="41"/>
  <c r="H33" i="41" l="1"/>
  <c r="M90" i="32"/>
  <c r="N95" i="32"/>
  <c r="J11" i="41"/>
  <c r="J14" i="41" s="1"/>
  <c r="I20" i="41"/>
  <c r="N88" i="32"/>
  <c r="I33" i="41" l="1"/>
  <c r="N90" i="32"/>
  <c r="O95" i="32"/>
  <c r="K11" i="41"/>
  <c r="K14" i="41" s="1"/>
  <c r="O88" i="32"/>
  <c r="J20" i="41"/>
  <c r="M94" i="32"/>
  <c r="M98" i="32" s="1"/>
  <c r="M99" i="32" s="1"/>
  <c r="H35" i="41"/>
  <c r="H36" i="41" s="1"/>
  <c r="J33" i="41" l="1"/>
  <c r="O90" i="32"/>
  <c r="P95" i="32"/>
  <c r="L11" i="41"/>
  <c r="L14" i="41" s="1"/>
  <c r="P88" i="32"/>
  <c r="K20" i="41"/>
  <c r="I35" i="41"/>
  <c r="I36" i="41" s="1"/>
  <c r="N94" i="32"/>
  <c r="N98" i="32" s="1"/>
  <c r="N99" i="32" s="1"/>
  <c r="J35" i="41" l="1"/>
  <c r="J36" i="41" s="1"/>
  <c r="O94" i="32"/>
  <c r="O98" i="32" s="1"/>
  <c r="O99" i="32" s="1"/>
  <c r="K33" i="41"/>
  <c r="P90" i="32"/>
  <c r="Q95" i="32"/>
  <c r="L20" i="41"/>
  <c r="Q88" i="32"/>
  <c r="M11" i="41"/>
  <c r="M14" i="41" s="1"/>
  <c r="Q90" i="32" l="1"/>
  <c r="L33" i="41"/>
  <c r="K35" i="41"/>
  <c r="K36" i="41" s="1"/>
  <c r="P94" i="32"/>
  <c r="P98" i="32" s="1"/>
  <c r="P99" i="32" s="1"/>
  <c r="N11" i="41"/>
  <c r="N14" i="41" s="1"/>
  <c r="M20" i="41"/>
  <c r="R95" i="32"/>
  <c r="R88" i="32"/>
  <c r="Q94" i="32" l="1"/>
  <c r="Q98" i="32" s="1"/>
  <c r="Q99" i="32" s="1"/>
  <c r="L35" i="41"/>
  <c r="L36" i="41" s="1"/>
  <c r="M33" i="41"/>
  <c r="R90" i="32"/>
  <c r="S88" i="32"/>
  <c r="N20" i="41"/>
  <c r="S95" i="32"/>
  <c r="O11" i="41"/>
  <c r="O14" i="41" s="1"/>
  <c r="O20" i="41" l="1"/>
  <c r="T88" i="32"/>
  <c r="T95" i="32"/>
  <c r="P11" i="41"/>
  <c r="P14" i="41" s="1"/>
  <c r="M35" i="41"/>
  <c r="M36" i="41" s="1"/>
  <c r="R94" i="32"/>
  <c r="R98" i="32" s="1"/>
  <c r="R99" i="32" s="1"/>
  <c r="N33" i="41"/>
  <c r="S90" i="32"/>
  <c r="N35" i="41" l="1"/>
  <c r="N36" i="41" s="1"/>
  <c r="S94" i="32"/>
  <c r="S98" i="32" s="1"/>
  <c r="S99" i="32" s="1"/>
  <c r="U95" i="32"/>
  <c r="Q11" i="41"/>
  <c r="Q14" i="41" s="1"/>
  <c r="P20" i="41"/>
  <c r="U88" i="32"/>
  <c r="O33" i="41"/>
  <c r="T90" i="32"/>
  <c r="P33" i="41" l="1"/>
  <c r="U90" i="32"/>
  <c r="O35" i="41"/>
  <c r="O36" i="41" s="1"/>
  <c r="T94" i="32"/>
  <c r="T98" i="32" s="1"/>
  <c r="T99" i="32" s="1"/>
  <c r="F11" i="42"/>
  <c r="V88" i="32"/>
  <c r="Q20" i="41"/>
  <c r="V95" i="32"/>
  <c r="U14" i="41"/>
  <c r="G88" i="32" l="1"/>
  <c r="G88" i="44"/>
  <c r="G88" i="31"/>
  <c r="G88" i="45"/>
  <c r="G86" i="30"/>
  <c r="G95" i="45"/>
  <c r="G93" i="30"/>
  <c r="G95" i="44"/>
  <c r="G95" i="31"/>
  <c r="G95" i="32"/>
  <c r="F14" i="42"/>
  <c r="R11" i="41"/>
  <c r="R14" i="41" s="1"/>
  <c r="R20" i="41" s="1"/>
  <c r="R33" i="41" s="1"/>
  <c r="R35" i="41" s="1"/>
  <c r="R36" i="41" s="1"/>
  <c r="Q33" i="41"/>
  <c r="V90" i="32"/>
  <c r="U20" i="41"/>
  <c r="P35" i="41"/>
  <c r="P36" i="41" s="1"/>
  <c r="U94" i="32"/>
  <c r="U98" i="32" s="1"/>
  <c r="U99" i="32" s="1"/>
  <c r="G90" i="44" l="1"/>
  <c r="G90" i="31"/>
  <c r="G90" i="45"/>
  <c r="G90" i="32"/>
  <c r="G88" i="30"/>
  <c r="V94" i="32"/>
  <c r="Q35" i="41"/>
  <c r="Q36" i="41" s="1"/>
  <c r="U33" i="41"/>
  <c r="K88" i="44"/>
  <c r="F20" i="42"/>
  <c r="K95" i="44"/>
  <c r="G11" i="42"/>
  <c r="V98" i="32" l="1"/>
  <c r="G94" i="45"/>
  <c r="G94" i="32"/>
  <c r="G92" i="30"/>
  <c r="G94" i="44"/>
  <c r="G94" i="31"/>
  <c r="K90" i="44"/>
  <c r="F33" i="42"/>
  <c r="G14" i="42"/>
  <c r="S11" i="41"/>
  <c r="S14" i="41" s="1"/>
  <c r="S20" i="41" s="1"/>
  <c r="S33" i="41" s="1"/>
  <c r="S35" i="41" s="1"/>
  <c r="S36" i="41" s="1"/>
  <c r="V99" i="32" l="1"/>
  <c r="G98" i="44"/>
  <c r="G98" i="31"/>
  <c r="G98" i="45"/>
  <c r="G98" i="32"/>
  <c r="G96" i="30"/>
  <c r="H11" i="42"/>
  <c r="L95" i="44"/>
  <c r="L88" i="44"/>
  <c r="G20" i="42"/>
  <c r="F35" i="42"/>
  <c r="F36" i="42" s="1"/>
  <c r="K94" i="44"/>
  <c r="K98" i="44" s="1"/>
  <c r="K99" i="44" s="1"/>
  <c r="G99" i="44" l="1"/>
  <c r="G99" i="45"/>
  <c r="G99" i="32"/>
  <c r="G97" i="30"/>
  <c r="G99" i="31"/>
  <c r="G33" i="42"/>
  <c r="L90" i="44"/>
  <c r="T11" i="41"/>
  <c r="T14" i="41" s="1"/>
  <c r="T20" i="41" s="1"/>
  <c r="T33" i="41" s="1"/>
  <c r="T35" i="41" s="1"/>
  <c r="T36" i="41" s="1"/>
  <c r="H14" i="42"/>
  <c r="I11" i="42" l="1"/>
  <c r="I14" i="42" s="1"/>
  <c r="M95" i="44"/>
  <c r="M88" i="44"/>
  <c r="H20" i="42"/>
  <c r="G35" i="42"/>
  <c r="G36" i="42" s="1"/>
  <c r="L94" i="44"/>
  <c r="L98" i="44" s="1"/>
  <c r="L99" i="44" s="1"/>
  <c r="M90" i="44" l="1"/>
  <c r="H33" i="42"/>
  <c r="N88" i="44"/>
  <c r="J11" i="42"/>
  <c r="J14" i="42" s="1"/>
  <c r="N95" i="44"/>
  <c r="I20" i="42"/>
  <c r="N90" i="44" l="1"/>
  <c r="I33" i="42"/>
  <c r="K11" i="42"/>
  <c r="K14" i="42" s="1"/>
  <c r="J20" i="42"/>
  <c r="O95" i="44"/>
  <c r="O88" i="44"/>
  <c r="M94" i="44"/>
  <c r="M98" i="44" s="1"/>
  <c r="M99" i="44" s="1"/>
  <c r="H35" i="42"/>
  <c r="H36" i="42" s="1"/>
  <c r="J33" i="42" l="1"/>
  <c r="O90" i="44"/>
  <c r="P88" i="44"/>
  <c r="K20" i="42"/>
  <c r="L11" i="42"/>
  <c r="L14" i="42" s="1"/>
  <c r="P95" i="44"/>
  <c r="I35" i="42"/>
  <c r="I36" i="42" s="1"/>
  <c r="N94" i="44"/>
  <c r="N98" i="44" s="1"/>
  <c r="N99" i="44" s="1"/>
  <c r="M11" i="42" l="1"/>
  <c r="M14" i="42" s="1"/>
  <c r="Q88" i="44"/>
  <c r="L20" i="42"/>
  <c r="Q95" i="44"/>
  <c r="P90" i="44"/>
  <c r="K33" i="42"/>
  <c r="J35" i="42"/>
  <c r="J36" i="42" s="1"/>
  <c r="O94" i="44"/>
  <c r="O98" i="44" s="1"/>
  <c r="O99" i="44" s="1"/>
  <c r="P94" i="44" l="1"/>
  <c r="P98" i="44" s="1"/>
  <c r="P99" i="44" s="1"/>
  <c r="K35" i="42"/>
  <c r="K36" i="42" s="1"/>
  <c r="Q90" i="44"/>
  <c r="L33" i="42"/>
  <c r="R88" i="44"/>
  <c r="M20" i="42"/>
  <c r="R95" i="44"/>
  <c r="N11" i="42"/>
  <c r="N14" i="42" s="1"/>
  <c r="R90" i="44" l="1"/>
  <c r="M33" i="42"/>
  <c r="Q94" i="44"/>
  <c r="Q98" i="44" s="1"/>
  <c r="Q99" i="44" s="1"/>
  <c r="L35" i="42"/>
  <c r="L36" i="42" s="1"/>
  <c r="O11" i="42"/>
  <c r="O14" i="42" s="1"/>
  <c r="S95" i="44"/>
  <c r="N20" i="42"/>
  <c r="S88" i="44"/>
  <c r="S90" i="44" l="1"/>
  <c r="N33" i="42"/>
  <c r="P11" i="42"/>
  <c r="P14" i="42" s="1"/>
  <c r="T95" i="44"/>
  <c r="O20" i="42"/>
  <c r="T88" i="44"/>
  <c r="M35" i="42"/>
  <c r="M36" i="42" s="1"/>
  <c r="R94" i="44"/>
  <c r="R98" i="44" s="1"/>
  <c r="R99" i="44" s="1"/>
  <c r="O33" i="42" l="1"/>
  <c r="T90" i="44"/>
  <c r="Q11" i="42"/>
  <c r="Q14" i="42" s="1"/>
  <c r="U88" i="44"/>
  <c r="U95" i="44"/>
  <c r="P20" i="42"/>
  <c r="N35" i="42"/>
  <c r="N36" i="42" s="1"/>
  <c r="S94" i="44"/>
  <c r="S98" i="44" s="1"/>
  <c r="S99" i="44" s="1"/>
  <c r="U90" i="44" l="1"/>
  <c r="P33" i="42"/>
  <c r="V95" i="44"/>
  <c r="Q20" i="42"/>
  <c r="F11" i="43"/>
  <c r="V88" i="44"/>
  <c r="U14" i="42"/>
  <c r="O35" i="42"/>
  <c r="O36" i="42" s="1"/>
  <c r="T94" i="44"/>
  <c r="T98" i="44" s="1"/>
  <c r="T99" i="44" s="1"/>
  <c r="H88" i="31" l="1"/>
  <c r="H88" i="45"/>
  <c r="H88" i="32"/>
  <c r="H86" i="30"/>
  <c r="H88" i="44"/>
  <c r="H95" i="44"/>
  <c r="H95" i="45"/>
  <c r="H95" i="32"/>
  <c r="H93" i="30"/>
  <c r="H95" i="31"/>
  <c r="Q33" i="42"/>
  <c r="V90" i="44"/>
  <c r="U20" i="42"/>
  <c r="P35" i="42"/>
  <c r="P36" i="42" s="1"/>
  <c r="U94" i="44"/>
  <c r="U98" i="44" s="1"/>
  <c r="U99" i="44" s="1"/>
  <c r="F14" i="43"/>
  <c r="R11" i="42"/>
  <c r="R14" i="42" s="1"/>
  <c r="R20" i="42" s="1"/>
  <c r="R33" i="42" s="1"/>
  <c r="R35" i="42" s="1"/>
  <c r="R36" i="42" s="1"/>
  <c r="H90" i="45" l="1"/>
  <c r="H90" i="32"/>
  <c r="H88" i="30"/>
  <c r="H90" i="44"/>
  <c r="H90" i="31"/>
  <c r="K88" i="45"/>
  <c r="G11" i="43"/>
  <c r="F20" i="43"/>
  <c r="K95" i="45"/>
  <c r="Q35" i="42"/>
  <c r="Q36" i="42" s="1"/>
  <c r="V94" i="44"/>
  <c r="U33" i="42"/>
  <c r="V98" i="44" l="1"/>
  <c r="H94" i="44"/>
  <c r="H94" i="31"/>
  <c r="H94" i="45"/>
  <c r="H94" i="32"/>
  <c r="H92" i="30"/>
  <c r="F33" i="43"/>
  <c r="K90" i="45"/>
  <c r="G14" i="43"/>
  <c r="S11" i="42"/>
  <c r="S14" i="42" s="1"/>
  <c r="S20" i="42" s="1"/>
  <c r="S33" i="42" s="1"/>
  <c r="S35" i="42" s="1"/>
  <c r="S36" i="42" s="1"/>
  <c r="V99" i="44" l="1"/>
  <c r="H98" i="45"/>
  <c r="H98" i="32"/>
  <c r="H96" i="30"/>
  <c r="H98" i="44"/>
  <c r="H98" i="31"/>
  <c r="G20" i="43"/>
  <c r="L88" i="45"/>
  <c r="L95" i="45"/>
  <c r="H11" i="43"/>
  <c r="K94" i="45"/>
  <c r="K98" i="45" s="1"/>
  <c r="K99" i="45" s="1"/>
  <c r="F35" i="43"/>
  <c r="F36" i="43" s="1"/>
  <c r="H99" i="44" l="1"/>
  <c r="H99" i="31"/>
  <c r="H99" i="45"/>
  <c r="H99" i="32"/>
  <c r="H97" i="30"/>
  <c r="H14" i="43"/>
  <c r="T11" i="42"/>
  <c r="T14" i="42" s="1"/>
  <c r="T20" i="42" s="1"/>
  <c r="T33" i="42" s="1"/>
  <c r="T35" i="42" s="1"/>
  <c r="T36" i="42" s="1"/>
  <c r="G33" i="43"/>
  <c r="L90" i="45"/>
  <c r="G35" i="43" l="1"/>
  <c r="G36" i="43" s="1"/>
  <c r="L94" i="45"/>
  <c r="L98" i="45" s="1"/>
  <c r="L99" i="45" s="1"/>
  <c r="H20" i="43"/>
  <c r="M88" i="45"/>
  <c r="M95" i="45"/>
  <c r="I11" i="43"/>
  <c r="I14" i="43" s="1"/>
  <c r="I20" i="43" l="1"/>
  <c r="J11" i="43"/>
  <c r="J14" i="43" s="1"/>
  <c r="N88" i="45"/>
  <c r="N95" i="45"/>
  <c r="M90" i="45"/>
  <c r="H33" i="43"/>
  <c r="M94" i="45" l="1"/>
  <c r="M98" i="45" s="1"/>
  <c r="M99" i="45" s="1"/>
  <c r="H35" i="43"/>
  <c r="H36" i="43" s="1"/>
  <c r="O88" i="45"/>
  <c r="O95" i="45"/>
  <c r="J20" i="43"/>
  <c r="K11" i="43"/>
  <c r="K14" i="43" s="1"/>
  <c r="N90" i="45"/>
  <c r="I33" i="43"/>
  <c r="K20" i="43" l="1"/>
  <c r="P88" i="45"/>
  <c r="L11" i="43"/>
  <c r="L14" i="43" s="1"/>
  <c r="P95" i="45"/>
  <c r="J33" i="43"/>
  <c r="O90" i="45"/>
  <c r="N94" i="45"/>
  <c r="N98" i="45" s="1"/>
  <c r="N99" i="45" s="1"/>
  <c r="I35" i="43"/>
  <c r="I36" i="43" s="1"/>
  <c r="O94" i="45" l="1"/>
  <c r="O98" i="45" s="1"/>
  <c r="O99" i="45" s="1"/>
  <c r="J35" i="43"/>
  <c r="J36" i="43" s="1"/>
  <c r="Q95" i="45"/>
  <c r="L20" i="43"/>
  <c r="Q88" i="45"/>
  <c r="M11" i="43"/>
  <c r="M14" i="43" s="1"/>
  <c r="P90" i="45"/>
  <c r="K33" i="43"/>
  <c r="M20" i="43" l="1"/>
  <c r="N11" i="43"/>
  <c r="N14" i="43" s="1"/>
  <c r="R88" i="45"/>
  <c r="R95" i="45"/>
  <c r="Q90" i="45"/>
  <c r="L33" i="43"/>
  <c r="P94" i="45"/>
  <c r="P98" i="45" s="1"/>
  <c r="P99" i="45" s="1"/>
  <c r="K35" i="43"/>
  <c r="K36" i="43" s="1"/>
  <c r="N20" i="43" l="1"/>
  <c r="S88" i="45"/>
  <c r="S95" i="45"/>
  <c r="O11" i="43"/>
  <c r="O14" i="43" s="1"/>
  <c r="L35" i="43"/>
  <c r="L36" i="43" s="1"/>
  <c r="Q94" i="45"/>
  <c r="Q98" i="45" s="1"/>
  <c r="Q99" i="45" s="1"/>
  <c r="R90" i="45"/>
  <c r="M33" i="43"/>
  <c r="P11" i="43" l="1"/>
  <c r="P14" i="43" s="1"/>
  <c r="O20" i="43"/>
  <c r="T88" i="45"/>
  <c r="T95" i="45"/>
  <c r="R94" i="45"/>
  <c r="R98" i="45" s="1"/>
  <c r="R99" i="45" s="1"/>
  <c r="M35" i="43"/>
  <c r="M36" i="43" s="1"/>
  <c r="N33" i="43"/>
  <c r="S90" i="45"/>
  <c r="N35" i="43" l="1"/>
  <c r="N36" i="43" s="1"/>
  <c r="S94" i="45"/>
  <c r="S98" i="45" s="1"/>
  <c r="S99" i="45" s="1"/>
  <c r="O33" i="43"/>
  <c r="T90" i="45"/>
  <c r="U88" i="45"/>
  <c r="P20" i="43"/>
  <c r="U95" i="45"/>
  <c r="Q11" i="43"/>
  <c r="Q14" i="43" s="1"/>
  <c r="Q20" i="43" l="1"/>
  <c r="V95" i="45"/>
  <c r="V88" i="45"/>
  <c r="U14" i="43"/>
  <c r="P33" i="43"/>
  <c r="U90" i="45"/>
  <c r="O35" i="43"/>
  <c r="O36" i="43" s="1"/>
  <c r="T94" i="45"/>
  <c r="T98" i="45" s="1"/>
  <c r="T99" i="45" s="1"/>
  <c r="I88" i="45" l="1"/>
  <c r="I88" i="32"/>
  <c r="I86" i="30"/>
  <c r="I88" i="44"/>
  <c r="I88" i="31"/>
  <c r="I95" i="45"/>
  <c r="I95" i="32"/>
  <c r="I95" i="44"/>
  <c r="I95" i="31"/>
  <c r="I93" i="30"/>
  <c r="P35" i="43"/>
  <c r="P36" i="43" s="1"/>
  <c r="U94" i="45"/>
  <c r="U98" i="45" s="1"/>
  <c r="U99" i="45" s="1"/>
  <c r="Q33" i="43"/>
  <c r="V90" i="45"/>
  <c r="U20" i="43"/>
  <c r="I90" i="44" l="1"/>
  <c r="I90" i="31"/>
  <c r="I90" i="45"/>
  <c r="I90" i="32"/>
  <c r="I88" i="30"/>
  <c r="Q35" i="43"/>
  <c r="Q36" i="43" s="1"/>
  <c r="V94" i="45"/>
  <c r="U33" i="43"/>
  <c r="V98" i="45" l="1"/>
  <c r="I94" i="45"/>
  <c r="I94" i="32"/>
  <c r="I92" i="30"/>
  <c r="I94" i="44"/>
  <c r="I94" i="31"/>
  <c r="V99" i="45" l="1"/>
  <c r="I98" i="44"/>
  <c r="I98" i="31"/>
  <c r="I98" i="45"/>
  <c r="I96" i="30"/>
  <c r="I98" i="32"/>
  <c r="I99" i="45" l="1"/>
  <c r="I99" i="32"/>
  <c r="I97" i="30"/>
  <c r="I99" i="44"/>
  <c r="I99" i="31"/>
</calcChain>
</file>

<file path=xl/sharedStrings.xml><?xml version="1.0" encoding="utf-8"?>
<sst xmlns="http://schemas.openxmlformats.org/spreadsheetml/2006/main" count="2898" uniqueCount="362">
  <si>
    <t>Fiscal Year</t>
  </si>
  <si>
    <t>Sun</t>
  </si>
  <si>
    <t>Revenue</t>
  </si>
  <si>
    <t>COGS</t>
  </si>
  <si>
    <t>GROSS MARGIN</t>
  </si>
  <si>
    <t>Salaries &amp; Wages</t>
  </si>
  <si>
    <t>Variable Expenses</t>
  </si>
  <si>
    <t>Fixed Expenditure</t>
  </si>
  <si>
    <t>NET MARGIN</t>
  </si>
  <si>
    <t>NET MARGIN %</t>
  </si>
  <si>
    <t>EBITDA</t>
  </si>
  <si>
    <t>Depreciation &amp; Amortization</t>
  </si>
  <si>
    <t>EBIT</t>
  </si>
  <si>
    <t>Net Interest Expense</t>
  </si>
  <si>
    <t>Net Profit Before Tax</t>
  </si>
  <si>
    <t>Tax Expense</t>
  </si>
  <si>
    <t>Net Profit After Tax</t>
  </si>
  <si>
    <t>Net Profit After Tax %</t>
  </si>
  <si>
    <t>Operating Cash Flows</t>
  </si>
  <si>
    <t>Core Financials</t>
  </si>
  <si>
    <t>Cash Flow 5 Years 2023</t>
  </si>
  <si>
    <t>Cumulative Cash Flow 5 Years 2023</t>
  </si>
  <si>
    <t>EBITDA %</t>
  </si>
  <si>
    <t>Break Even Analysis</t>
  </si>
  <si>
    <t>Break Even Chart</t>
  </si>
  <si>
    <t>Gross Margin</t>
  </si>
  <si>
    <t>Break Even level</t>
  </si>
  <si>
    <t>Year Ending</t>
  </si>
  <si>
    <t>Growth %</t>
  </si>
  <si>
    <t>% of Revenue</t>
  </si>
  <si>
    <t>GROSS MARGIN %</t>
  </si>
  <si>
    <t>Fixed Expenses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</si>
  <si>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</si>
  <si>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</si>
  <si>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</si>
  <si>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</si>
  <si>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</si>
  <si>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</si>
  <si>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</si>
  <si>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</si>
  <si>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</si>
  <si>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</si>
  <si>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</si>
  <si>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</si>
  <si>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Cash Receipts</t>
  </si>
  <si>
    <t>Cash Payments</t>
  </si>
  <si>
    <t>Other Operating Cash Flows</t>
  </si>
  <si>
    <t>Capital Expenditure</t>
  </si>
  <si>
    <t>Other Investing Cash Flows</t>
  </si>
  <si>
    <t>Investing Cash Flows</t>
  </si>
  <si>
    <t>Debt Drawdowns/(Repayments)</t>
  </si>
  <si>
    <t>Equity Raisings/(Buybacks)</t>
  </si>
  <si>
    <t>Other Financing Cash Flows</t>
  </si>
  <si>
    <t>Financing Cash Flows</t>
  </si>
  <si>
    <t>Closing Cash</t>
  </si>
  <si>
    <t>Current Assets</t>
  </si>
  <si>
    <t>Non-Current Assets</t>
  </si>
  <si>
    <t>Total Assets</t>
  </si>
  <si>
    <t>Current Liabilities</t>
  </si>
  <si>
    <t>Non-Current Liabilities</t>
  </si>
  <si>
    <t>Total Liabilities</t>
  </si>
  <si>
    <t>Net Assets</t>
  </si>
  <si>
    <t>Net Current Assets</t>
  </si>
  <si>
    <t>Ordinary Equity</t>
  </si>
  <si>
    <t>Other Equity</t>
  </si>
  <si>
    <t>Retained Profits</t>
  </si>
  <si>
    <t>Total Equity</t>
  </si>
  <si>
    <t>Wages</t>
  </si>
  <si>
    <t>Misc</t>
  </si>
  <si>
    <t>Top Expenses To December 2023</t>
  </si>
  <si>
    <t>Top Expenses</t>
  </si>
  <si>
    <t>Month</t>
  </si>
  <si>
    <t>Mon-Fri</t>
  </si>
  <si>
    <t>Sat</t>
  </si>
  <si>
    <t>OOS Seasonal Assumptions</t>
  </si>
  <si>
    <t>Breakdown Seasonal Assumptions</t>
  </si>
  <si>
    <t>Salaries Assumptions</t>
  </si>
  <si>
    <t>Department</t>
  </si>
  <si>
    <t>Admin</t>
  </si>
  <si>
    <t>Number Of Employees and Wages</t>
  </si>
  <si>
    <t>Totals</t>
  </si>
  <si>
    <t>Advertising</t>
  </si>
  <si>
    <t>BUDGET</t>
  </si>
  <si>
    <t>NET EXPENSES</t>
  </si>
  <si>
    <t>REVENUE</t>
  </si>
  <si>
    <t>PROFIT MARGINS</t>
  </si>
  <si>
    <t>DEBT TO EQUITY RATIO</t>
  </si>
  <si>
    <t>NO.</t>
  </si>
  <si>
    <t>NAME</t>
  </si>
  <si>
    <t>GOAL</t>
  </si>
  <si>
    <t>ACTUAL</t>
  </si>
  <si>
    <t>REMAINDER</t>
  </si>
  <si>
    <t>ADDITIONAL</t>
  </si>
  <si>
    <t>TOTAL</t>
  </si>
  <si>
    <t>GROSS</t>
  </si>
  <si>
    <t>NET</t>
  </si>
  <si>
    <t>CALENDAR</t>
  </si>
  <si>
    <t>DEBT</t>
  </si>
  <si>
    <t>EQUITY</t>
  </si>
  <si>
    <t>Balance Sheet 2023</t>
  </si>
  <si>
    <t>Planned Value</t>
  </si>
  <si>
    <t>Actual</t>
  </si>
  <si>
    <t>TEAM AVERAGE</t>
  </si>
  <si>
    <t>TIME OVER 1 WEEK</t>
  </si>
  <si>
    <t>Task</t>
  </si>
  <si>
    <t>Actual Hours Taken</t>
  </si>
  <si>
    <t>% OF GOAL REACHED</t>
  </si>
  <si>
    <t>ROI</t>
  </si>
  <si>
    <t>Variables</t>
  </si>
  <si>
    <t>Target</t>
  </si>
  <si>
    <t>Variance</t>
  </si>
  <si>
    <t>Average</t>
  </si>
  <si>
    <t>Totals2</t>
  </si>
  <si>
    <t>Overuns</t>
  </si>
  <si>
    <t>OOS Costs</t>
  </si>
  <si>
    <t>% Of Costs</t>
  </si>
  <si>
    <t>Areas</t>
  </si>
  <si>
    <t>Actual / Target</t>
  </si>
  <si>
    <t>% Target</t>
  </si>
  <si>
    <t>Location 1</t>
  </si>
  <si>
    <t>Location 2</t>
  </si>
  <si>
    <t>Location 3</t>
  </si>
  <si>
    <t>Location 4</t>
  </si>
  <si>
    <t>Location 5</t>
  </si>
  <si>
    <t>Location 6</t>
  </si>
  <si>
    <t>Total Revenue</t>
  </si>
  <si>
    <t>Total COGS</t>
  </si>
  <si>
    <t>Placeholder 1</t>
  </si>
  <si>
    <t>Placeholder 2</t>
  </si>
  <si>
    <t>Placeholder 3</t>
  </si>
  <si>
    <t>Placeholder 4</t>
  </si>
  <si>
    <t>Placeholder 5</t>
  </si>
  <si>
    <t>Placeholder 6</t>
  </si>
  <si>
    <t>Placeholder 7</t>
  </si>
  <si>
    <t>Placeholder 8</t>
  </si>
  <si>
    <t>Total Variable Expenses</t>
  </si>
  <si>
    <t>Total Admin Salary and Wages</t>
  </si>
  <si>
    <t>Utilities</t>
  </si>
  <si>
    <t>Miscellaneous</t>
  </si>
  <si>
    <t>Placeholder7</t>
  </si>
  <si>
    <t>Placeholder8</t>
  </si>
  <si>
    <t>Placeholder9</t>
  </si>
  <si>
    <t>Placeholder10</t>
  </si>
  <si>
    <t>Placeholder11</t>
  </si>
  <si>
    <t>Placeholder12</t>
  </si>
  <si>
    <t>Placeholder13</t>
  </si>
  <si>
    <t>Placeholder14</t>
  </si>
  <si>
    <t>Placeholder15</t>
  </si>
  <si>
    <t>Total Fixed Expenses</t>
  </si>
  <si>
    <t>Total Depriciation &amp; Amortization</t>
  </si>
  <si>
    <t>Interest Expense</t>
  </si>
  <si>
    <t>Income Statement</t>
  </si>
  <si>
    <t>Income Statement £</t>
  </si>
  <si>
    <t>[Company Name]</t>
  </si>
  <si>
    <t>.</t>
  </si>
  <si>
    <t>Operating Net Cash</t>
  </si>
  <si>
    <t>Operating Cash Flow (OCF)</t>
  </si>
  <si>
    <t>Cash Flow Statement</t>
  </si>
  <si>
    <t>Model Name</t>
  </si>
  <si>
    <t>Go to the Table of Contents</t>
  </si>
  <si>
    <t>Cash Flow from Operating Activities</t>
  </si>
  <si>
    <t>Interest Paid</t>
  </si>
  <si>
    <t>Corporate Tax Paid</t>
  </si>
  <si>
    <t>CASH INFLOW</t>
  </si>
  <si>
    <t>CASH OUTFLOW</t>
  </si>
  <si>
    <t>Net Cash Flow from Operating Activities</t>
  </si>
  <si>
    <t>Cash Flow from Investing Activities</t>
  </si>
  <si>
    <t>Fixed Assets Capital Expenditure</t>
  </si>
  <si>
    <t>Net Cash Flow from Investing Activities</t>
  </si>
  <si>
    <t>Cash Flow from Financing Activities</t>
  </si>
  <si>
    <t>Debt Drawdowns</t>
  </si>
  <si>
    <t>Debt Repayments</t>
  </si>
  <si>
    <t>Ordinary Equity Raisings</t>
  </si>
  <si>
    <t>Ordinary Equity Buybacks</t>
  </si>
  <si>
    <t>Ordinary Equity Dividends Paid</t>
  </si>
  <si>
    <t>Net Cash Flow from Financing Activities</t>
  </si>
  <si>
    <t>Net Increase/(Decrease) in Cash Held</t>
  </si>
  <si>
    <t>Interest on Cash Breakdown</t>
  </si>
  <si>
    <t>Change in Cash (Pre-Corporate Tax &amp; Interest on Cash)</t>
  </si>
  <si>
    <t>Cash Flow to Capital Providers</t>
  </si>
  <si>
    <t>Cash Flow Available To Capital Providers (CFACP)</t>
  </si>
  <si>
    <t>Cash Flow Available to Equity (CFAE)</t>
  </si>
  <si>
    <t>Cash Flow Available for Dividends (CFAD)</t>
  </si>
  <si>
    <t>Cash Flow Statement, £</t>
  </si>
  <si>
    <t>Balance Sheet</t>
  </si>
  <si>
    <t>Financial Year</t>
  </si>
  <si>
    <t>Balance Sheet £</t>
  </si>
  <si>
    <t>Cash</t>
  </si>
  <si>
    <t>Accounts Receivable</t>
  </si>
  <si>
    <t>Inventory</t>
  </si>
  <si>
    <t>Total Current Assets</t>
  </si>
  <si>
    <t>Assets Closing Net Book Value</t>
  </si>
  <si>
    <t>CAPEX Prepayment</t>
  </si>
  <si>
    <t>Fixed Assets</t>
  </si>
  <si>
    <t>Total Non-Current Assets</t>
  </si>
  <si>
    <t>CAPEX Payable</t>
  </si>
  <si>
    <t>Accounts Payable</t>
  </si>
  <si>
    <t>Corporate Tax Payable</t>
  </si>
  <si>
    <t>Total Current Liabilities</t>
  </si>
  <si>
    <t>Debt</t>
  </si>
  <si>
    <t>Other Non-Current Liabilities</t>
  </si>
  <si>
    <t>Total Non-Current Liabilities</t>
  </si>
  <si>
    <t>Total Error Checks Result</t>
  </si>
  <si>
    <t>Alert Check (Negative Cash)</t>
  </si>
  <si>
    <t>Deviation</t>
  </si>
  <si>
    <t>-</t>
  </si>
  <si>
    <t>Admin Salaries &amp; Wages</t>
  </si>
  <si>
    <t>Financial year</t>
  </si>
  <si>
    <t>Placeholder</t>
  </si>
  <si>
    <t>Net Cash Flow from Operating Activities (Indirect)</t>
  </si>
  <si>
    <t>Change In Cash Held</t>
  </si>
  <si>
    <t>Non-Current Liabilties</t>
  </si>
  <si>
    <t>Income Statement Summer 2023</t>
  </si>
  <si>
    <t>Cash Flow Statement 2024</t>
  </si>
  <si>
    <t>Income Statement Summer 2024</t>
  </si>
  <si>
    <t>Balance Sheet 2024</t>
  </si>
  <si>
    <t>Direct Salaries and Wages</t>
  </si>
  <si>
    <t>COGS Placeholder 1</t>
  </si>
  <si>
    <t>COGS Placeholder 2</t>
  </si>
  <si>
    <t>COGS Placeholder 3</t>
  </si>
  <si>
    <t>COGS Placeholder 4</t>
  </si>
  <si>
    <t>COGS Placeholder 5</t>
  </si>
  <si>
    <t>COGS Placeholder 6</t>
  </si>
  <si>
    <t>Break Even Calculation</t>
  </si>
  <si>
    <t>Top Expenses To December 2024</t>
  </si>
  <si>
    <t>Number Of Employees</t>
  </si>
  <si>
    <t>Percentage Of Time Taken</t>
  </si>
  <si>
    <t>Planned Hours</t>
  </si>
  <si>
    <t>Run</t>
  </si>
  <si>
    <t>Planner Name:</t>
  </si>
  <si>
    <t>Manager:</t>
  </si>
  <si>
    <t>Planned</t>
  </si>
  <si>
    <t>Active Customers</t>
  </si>
  <si>
    <t>Billable Days</t>
  </si>
  <si>
    <t>Cost Per Day</t>
  </si>
  <si>
    <t>Services Assumptions</t>
  </si>
  <si>
    <t>% Rise</t>
  </si>
  <si>
    <t>COGS Assumptions</t>
  </si>
  <si>
    <t>Percentage Increase From Previous Yar</t>
  </si>
  <si>
    <t>Contract Name:</t>
  </si>
  <si>
    <t>Plan Manager:</t>
  </si>
  <si>
    <t>Equipment Rental</t>
  </si>
  <si>
    <t>Class KPIs</t>
  </si>
  <si>
    <t xml:space="preserve">Class Name: </t>
  </si>
  <si>
    <t>Trainer:</t>
  </si>
  <si>
    <t>Class Percent Usage</t>
  </si>
  <si>
    <t>Land Rent</t>
  </si>
  <si>
    <t>Feed</t>
  </si>
  <si>
    <t>Cost Per Click (CPC)</t>
  </si>
  <si>
    <t>Monthly Marketing Budget Offline</t>
  </si>
  <si>
    <t>Total Visitors</t>
  </si>
  <si>
    <t>Total CPC Visitors</t>
  </si>
  <si>
    <t xml:space="preserve">Total Cost Per Visit (CPV) Offline </t>
  </si>
  <si>
    <t>Conversion Rates</t>
  </si>
  <si>
    <t>Visitors Sales Opportunities</t>
  </si>
  <si>
    <t>Sales Opps Total</t>
  </si>
  <si>
    <t>Total Sales</t>
  </si>
  <si>
    <t>Sales Opps For Free Trial</t>
  </si>
  <si>
    <t>New Free Trial Users</t>
  </si>
  <si>
    <t>Sales Opps For Paying Customers</t>
  </si>
  <si>
    <t>Products</t>
  </si>
  <si>
    <t>SEO Visitors</t>
  </si>
  <si>
    <t>SEO % Potential</t>
  </si>
  <si>
    <t>SEO Total</t>
  </si>
  <si>
    <t>Sales</t>
  </si>
  <si>
    <t>Monthly Marketing Budget Web Online</t>
  </si>
  <si>
    <t>Marketing Budgets &amp; Visitor Totals</t>
  </si>
  <si>
    <t>2023 Sales Summary</t>
  </si>
  <si>
    <t>2024 Sales Summary</t>
  </si>
  <si>
    <t>Products And Sales</t>
  </si>
  <si>
    <t>Cash Flow 5 Years 2027</t>
  </si>
  <si>
    <t>Cumulative Cash Flow 5 Years 2027</t>
  </si>
  <si>
    <t>2027 Sales Summary</t>
  </si>
  <si>
    <t>2026 Sales Summary</t>
  </si>
  <si>
    <t>2025 Sales Summary</t>
  </si>
  <si>
    <t>Cash Flow Statement 5 Years to December 2027</t>
  </si>
  <si>
    <t>Income Statement 5 Years to December 2027</t>
  </si>
  <si>
    <t>Balance Sheet 5 Years to December 2027</t>
  </si>
  <si>
    <t>Income Statement Summer 2027</t>
  </si>
  <si>
    <t>Cash Flow Statement Summer 2023</t>
  </si>
  <si>
    <t>Cash Flow Statement 2025</t>
  </si>
  <si>
    <t>Income Statement Summer 2025</t>
  </si>
  <si>
    <t>Balance Sheet 2025</t>
  </si>
  <si>
    <t>Cash Flow Statement 2026</t>
  </si>
  <si>
    <t>Income Statement Summer 2026</t>
  </si>
  <si>
    <t>Balance Sheet 2026</t>
  </si>
  <si>
    <t>Cash Flow Statement 2027</t>
  </si>
  <si>
    <t>Balance Sheet 2027</t>
  </si>
  <si>
    <t>Monthly Marketing Budget Web</t>
  </si>
  <si>
    <t>Price</t>
  </si>
  <si>
    <t>Base</t>
  </si>
  <si>
    <t>Model</t>
  </si>
  <si>
    <t>Medium</t>
  </si>
  <si>
    <t>Premium</t>
  </si>
  <si>
    <t>Enterprise</t>
  </si>
  <si>
    <t>Developers</t>
  </si>
  <si>
    <t>Junior Developers</t>
  </si>
  <si>
    <t>Business Analyst</t>
  </si>
  <si>
    <t>CRM Architect</t>
  </si>
  <si>
    <t>CRM Developer</t>
  </si>
  <si>
    <t>Test Manager</t>
  </si>
  <si>
    <t>Junior CRM Developer</t>
  </si>
  <si>
    <t>Support CRM Developer</t>
  </si>
  <si>
    <t>Project Manager</t>
  </si>
  <si>
    <t>CRM Architect2</t>
  </si>
  <si>
    <t>Service 1</t>
  </si>
  <si>
    <t>Service 2</t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</si>
  <si>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</si>
  <si>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</si>
  <si>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</si>
  <si>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</si>
  <si>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</si>
  <si>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</si>
  <si>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</si>
  <si>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</si>
  <si>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</si>
  <si>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</si>
  <si>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Project 11</t>
  </si>
  <si>
    <t>Project 12</t>
  </si>
  <si>
    <t>Project 13</t>
  </si>
  <si>
    <t>Project 14</t>
  </si>
  <si>
    <t>Project 15</t>
  </si>
  <si>
    <t>Project 16</t>
  </si>
  <si>
    <t>Project 17</t>
  </si>
  <si>
    <t>Project 18</t>
  </si>
  <si>
    <t>Project 19</t>
  </si>
  <si>
    <t>Project 20</t>
  </si>
  <si>
    <t>Project 21</t>
  </si>
  <si>
    <t>Project 22</t>
  </si>
  <si>
    <t>Project 23</t>
  </si>
  <si>
    <t>Project 24</t>
  </si>
  <si>
    <t>Project 25</t>
  </si>
  <si>
    <t>Planned Hours for Tasks</t>
  </si>
  <si>
    <t>Developer Costs</t>
  </si>
  <si>
    <t>Monthly Sales Assumptions</t>
  </si>
  <si>
    <t>Seasonal Assumptions</t>
  </si>
  <si>
    <t>Commercial Lease</t>
  </si>
  <si>
    <t>Product 1</t>
  </si>
  <si>
    <t>Product 2</t>
  </si>
  <si>
    <t>Product 3</t>
  </si>
  <si>
    <t>Product 4</t>
  </si>
  <si>
    <t>Product 5</t>
  </si>
  <si>
    <t>Product 6</t>
  </si>
  <si>
    <t>Planned Days Per Product vs Actual Days Taken</t>
  </si>
  <si>
    <t>Actual Days Taken</t>
  </si>
  <si>
    <t>Expenditure Product 1</t>
  </si>
  <si>
    <t>Earned Product 1</t>
  </si>
  <si>
    <t>Expenditure Product 2</t>
  </si>
  <si>
    <t>Earned Product 2</t>
  </si>
  <si>
    <t>Expenditure Product 3</t>
  </si>
  <si>
    <t>Earned Product 3</t>
  </si>
  <si>
    <t>Track Planned Days vs Time Spent on Multiple Products</t>
  </si>
  <si>
    <t>Product 7</t>
  </si>
  <si>
    <t>Product 8</t>
  </si>
  <si>
    <t>Product 9</t>
  </si>
  <si>
    <t>Product 10</t>
  </si>
  <si>
    <t>Product 11</t>
  </si>
  <si>
    <t>Product 12</t>
  </si>
  <si>
    <t>Actual Days</t>
  </si>
  <si>
    <t>Target Days</t>
  </si>
  <si>
    <t xml:space="preserve">Income Statement </t>
  </si>
  <si>
    <t xml:space="preserve">Balance 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</si>
</sst>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0.0%"/>
    <numFmt numFmtId="165" formatCode="#,##0.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2" tint="-0.499984740745262"/>
      <name val="Arial"/>
      <family val="2"/>
    </font>
    <font>
      <sz val="10"/>
      <color theme="1"/>
      <name val="Arial"/>
      <family val="2"/>
    </font>
    <font>
      <shadow/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7" tint="-0.499984740745262"/>
      <name val="Arial"/>
      <family val="2"/>
    </font>
    <font>
      <sz val="18"/>
      <color theme="1" tint="0.34998626667073579"/>
      <name val="Century Gothic"/>
      <family val="2"/>
    </font>
    <font>
      <sz val="12"/>
      <color theme="8" tint="-0.249977111117893"/>
      <name val="Century Gothic"/>
      <family val="1"/>
    </font>
    <font>
      <sz val="10"/>
      <color theme="0"/>
      <name val="Century Gothic"/>
      <family val="2"/>
    </font>
    <font>
      <sz val="12"/>
      <color theme="1"/>
      <name val="Century Gothic"/>
      <family val="1"/>
    </font>
    <font>
      <sz val="11"/>
      <color theme="1" tint="0.14999847407452621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8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auto="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8" tint="0.39997558519241921"/>
      </left>
      <right/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1" tint="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auto="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3" tint="0.39988402966399123"/>
      </right>
      <top style="thin">
        <color theme="3" tint="0.39988402966399123"/>
      </top>
      <bottom style="thin">
        <color theme="3" tint="0.39988402966399123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theme="0" tint="-0.14996795556505021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471">
    <xf numFmtId="0" fontId="0" fillId="0" borderId="0" xfId="0"/>
    <xf numFmtId="3" fontId="0" fillId="0" borderId="0" xfId="0" applyNumberFormat="1"/>
    <xf numFmtId="10" fontId="0" fillId="0" borderId="0" xfId="0" applyNumberFormat="1"/>
    <xf numFmtId="1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5" fillId="0" borderId="0" xfId="0" applyFont="1"/>
    <xf numFmtId="0" fontId="0" fillId="0" borderId="8" xfId="0" applyBorder="1" applyAlignment="1">
      <alignment horizontal="center"/>
    </xf>
    <xf numFmtId="0" fontId="0" fillId="6" borderId="0" xfId="0" applyFill="1"/>
    <xf numFmtId="9" fontId="0" fillId="0" borderId="0" xfId="1" applyFont="1" applyAlignment="1">
      <alignment horizontal="center"/>
    </xf>
    <xf numFmtId="0" fontId="0" fillId="3" borderId="10" xfId="0" applyFill="1" applyBorder="1"/>
    <xf numFmtId="9" fontId="0" fillId="4" borderId="0" xfId="0" applyNumberFormat="1" applyFill="1" applyAlignment="1">
      <alignment horizontal="center"/>
    </xf>
    <xf numFmtId="0" fontId="0" fillId="7" borderId="0" xfId="0" applyFill="1"/>
    <xf numFmtId="3" fontId="0" fillId="0" borderId="3" xfId="0" applyNumberFormat="1" applyBorder="1"/>
    <xf numFmtId="9" fontId="0" fillId="0" borderId="0" xfId="0" applyNumberFormat="1"/>
    <xf numFmtId="3" fontId="0" fillId="0" borderId="8" xfId="0" applyNumberFormat="1" applyBorder="1"/>
    <xf numFmtId="10" fontId="0" fillId="6" borderId="0" xfId="0" applyNumberFormat="1" applyFill="1"/>
    <xf numFmtId="0" fontId="0" fillId="6" borderId="0" xfId="0" applyFill="1" applyAlignment="1">
      <alignment horizontal="center"/>
    </xf>
    <xf numFmtId="0" fontId="2" fillId="0" borderId="0" xfId="0" applyFont="1"/>
    <xf numFmtId="0" fontId="0" fillId="3" borderId="3" xfId="0" applyFill="1" applyBorder="1"/>
    <xf numFmtId="0" fontId="0" fillId="3" borderId="4" xfId="0" applyFill="1" applyBorder="1"/>
    <xf numFmtId="3" fontId="0" fillId="4" borderId="0" xfId="0" applyNumberForma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3" fontId="0" fillId="4" borderId="4" xfId="0" applyNumberFormat="1" applyFill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3" fontId="0" fillId="4" borderId="11" xfId="0" applyNumberFormat="1" applyFill="1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9" fontId="0" fillId="4" borderId="7" xfId="0" applyNumberFormat="1" applyFill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9" fontId="0" fillId="4" borderId="3" xfId="0" applyNumberFormat="1" applyFill="1" applyBorder="1" applyAlignment="1">
      <alignment horizontal="center"/>
    </xf>
    <xf numFmtId="9" fontId="0" fillId="4" borderId="4" xfId="0" applyNumberFormat="1" applyFill="1" applyBorder="1" applyAlignment="1">
      <alignment horizontal="center"/>
    </xf>
    <xf numFmtId="9" fontId="0" fillId="4" borderId="9" xfId="1" applyFont="1" applyFill="1" applyBorder="1" applyAlignment="1">
      <alignment horizontal="center"/>
    </xf>
    <xf numFmtId="9" fontId="0" fillId="4" borderId="11" xfId="1" applyFont="1" applyFill="1" applyBorder="1" applyAlignment="1">
      <alignment horizontal="center"/>
    </xf>
    <xf numFmtId="9" fontId="0" fillId="4" borderId="10" xfId="1" applyFont="1" applyFill="1" applyBorder="1" applyAlignment="1">
      <alignment horizontal="center"/>
    </xf>
    <xf numFmtId="9" fontId="0" fillId="4" borderId="11" xfId="0" applyNumberFormat="1" applyFill="1" applyBorder="1" applyAlignment="1">
      <alignment horizontal="center"/>
    </xf>
    <xf numFmtId="10" fontId="0" fillId="4" borderId="8" xfId="0" applyNumberFormat="1" applyFill="1" applyBorder="1" applyAlignment="1">
      <alignment horizontal="center"/>
    </xf>
    <xf numFmtId="10" fontId="0" fillId="4" borderId="11" xfId="0" applyNumberFormat="1" applyFill="1" applyBorder="1" applyAlignment="1">
      <alignment horizontal="center"/>
    </xf>
    <xf numFmtId="9" fontId="0" fillId="4" borderId="9" xfId="0" applyNumberFormat="1" applyFill="1" applyBorder="1" applyAlignment="1">
      <alignment horizontal="center"/>
    </xf>
    <xf numFmtId="9" fontId="0" fillId="4" borderId="10" xfId="0" applyNumberFormat="1" applyFill="1" applyBorder="1" applyAlignment="1">
      <alignment horizontal="center"/>
    </xf>
    <xf numFmtId="10" fontId="0" fillId="4" borderId="5" xfId="0" applyNumberFormat="1" applyFill="1" applyBorder="1" applyAlignment="1">
      <alignment horizontal="center"/>
    </xf>
    <xf numFmtId="10" fontId="0" fillId="4" borderId="6" xfId="0" applyNumberFormat="1" applyFill="1" applyBorder="1" applyAlignment="1">
      <alignment horizontal="center"/>
    </xf>
    <xf numFmtId="10" fontId="0" fillId="4" borderId="9" xfId="0" applyNumberFormat="1" applyFill="1" applyBorder="1" applyAlignment="1">
      <alignment horizontal="center"/>
    </xf>
    <xf numFmtId="10" fontId="0" fillId="4" borderId="10" xfId="0" applyNumberFormat="1" applyFill="1" applyBorder="1" applyAlignment="1">
      <alignment horizontal="center"/>
    </xf>
    <xf numFmtId="0" fontId="10" fillId="0" borderId="0" xfId="0" applyFont="1" applyAlignment="1">
      <alignment horizontal="left" vertical="center" wrapText="1" indent="1"/>
    </xf>
    <xf numFmtId="0" fontId="11" fillId="8" borderId="24" xfId="0" applyFont="1" applyFill="1" applyBorder="1" applyAlignment="1">
      <alignment horizontal="left" vertical="center" wrapText="1" indent="1"/>
    </xf>
    <xf numFmtId="0" fontId="11" fillId="9" borderId="24" xfId="0" applyFont="1" applyFill="1" applyBorder="1" applyAlignment="1">
      <alignment horizontal="left" vertical="center" wrapText="1" indent="1"/>
    </xf>
    <xf numFmtId="0" fontId="11" fillId="2" borderId="24" xfId="0" applyFont="1" applyFill="1" applyBorder="1" applyAlignment="1">
      <alignment horizontal="left" vertical="center" wrapText="1" indent="1"/>
    </xf>
    <xf numFmtId="0" fontId="11" fillId="10" borderId="24" xfId="0" applyFont="1" applyFill="1" applyBorder="1" applyAlignment="1">
      <alignment horizontal="left" vertical="center" wrapText="1" indent="1"/>
    </xf>
    <xf numFmtId="0" fontId="9" fillId="11" borderId="24" xfId="0" applyFont="1" applyFill="1" applyBorder="1" applyAlignment="1">
      <alignment horizontal="left" vertical="center" wrapText="1" indent="1"/>
    </xf>
    <xf numFmtId="0" fontId="11" fillId="12" borderId="24" xfId="0" applyFont="1" applyFill="1" applyBorder="1" applyAlignment="1">
      <alignment horizontal="left" vertical="center" wrapText="1" indent="1"/>
    </xf>
    <xf numFmtId="0" fontId="11" fillId="13" borderId="24" xfId="0" applyFont="1" applyFill="1" applyBorder="1" applyAlignment="1">
      <alignment horizontal="left" vertical="center" wrapText="1" indent="1"/>
    </xf>
    <xf numFmtId="0" fontId="11" fillId="14" borderId="24" xfId="0" applyFont="1" applyFill="1" applyBorder="1" applyAlignment="1">
      <alignment horizontal="left" vertical="center" wrapText="1" indent="1"/>
    </xf>
    <xf numFmtId="0" fontId="10" fillId="0" borderId="25" xfId="0" applyFont="1" applyBorder="1" applyAlignment="1">
      <alignment horizontal="left" vertical="center" wrapText="1" indent="1"/>
    </xf>
    <xf numFmtId="9" fontId="10" fillId="0" borderId="25" xfId="1" applyFont="1" applyBorder="1" applyAlignment="1">
      <alignment horizontal="left" vertical="center" wrapText="1" indent="1"/>
    </xf>
    <xf numFmtId="1" fontId="10" fillId="0" borderId="25" xfId="0" applyNumberFormat="1" applyFont="1" applyBorder="1" applyAlignment="1">
      <alignment horizontal="left" vertical="center" wrapText="1" indent="1"/>
    </xf>
    <xf numFmtId="0" fontId="10" fillId="3" borderId="25" xfId="0" applyFont="1" applyFill="1" applyBorder="1" applyAlignment="1">
      <alignment horizontal="left" vertical="center" wrapText="1" indent="1"/>
    </xf>
    <xf numFmtId="9" fontId="10" fillId="3" borderId="25" xfId="1" applyFont="1" applyFill="1" applyBorder="1" applyAlignment="1">
      <alignment horizontal="left" vertical="center" wrapText="1" indent="1"/>
    </xf>
    <xf numFmtId="9" fontId="9" fillId="0" borderId="0" xfId="1" applyFont="1" applyAlignment="1">
      <alignment horizontal="left" vertical="center" wrapText="1" indent="1"/>
    </xf>
    <xf numFmtId="0" fontId="0" fillId="0" borderId="26" xfId="0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2" fillId="20" borderId="26" xfId="0" applyFont="1" applyFill="1" applyBorder="1" applyAlignment="1">
      <alignment horizontal="center" vertical="center" wrapText="1"/>
    </xf>
    <xf numFmtId="0" fontId="10" fillId="17" borderId="26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15" borderId="26" xfId="0" applyFont="1" applyFill="1" applyBorder="1" applyAlignment="1">
      <alignment horizontal="center" vertical="center" wrapText="1"/>
    </xf>
    <xf numFmtId="0" fontId="10" fillId="16" borderId="26" xfId="0" applyFont="1" applyFill="1" applyBorder="1" applyAlignment="1">
      <alignment horizontal="center" vertical="center" wrapText="1"/>
    </xf>
    <xf numFmtId="0" fontId="10" fillId="18" borderId="26" xfId="0" applyFont="1" applyFill="1" applyBorder="1" applyAlignment="1">
      <alignment horizontal="center" vertical="center" wrapText="1"/>
    </xf>
    <xf numFmtId="0" fontId="12" fillId="19" borderId="26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21" borderId="25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9" fontId="19" fillId="0" borderId="25" xfId="1" applyFont="1" applyBorder="1" applyAlignment="1">
      <alignment horizontal="center" vertical="center"/>
    </xf>
    <xf numFmtId="9" fontId="19" fillId="16" borderId="25" xfId="1" applyFont="1" applyFill="1" applyBorder="1" applyAlignment="1">
      <alignment horizontal="center" vertical="center"/>
    </xf>
    <xf numFmtId="0" fontId="20" fillId="0" borderId="0" xfId="0" applyFont="1"/>
    <xf numFmtId="0" fontId="21" fillId="2" borderId="0" xfId="0" applyFont="1" applyFill="1" applyAlignment="1">
      <alignment horizontal="center" vertical="center" wrapText="1"/>
    </xf>
    <xf numFmtId="2" fontId="22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49" fontId="22" fillId="2" borderId="0" xfId="0" applyNumberFormat="1" applyFont="1" applyFill="1" applyAlignment="1">
      <alignment horizontal="center" vertical="center"/>
    </xf>
    <xf numFmtId="0" fontId="13" fillId="3" borderId="39" xfId="0" applyFont="1" applyFill="1" applyBorder="1" applyAlignment="1">
      <alignment horizontal="right"/>
    </xf>
    <xf numFmtId="0" fontId="13" fillId="5" borderId="41" xfId="0" applyFont="1" applyFill="1" applyBorder="1"/>
    <xf numFmtId="0" fontId="13" fillId="6" borderId="0" xfId="0" applyFont="1" applyFill="1"/>
    <xf numFmtId="0" fontId="15" fillId="6" borderId="0" xfId="0" applyFont="1" applyFill="1" applyAlignment="1">
      <alignment horizontal="center" vertical="center"/>
    </xf>
    <xf numFmtId="0" fontId="0" fillId="0" borderId="0" xfId="0" applyAlignment="1">
      <alignment horizontal="left" indent="1"/>
    </xf>
    <xf numFmtId="0" fontId="23" fillId="0" borderId="0" xfId="0" applyFont="1" applyAlignment="1">
      <alignment horizontal="left"/>
    </xf>
    <xf numFmtId="0" fontId="11" fillId="22" borderId="24" xfId="0" applyFont="1" applyFill="1" applyBorder="1" applyAlignment="1">
      <alignment horizontal="left" vertical="center" wrapText="1" indent="1"/>
    </xf>
    <xf numFmtId="0" fontId="11" fillId="23" borderId="2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 wrapText="1" indent="1"/>
    </xf>
    <xf numFmtId="9" fontId="10" fillId="0" borderId="0" xfId="1" applyFont="1" applyFill="1" applyBorder="1" applyAlignment="1">
      <alignment horizontal="right" vertical="center" wrapText="1" indent="1"/>
    </xf>
    <xf numFmtId="0" fontId="26" fillId="3" borderId="0" xfId="0" applyFont="1" applyFill="1"/>
    <xf numFmtId="0" fontId="26" fillId="6" borderId="0" xfId="0" applyFont="1" applyFill="1"/>
    <xf numFmtId="0" fontId="27" fillId="3" borderId="42" xfId="0" applyFont="1" applyFill="1" applyBorder="1" applyAlignment="1">
      <alignment horizontal="right" vertical="center" indent="1"/>
    </xf>
    <xf numFmtId="0" fontId="28" fillId="0" borderId="0" xfId="0" applyFont="1" applyAlignment="1">
      <alignment horizontal="center"/>
    </xf>
    <xf numFmtId="0" fontId="31" fillId="5" borderId="42" xfId="0" applyFont="1" applyFill="1" applyBorder="1" applyAlignment="1">
      <alignment vertical="center"/>
    </xf>
    <xf numFmtId="9" fontId="32" fillId="3" borderId="42" xfId="0" applyNumberFormat="1" applyFont="1" applyFill="1" applyBorder="1" applyAlignment="1">
      <alignment horizontal="center" vertical="center"/>
    </xf>
    <xf numFmtId="2" fontId="32" fillId="3" borderId="42" xfId="0" applyNumberFormat="1" applyFont="1" applyFill="1" applyBorder="1" applyAlignment="1">
      <alignment horizontal="center" vertical="center"/>
    </xf>
    <xf numFmtId="0" fontId="24" fillId="11" borderId="44" xfId="0" applyFont="1" applyFill="1" applyBorder="1" applyAlignment="1">
      <alignment horizontal="right" vertical="center" wrapText="1" indent="1"/>
    </xf>
    <xf numFmtId="0" fontId="11" fillId="9" borderId="24" xfId="0" applyFont="1" applyFill="1" applyBorder="1" applyAlignment="1">
      <alignment horizontal="center" vertical="center" wrapText="1"/>
    </xf>
    <xf numFmtId="0" fontId="11" fillId="9" borderId="43" xfId="0" applyFont="1" applyFill="1" applyBorder="1" applyAlignment="1">
      <alignment horizontal="center" vertical="center" wrapText="1"/>
    </xf>
    <xf numFmtId="10" fontId="10" fillId="6" borderId="25" xfId="0" applyNumberFormat="1" applyFont="1" applyFill="1" applyBorder="1" applyAlignment="1">
      <alignment horizontal="right" vertical="center" wrapText="1" indent="1"/>
    </xf>
    <xf numFmtId="10" fontId="10" fillId="11" borderId="45" xfId="0" applyNumberFormat="1" applyFont="1" applyFill="1" applyBorder="1" applyAlignment="1">
      <alignment horizontal="right" vertical="center" wrapText="1" indent="1"/>
    </xf>
    <xf numFmtId="0" fontId="0" fillId="25" borderId="39" xfId="0" applyFill="1" applyBorder="1"/>
    <xf numFmtId="0" fontId="0" fillId="25" borderId="16" xfId="0" applyFill="1" applyBorder="1" applyAlignment="1">
      <alignment horizontal="right"/>
    </xf>
    <xf numFmtId="0" fontId="0" fillId="25" borderId="16" xfId="0" applyFill="1" applyBorder="1"/>
    <xf numFmtId="0" fontId="0" fillId="25" borderId="40" xfId="0" applyFill="1" applyBorder="1"/>
    <xf numFmtId="0" fontId="0" fillId="6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34" fillId="3" borderId="0" xfId="0" applyFont="1" applyFill="1" applyAlignment="1">
      <alignment horizontal="left" vertical="center"/>
    </xf>
    <xf numFmtId="0" fontId="35" fillId="6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3" borderId="39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3" borderId="49" xfId="0" applyFill="1" applyBorder="1" applyAlignment="1">
      <alignment vertical="center"/>
    </xf>
    <xf numFmtId="0" fontId="0" fillId="0" borderId="49" xfId="0" applyBorder="1" applyAlignment="1" applyProtection="1">
      <alignment vertical="center"/>
      <protection hidden="1"/>
    </xf>
    <xf numFmtId="3" fontId="0" fillId="0" borderId="49" xfId="0" applyNumberFormat="1" applyBorder="1" applyAlignment="1" applyProtection="1">
      <alignment vertical="center"/>
      <protection locked="0"/>
    </xf>
    <xf numFmtId="3" fontId="2" fillId="3" borderId="49" xfId="0" applyNumberFormat="1" applyFont="1" applyFill="1" applyBorder="1" applyAlignment="1" applyProtection="1">
      <alignment vertical="center"/>
      <protection hidden="1"/>
    </xf>
    <xf numFmtId="164" fontId="0" fillId="0" borderId="49" xfId="1" applyNumberFormat="1" applyFont="1" applyBorder="1" applyAlignment="1" applyProtection="1">
      <alignment vertical="center"/>
      <protection locked="0"/>
    </xf>
    <xf numFmtId="164" fontId="2" fillId="3" borderId="49" xfId="1" applyNumberFormat="1" applyFont="1" applyFill="1" applyBorder="1" applyAlignment="1" applyProtection="1">
      <alignment vertical="center"/>
      <protection hidden="1"/>
    </xf>
    <xf numFmtId="1" fontId="0" fillId="0" borderId="49" xfId="0" applyNumberFormat="1" applyBorder="1" applyAlignment="1" applyProtection="1">
      <alignment vertical="center"/>
      <protection locked="0"/>
    </xf>
    <xf numFmtId="0" fontId="0" fillId="0" borderId="50" xfId="0" applyBorder="1"/>
    <xf numFmtId="0" fontId="0" fillId="0" borderId="51" xfId="0" applyBorder="1"/>
    <xf numFmtId="0" fontId="2" fillId="0" borderId="0" xfId="0" applyFont="1" applyAlignment="1">
      <alignment horizontal="left" indent="5"/>
    </xf>
    <xf numFmtId="0" fontId="2" fillId="6" borderId="0" xfId="0" applyFont="1" applyFill="1"/>
    <xf numFmtId="0" fontId="3" fillId="6" borderId="0" xfId="0" applyFont="1" applyFill="1" applyAlignment="1">
      <alignment horizontal="left" indent="5"/>
    </xf>
    <xf numFmtId="3" fontId="0" fillId="6" borderId="0" xfId="0" applyNumberFormat="1" applyFill="1"/>
    <xf numFmtId="0" fontId="3" fillId="6" borderId="0" xfId="0" applyFont="1" applyFill="1"/>
    <xf numFmtId="3" fontId="37" fillId="6" borderId="0" xfId="0" applyNumberFormat="1" applyFont="1" applyFill="1"/>
    <xf numFmtId="0" fontId="37" fillId="6" borderId="0" xfId="0" applyFont="1" applyFill="1"/>
    <xf numFmtId="0" fontId="36" fillId="6" borderId="0" xfId="0" applyFont="1" applyFill="1"/>
    <xf numFmtId="0" fontId="37" fillId="6" borderId="0" xfId="0" applyFont="1" applyFill="1" applyAlignment="1">
      <alignment horizontal="left" indent="2"/>
    </xf>
    <xf numFmtId="0" fontId="36" fillId="6" borderId="0" xfId="0" applyFont="1" applyFill="1" applyAlignment="1">
      <alignment vertical="center"/>
    </xf>
    <xf numFmtId="3" fontId="37" fillId="6" borderId="0" xfId="0" applyNumberFormat="1" applyFont="1" applyFill="1" applyAlignment="1">
      <alignment vertical="center"/>
    </xf>
    <xf numFmtId="0" fontId="37" fillId="6" borderId="0" xfId="0" applyFont="1" applyFill="1" applyAlignment="1">
      <alignment vertical="center"/>
    </xf>
    <xf numFmtId="0" fontId="37" fillId="6" borderId="0" xfId="0" applyFont="1" applyFill="1" applyAlignment="1">
      <alignment horizontal="left" vertical="center" indent="2"/>
    </xf>
    <xf numFmtId="0" fontId="0" fillId="6" borderId="0" xfId="0" applyFill="1" applyAlignment="1">
      <alignment horizontal="left" vertical="center" indent="2"/>
    </xf>
    <xf numFmtId="0" fontId="0" fillId="21" borderId="0" xfId="0" applyFill="1"/>
    <xf numFmtId="0" fontId="40" fillId="21" borderId="0" xfId="0" applyFont="1" applyFill="1"/>
    <xf numFmtId="3" fontId="40" fillId="21" borderId="0" xfId="0" applyNumberFormat="1" applyFont="1" applyFill="1"/>
    <xf numFmtId="0" fontId="40" fillId="16" borderId="0" xfId="0" applyFont="1" applyFill="1"/>
    <xf numFmtId="0" fontId="41" fillId="21" borderId="0" xfId="0" applyFont="1" applyFill="1"/>
    <xf numFmtId="0" fontId="8" fillId="21" borderId="0" xfId="0" applyFont="1" applyFill="1"/>
    <xf numFmtId="0" fontId="8" fillId="16" borderId="0" xfId="0" applyFont="1" applyFill="1"/>
    <xf numFmtId="3" fontId="8" fillId="16" borderId="0" xfId="0" applyNumberFormat="1" applyFont="1" applyFill="1"/>
    <xf numFmtId="0" fontId="38" fillId="6" borderId="0" xfId="0" applyFont="1" applyFill="1"/>
    <xf numFmtId="3" fontId="38" fillId="6" borderId="0" xfId="0" applyNumberFormat="1" applyFont="1" applyFill="1"/>
    <xf numFmtId="0" fontId="37" fillId="6" borderId="0" xfId="0" applyFont="1" applyFill="1" applyAlignment="1">
      <alignment horizontal="right"/>
    </xf>
    <xf numFmtId="0" fontId="41" fillId="16" borderId="0" xfId="0" applyFont="1" applyFill="1"/>
    <xf numFmtId="3" fontId="40" fillId="16" borderId="0" xfId="0" applyNumberFormat="1" applyFont="1" applyFill="1"/>
    <xf numFmtId="3" fontId="8" fillId="21" borderId="0" xfId="0" applyNumberFormat="1" applyFont="1" applyFill="1"/>
    <xf numFmtId="0" fontId="42" fillId="11" borderId="53" xfId="0" applyFont="1" applyFill="1" applyBorder="1"/>
    <xf numFmtId="0" fontId="43" fillId="11" borderId="53" xfId="0" applyFont="1" applyFill="1" applyBorder="1"/>
    <xf numFmtId="3" fontId="42" fillId="11" borderId="53" xfId="0" applyNumberFormat="1" applyFont="1" applyFill="1" applyBorder="1"/>
    <xf numFmtId="0" fontId="0" fillId="16" borderId="0" xfId="0" applyFill="1"/>
    <xf numFmtId="0" fontId="2" fillId="16" borderId="0" xfId="0" applyFont="1" applyFill="1"/>
    <xf numFmtId="0" fontId="8" fillId="21" borderId="0" xfId="0" applyFont="1" applyFill="1" applyAlignment="1">
      <alignment vertical="center"/>
    </xf>
    <xf numFmtId="0" fontId="39" fillId="21" borderId="0" xfId="0" applyFont="1" applyFill="1" applyAlignment="1">
      <alignment vertical="center"/>
    </xf>
    <xf numFmtId="3" fontId="8" fillId="21" borderId="0" xfId="0" applyNumberFormat="1" applyFont="1" applyFill="1" applyAlignment="1">
      <alignment vertical="center"/>
    </xf>
    <xf numFmtId="0" fontId="8" fillId="16" borderId="0" xfId="0" applyFont="1" applyFill="1" applyAlignment="1">
      <alignment vertical="center"/>
    </xf>
    <xf numFmtId="0" fontId="39" fillId="16" borderId="0" xfId="0" applyFont="1" applyFill="1" applyAlignment="1">
      <alignment vertical="center"/>
    </xf>
    <xf numFmtId="3" fontId="8" fillId="16" borderId="0" xfId="0" applyNumberFormat="1" applyFont="1" applyFill="1" applyAlignment="1">
      <alignment vertical="center"/>
    </xf>
    <xf numFmtId="0" fontId="0" fillId="11" borderId="54" xfId="0" applyFill="1" applyBorder="1" applyAlignment="1">
      <alignment vertical="center"/>
    </xf>
    <xf numFmtId="0" fontId="36" fillId="11" borderId="54" xfId="0" applyFont="1" applyFill="1" applyBorder="1" applyAlignment="1">
      <alignment vertical="center"/>
    </xf>
    <xf numFmtId="0" fontId="36" fillId="0" borderId="0" xfId="0" applyFont="1"/>
    <xf numFmtId="0" fontId="37" fillId="0" borderId="0" xfId="0" applyFont="1"/>
    <xf numFmtId="3" fontId="37" fillId="0" borderId="0" xfId="0" applyNumberFormat="1" applyFont="1"/>
    <xf numFmtId="0" fontId="37" fillId="0" borderId="0" xfId="0" applyFont="1" applyAlignment="1">
      <alignment horizontal="left" indent="2"/>
    </xf>
    <xf numFmtId="0" fontId="37" fillId="0" borderId="0" xfId="0" applyFont="1" applyAlignment="1">
      <alignment horizontal="right"/>
    </xf>
    <xf numFmtId="0" fontId="39" fillId="21" borderId="0" xfId="0" applyFont="1" applyFill="1"/>
    <xf numFmtId="17" fontId="39" fillId="21" borderId="0" xfId="0" applyNumberFormat="1" applyFont="1" applyFill="1"/>
    <xf numFmtId="17" fontId="39" fillId="21" borderId="0" xfId="0" applyNumberFormat="1" applyFont="1" applyFill="1" applyAlignment="1">
      <alignment horizontal="center"/>
    </xf>
    <xf numFmtId="0" fontId="8" fillId="21" borderId="0" xfId="0" applyFont="1" applyFill="1" applyAlignment="1">
      <alignment horizontal="left" indent="1"/>
    </xf>
    <xf numFmtId="3" fontId="37" fillId="0" borderId="0" xfId="0" applyNumberFormat="1" applyFont="1" applyAlignment="1">
      <alignment horizontal="right"/>
    </xf>
    <xf numFmtId="0" fontId="36" fillId="0" borderId="0" xfId="0" applyFont="1" applyAlignment="1">
      <alignment horizontal="left" indent="2"/>
    </xf>
    <xf numFmtId="0" fontId="36" fillId="0" borderId="0" xfId="0" applyFont="1" applyAlignment="1">
      <alignment horizontal="left"/>
    </xf>
    <xf numFmtId="0" fontId="39" fillId="21" borderId="0" xfId="0" applyFont="1" applyFill="1" applyAlignment="1">
      <alignment horizontal="left" indent="2"/>
    </xf>
    <xf numFmtId="3" fontId="8" fillId="21" borderId="0" xfId="0" applyNumberFormat="1" applyFont="1" applyFill="1" applyAlignment="1">
      <alignment horizontal="right"/>
    </xf>
    <xf numFmtId="0" fontId="39" fillId="16" borderId="0" xfId="0" applyFont="1" applyFill="1" applyAlignment="1">
      <alignment horizontal="left" indent="2"/>
    </xf>
    <xf numFmtId="3" fontId="8" fillId="16" borderId="0" xfId="0" applyNumberFormat="1" applyFont="1" applyFill="1" applyAlignment="1">
      <alignment horizontal="right"/>
    </xf>
    <xf numFmtId="0" fontId="39" fillId="16" borderId="0" xfId="0" applyFont="1" applyFill="1"/>
    <xf numFmtId="0" fontId="8" fillId="16" borderId="0" xfId="0" applyFont="1" applyFill="1" applyAlignment="1">
      <alignment horizontal="right"/>
    </xf>
    <xf numFmtId="3" fontId="0" fillId="0" borderId="4" xfId="0" applyNumberFormat="1" applyBorder="1"/>
    <xf numFmtId="9" fontId="0" fillId="0" borderId="3" xfId="0" applyNumberFormat="1" applyBorder="1"/>
    <xf numFmtId="9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0" fontId="43" fillId="16" borderId="0" xfId="0" applyFont="1" applyFill="1"/>
    <xf numFmtId="0" fontId="43" fillId="16" borderId="0" xfId="0" applyFont="1" applyFill="1" applyAlignment="1">
      <alignment horizontal="center"/>
    </xf>
    <xf numFmtId="3" fontId="2" fillId="0" borderId="0" xfId="0" applyNumberFormat="1" applyFont="1"/>
    <xf numFmtId="0" fontId="0" fillId="6" borderId="55" xfId="0" applyFill="1" applyBorder="1"/>
    <xf numFmtId="0" fontId="0" fillId="6" borderId="7" xfId="0" applyFill="1" applyBorder="1"/>
    <xf numFmtId="3" fontId="0" fillId="6" borderId="7" xfId="0" applyNumberFormat="1" applyFill="1" applyBorder="1"/>
    <xf numFmtId="0" fontId="8" fillId="16" borderId="56" xfId="0" applyFont="1" applyFill="1" applyBorder="1" applyAlignment="1">
      <alignment horizontal="left" indent="1"/>
    </xf>
    <xf numFmtId="0" fontId="8" fillId="16" borderId="56" xfId="0" applyFont="1" applyFill="1" applyBorder="1"/>
    <xf numFmtId="17" fontId="41" fillId="16" borderId="0" xfId="0" applyNumberFormat="1" applyFont="1" applyFill="1" applyAlignment="1">
      <alignment horizontal="center"/>
    </xf>
    <xf numFmtId="0" fontId="41" fillId="21" borderId="0" xfId="0" applyFont="1" applyFill="1" applyAlignment="1">
      <alignment horizontal="center"/>
    </xf>
    <xf numFmtId="0" fontId="39" fillId="16" borderId="0" xfId="0" applyFont="1" applyFill="1" applyAlignment="1">
      <alignment horizontal="center"/>
    </xf>
    <xf numFmtId="0" fontId="8" fillId="16" borderId="0" xfId="0" applyFont="1" applyFill="1" applyAlignment="1">
      <alignment horizontal="left" indent="1"/>
    </xf>
    <xf numFmtId="3" fontId="0" fillId="0" borderId="0" xfId="0" applyNumberFormat="1" applyAlignment="1">
      <alignment horizontal="center"/>
    </xf>
    <xf numFmtId="17" fontId="39" fillId="16" borderId="0" xfId="0" applyNumberFormat="1" applyFont="1" applyFill="1" applyAlignment="1">
      <alignment horizontal="center"/>
    </xf>
    <xf numFmtId="0" fontId="39" fillId="21" borderId="0" xfId="0" applyFont="1" applyFill="1" applyAlignment="1">
      <alignment horizontal="center"/>
    </xf>
    <xf numFmtId="0" fontId="0" fillId="2" borderId="0" xfId="0" applyFill="1"/>
    <xf numFmtId="3" fontId="2" fillId="0" borderId="0" xfId="0" applyNumberFormat="1" applyFont="1" applyAlignment="1">
      <alignment horizontal="center"/>
    </xf>
    <xf numFmtId="0" fontId="8" fillId="21" borderId="0" xfId="0" applyFont="1" applyFill="1" applyAlignment="1">
      <alignment horizontal="center"/>
    </xf>
    <xf numFmtId="3" fontId="8" fillId="21" borderId="0" xfId="0" applyNumberFormat="1" applyFont="1" applyFill="1" applyAlignment="1">
      <alignment horizontal="center"/>
    </xf>
    <xf numFmtId="3" fontId="8" fillId="16" borderId="56" xfId="0" applyNumberFormat="1" applyFont="1" applyFill="1" applyBorder="1" applyAlignment="1">
      <alignment horizontal="center"/>
    </xf>
    <xf numFmtId="3" fontId="8" fillId="16" borderId="0" xfId="0" applyNumberFormat="1" applyFon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3" fontId="37" fillId="0" borderId="55" xfId="0" applyNumberFormat="1" applyFont="1" applyBorder="1"/>
    <xf numFmtId="3" fontId="38" fillId="0" borderId="0" xfId="0" applyNumberFormat="1" applyFont="1"/>
    <xf numFmtId="3" fontId="0" fillId="11" borderId="52" xfId="0" applyNumberFormat="1" applyFill="1" applyBorder="1"/>
    <xf numFmtId="3" fontId="0" fillId="4" borderId="9" xfId="0" applyNumberFormat="1" applyFill="1" applyBorder="1" applyAlignment="1">
      <alignment horizontal="center"/>
    </xf>
    <xf numFmtId="0" fontId="39" fillId="21" borderId="9" xfId="0" applyFont="1" applyFill="1" applyBorder="1" applyAlignment="1">
      <alignment horizontal="center"/>
    </xf>
    <xf numFmtId="0" fontId="39" fillId="21" borderId="11" xfId="0" applyFont="1" applyFill="1" applyBorder="1" applyAlignment="1">
      <alignment horizontal="center"/>
    </xf>
    <xf numFmtId="0" fontId="39" fillId="21" borderId="10" xfId="0" applyFont="1" applyFill="1" applyBorder="1" applyAlignment="1">
      <alignment horizontal="center"/>
    </xf>
    <xf numFmtId="3" fontId="0" fillId="24" borderId="12" xfId="0" applyNumberFormat="1" applyFill="1" applyBorder="1" applyAlignment="1">
      <alignment horizontal="left"/>
    </xf>
    <xf numFmtId="3" fontId="0" fillId="24" borderId="13" xfId="0" applyNumberFormat="1" applyFill="1" applyBorder="1" applyAlignment="1">
      <alignment horizontal="left"/>
    </xf>
    <xf numFmtId="3" fontId="0" fillId="24" borderId="14" xfId="0" applyNumberFormat="1" applyFill="1" applyBorder="1" applyAlignment="1">
      <alignment horizontal="left"/>
    </xf>
    <xf numFmtId="3" fontId="0" fillId="24" borderId="15" xfId="0" applyNumberFormat="1" applyFill="1" applyBorder="1" applyAlignment="1">
      <alignment horizontal="left"/>
    </xf>
    <xf numFmtId="3" fontId="0" fillId="24" borderId="16" xfId="0" applyNumberFormat="1" applyFill="1" applyBorder="1" applyAlignment="1">
      <alignment horizontal="left"/>
    </xf>
    <xf numFmtId="3" fontId="0" fillId="24" borderId="17" xfId="0" applyNumberFormat="1" applyFill="1" applyBorder="1" applyAlignment="1">
      <alignment horizontal="left"/>
    </xf>
    <xf numFmtId="3" fontId="10" fillId="6" borderId="25" xfId="0" applyNumberFormat="1" applyFont="1" applyFill="1" applyBorder="1" applyAlignment="1">
      <alignment horizontal="right" vertical="center" wrapText="1" indent="1"/>
    </xf>
    <xf numFmtId="3" fontId="10" fillId="24" borderId="25" xfId="0" applyNumberFormat="1" applyFont="1" applyFill="1" applyBorder="1" applyAlignment="1">
      <alignment horizontal="center" vertical="center" wrapText="1"/>
    </xf>
    <xf numFmtId="3" fontId="10" fillId="24" borderId="25" xfId="0" applyNumberFormat="1" applyFont="1" applyFill="1" applyBorder="1" applyAlignment="1">
      <alignment horizontal="right" vertical="center" wrapText="1" indent="1"/>
    </xf>
    <xf numFmtId="3" fontId="10" fillId="6" borderId="21" xfId="0" applyNumberFormat="1" applyFont="1" applyFill="1" applyBorder="1" applyAlignment="1">
      <alignment horizontal="right" vertical="center" wrapText="1" indent="1"/>
    </xf>
    <xf numFmtId="3" fontId="10" fillId="11" borderId="45" xfId="0" applyNumberFormat="1" applyFont="1" applyFill="1" applyBorder="1" applyAlignment="1">
      <alignment horizontal="right" vertical="center" wrapText="1" indent="1"/>
    </xf>
    <xf numFmtId="3" fontId="10" fillId="11" borderId="45" xfId="0" applyNumberFormat="1" applyFont="1" applyFill="1" applyBorder="1" applyAlignment="1">
      <alignment horizontal="center" vertical="center" wrapText="1"/>
    </xf>
    <xf numFmtId="3" fontId="10" fillId="0" borderId="25" xfId="2" applyNumberFormat="1" applyFont="1" applyBorder="1" applyAlignment="1">
      <alignment horizontal="left" vertical="center" wrapText="1" indent="1"/>
    </xf>
    <xf numFmtId="3" fontId="10" fillId="0" borderId="25" xfId="0" applyNumberFormat="1" applyFont="1" applyBorder="1" applyAlignment="1">
      <alignment horizontal="left" vertical="center" wrapText="1" indent="1"/>
    </xf>
    <xf numFmtId="3" fontId="10" fillId="3" borderId="25" xfId="2" applyNumberFormat="1" applyFont="1" applyFill="1" applyBorder="1" applyAlignment="1">
      <alignment horizontal="left" vertical="center" wrapText="1" indent="1"/>
    </xf>
    <xf numFmtId="3" fontId="10" fillId="3" borderId="25" xfId="0" applyNumberFormat="1" applyFont="1" applyFill="1" applyBorder="1" applyAlignment="1">
      <alignment horizontal="left" vertical="center" wrapText="1" indent="1"/>
    </xf>
    <xf numFmtId="3" fontId="9" fillId="0" borderId="0" xfId="0" applyNumberFormat="1" applyFont="1" applyAlignment="1">
      <alignment horizontal="left" vertical="center" wrapText="1" indent="1"/>
    </xf>
    <xf numFmtId="3" fontId="10" fillId="0" borderId="26" xfId="0" applyNumberFormat="1" applyFont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/>
    </xf>
    <xf numFmtId="0" fontId="0" fillId="26" borderId="0" xfId="0" applyFill="1"/>
    <xf numFmtId="0" fontId="0" fillId="26" borderId="0" xfId="0" applyFill="1" applyAlignment="1">
      <alignment horizontal="center"/>
    </xf>
    <xf numFmtId="0" fontId="39" fillId="21" borderId="49" xfId="0" applyFont="1" applyFill="1" applyBorder="1" applyAlignment="1">
      <alignment horizontal="center" vertical="center"/>
    </xf>
    <xf numFmtId="0" fontId="39" fillId="21" borderId="49" xfId="0" applyFont="1" applyFill="1" applyBorder="1" applyAlignment="1" applyProtection="1">
      <alignment horizontal="center" vertical="center"/>
      <protection hidden="1"/>
    </xf>
    <xf numFmtId="0" fontId="0" fillId="3" borderId="14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3" fontId="0" fillId="24" borderId="59" xfId="0" applyNumberFormat="1" applyFill="1" applyBorder="1" applyAlignment="1">
      <alignment horizontal="left"/>
    </xf>
    <xf numFmtId="3" fontId="0" fillId="24" borderId="60" xfId="0" applyNumberFormat="1" applyFill="1" applyBorder="1" applyAlignment="1">
      <alignment horizontal="left"/>
    </xf>
    <xf numFmtId="3" fontId="0" fillId="24" borderId="61" xfId="0" applyNumberFormat="1" applyFill="1" applyBorder="1" applyAlignment="1">
      <alignment horizontal="left"/>
    </xf>
    <xf numFmtId="0" fontId="0" fillId="0" borderId="16" xfId="0" applyBorder="1"/>
    <xf numFmtId="0" fontId="0" fillId="0" borderId="62" xfId="0" applyBorder="1"/>
    <xf numFmtId="0" fontId="0" fillId="0" borderId="63" xfId="0" applyBorder="1"/>
    <xf numFmtId="0" fontId="0" fillId="0" borderId="41" xfId="0" applyBorder="1"/>
    <xf numFmtId="0" fontId="0" fillId="6" borderId="41" xfId="0" applyFill="1" applyBorder="1"/>
    <xf numFmtId="0" fontId="2" fillId="6" borderId="41" xfId="0" applyFont="1" applyFill="1" applyBorder="1"/>
    <xf numFmtId="0" fontId="0" fillId="6" borderId="64" xfId="0" applyFill="1" applyBorder="1"/>
    <xf numFmtId="0" fontId="3" fillId="6" borderId="65" xfId="0" applyFont="1" applyFill="1" applyBorder="1"/>
    <xf numFmtId="0" fontId="0" fillId="6" borderId="65" xfId="0" applyFill="1" applyBorder="1"/>
    <xf numFmtId="0" fontId="0" fillId="6" borderId="66" xfId="0" applyFill="1" applyBorder="1"/>
    <xf numFmtId="0" fontId="0" fillId="6" borderId="67" xfId="0" applyFill="1" applyBorder="1"/>
    <xf numFmtId="0" fontId="0" fillId="6" borderId="49" xfId="0" applyFill="1" applyBorder="1"/>
    <xf numFmtId="0" fontId="0" fillId="6" borderId="68" xfId="0" applyFill="1" applyBorder="1"/>
    <xf numFmtId="0" fontId="2" fillId="6" borderId="68" xfId="0" applyFont="1" applyFill="1" applyBorder="1"/>
    <xf numFmtId="0" fontId="0" fillId="0" borderId="67" xfId="0" applyBorder="1"/>
    <xf numFmtId="0" fontId="0" fillId="0" borderId="49" xfId="0" applyBorder="1"/>
    <xf numFmtId="0" fontId="0" fillId="0" borderId="68" xfId="0" applyBorder="1"/>
    <xf numFmtId="0" fontId="37" fillId="6" borderId="67" xfId="0" applyFont="1" applyFill="1" applyBorder="1" applyAlignment="1">
      <alignment horizontal="left" indent="2"/>
    </xf>
    <xf numFmtId="9" fontId="0" fillId="0" borderId="49" xfId="0" applyNumberFormat="1" applyBorder="1"/>
    <xf numFmtId="9" fontId="0" fillId="6" borderId="49" xfId="0" applyNumberFormat="1" applyFill="1" applyBorder="1"/>
    <xf numFmtId="0" fontId="37" fillId="6" borderId="49" xfId="0" applyFont="1" applyFill="1" applyBorder="1" applyAlignment="1">
      <alignment horizontal="left" indent="2"/>
    </xf>
    <xf numFmtId="3" fontId="37" fillId="6" borderId="49" xfId="0" applyNumberFormat="1" applyFont="1" applyFill="1" applyBorder="1"/>
    <xf numFmtId="0" fontId="40" fillId="21" borderId="69" xfId="0" applyFont="1" applyFill="1" applyBorder="1"/>
    <xf numFmtId="0" fontId="41" fillId="21" borderId="70" xfId="0" applyFont="1" applyFill="1" applyBorder="1"/>
    <xf numFmtId="0" fontId="40" fillId="21" borderId="70" xfId="0" applyFont="1" applyFill="1" applyBorder="1"/>
    <xf numFmtId="0" fontId="40" fillId="13" borderId="70" xfId="0" applyFont="1" applyFill="1" applyBorder="1" applyAlignment="1">
      <alignment horizontal="center"/>
    </xf>
    <xf numFmtId="0" fontId="41" fillId="21" borderId="70" xfId="0" applyFont="1" applyFill="1" applyBorder="1" applyAlignment="1">
      <alignment horizontal="center"/>
    </xf>
    <xf numFmtId="0" fontId="40" fillId="16" borderId="69" xfId="0" applyFont="1" applyFill="1" applyBorder="1"/>
    <xf numFmtId="0" fontId="41" fillId="16" borderId="70" xfId="0" applyFont="1" applyFill="1" applyBorder="1"/>
    <xf numFmtId="0" fontId="40" fillId="16" borderId="70" xfId="0" applyFont="1" applyFill="1" applyBorder="1"/>
    <xf numFmtId="17" fontId="41" fillId="16" borderId="70" xfId="0" applyNumberFormat="1" applyFont="1" applyFill="1" applyBorder="1" applyAlignment="1">
      <alignment horizontal="center"/>
    </xf>
    <xf numFmtId="17" fontId="41" fillId="16" borderId="71" xfId="0" applyNumberFormat="1" applyFont="1" applyFill="1" applyBorder="1" applyAlignment="1">
      <alignment horizontal="center"/>
    </xf>
    <xf numFmtId="3" fontId="40" fillId="13" borderId="70" xfId="0" applyNumberFormat="1" applyFont="1" applyFill="1" applyBorder="1" applyAlignment="1">
      <alignment horizontal="center"/>
    </xf>
    <xf numFmtId="3" fontId="40" fillId="21" borderId="70" xfId="0" applyNumberFormat="1" applyFont="1" applyFill="1" applyBorder="1"/>
    <xf numFmtId="3" fontId="40" fillId="21" borderId="71" xfId="0" applyNumberFormat="1" applyFont="1" applyFill="1" applyBorder="1"/>
    <xf numFmtId="3" fontId="40" fillId="13" borderId="70" xfId="0" applyNumberFormat="1" applyFont="1" applyFill="1" applyBorder="1"/>
    <xf numFmtId="3" fontId="40" fillId="16" borderId="70" xfId="0" applyNumberFormat="1" applyFont="1" applyFill="1" applyBorder="1"/>
    <xf numFmtId="0" fontId="41" fillId="16" borderId="69" xfId="0" applyFont="1" applyFill="1" applyBorder="1"/>
    <xf numFmtId="0" fontId="0" fillId="16" borderId="70" xfId="0" applyFill="1" applyBorder="1"/>
    <xf numFmtId="0" fontId="39" fillId="16" borderId="71" xfId="0" applyFont="1" applyFill="1" applyBorder="1" applyAlignment="1">
      <alignment horizontal="center"/>
    </xf>
    <xf numFmtId="3" fontId="0" fillId="6" borderId="72" xfId="0" applyNumberFormat="1" applyFill="1" applyBorder="1"/>
    <xf numFmtId="0" fontId="0" fillId="16" borderId="68" xfId="0" applyFill="1" applyBorder="1"/>
    <xf numFmtId="3" fontId="8" fillId="21" borderId="68" xfId="0" applyNumberFormat="1" applyFont="1" applyFill="1" applyBorder="1"/>
    <xf numFmtId="3" fontId="8" fillId="16" borderId="72" xfId="0" applyNumberFormat="1" applyFont="1" applyFill="1" applyBorder="1"/>
    <xf numFmtId="0" fontId="39" fillId="21" borderId="68" xfId="0" applyFont="1" applyFill="1" applyBorder="1" applyAlignment="1">
      <alignment horizontal="center"/>
    </xf>
    <xf numFmtId="3" fontId="0" fillId="27" borderId="40" xfId="0" applyNumberFormat="1" applyFill="1" applyBorder="1"/>
    <xf numFmtId="0" fontId="0" fillId="27" borderId="40" xfId="0" applyFill="1" applyBorder="1"/>
    <xf numFmtId="0" fontId="38" fillId="6" borderId="0" xfId="0" applyFont="1" applyFill="1" applyAlignment="1">
      <alignment horizontal="right"/>
    </xf>
    <xf numFmtId="3" fontId="0" fillId="11" borderId="74" xfId="0" applyNumberFormat="1" applyFill="1" applyBorder="1"/>
    <xf numFmtId="3" fontId="0" fillId="11" borderId="75" xfId="0" applyNumberFormat="1" applyFill="1" applyBorder="1"/>
    <xf numFmtId="3" fontId="44" fillId="11" borderId="76" xfId="0" applyNumberFormat="1" applyFont="1" applyFill="1" applyBorder="1" applyAlignment="1">
      <alignment vertical="center"/>
    </xf>
    <xf numFmtId="3" fontId="44" fillId="11" borderId="74" xfId="0" applyNumberFormat="1" applyFont="1" applyFill="1" applyBorder="1"/>
    <xf numFmtId="3" fontId="44" fillId="11" borderId="54" xfId="0" applyNumberFormat="1" applyFont="1" applyFill="1" applyBorder="1" applyAlignment="1">
      <alignment vertical="center"/>
    </xf>
    <xf numFmtId="3" fontId="44" fillId="11" borderId="53" xfId="0" applyNumberFormat="1" applyFont="1" applyFill="1" applyBorder="1" applyAlignment="1">
      <alignment vertical="center"/>
    </xf>
    <xf numFmtId="3" fontId="44" fillId="11" borderId="52" xfId="0" applyNumberFormat="1" applyFont="1" applyFill="1" applyBorder="1"/>
    <xf numFmtId="0" fontId="0" fillId="6" borderId="77" xfId="0" applyFill="1" applyBorder="1"/>
    <xf numFmtId="3" fontId="37" fillId="6" borderId="78" xfId="0" applyNumberFormat="1" applyFont="1" applyFill="1" applyBorder="1"/>
    <xf numFmtId="0" fontId="0" fillId="6" borderId="79" xfId="0" applyFill="1" applyBorder="1"/>
    <xf numFmtId="0" fontId="0" fillId="6" borderId="80" xfId="0" applyFill="1" applyBorder="1"/>
    <xf numFmtId="3" fontId="0" fillId="6" borderId="82" xfId="0" applyNumberFormat="1" applyFill="1" applyBorder="1" applyAlignment="1">
      <alignment horizontal="center"/>
    </xf>
    <xf numFmtId="1" fontId="0" fillId="6" borderId="82" xfId="0" applyNumberFormat="1" applyFill="1" applyBorder="1" applyAlignment="1">
      <alignment horizontal="center"/>
    </xf>
    <xf numFmtId="3" fontId="0" fillId="6" borderId="81" xfId="0" applyNumberFormat="1" applyFill="1" applyBorder="1" applyAlignment="1">
      <alignment horizontal="center"/>
    </xf>
    <xf numFmtId="3" fontId="0" fillId="6" borderId="83" xfId="0" applyNumberFormat="1" applyFill="1" applyBorder="1" applyAlignment="1">
      <alignment horizontal="center"/>
    </xf>
    <xf numFmtId="1" fontId="0" fillId="6" borderId="81" xfId="0" applyNumberFormat="1" applyFill="1" applyBorder="1" applyAlignment="1">
      <alignment horizontal="center"/>
    </xf>
    <xf numFmtId="9" fontId="0" fillId="6" borderId="0" xfId="0" applyNumberFormat="1" applyFill="1" applyAlignment="1">
      <alignment horizontal="center"/>
    </xf>
    <xf numFmtId="0" fontId="0" fillId="16" borderId="3" xfId="0" applyFill="1" applyBorder="1"/>
    <xf numFmtId="0" fontId="0" fillId="16" borderId="0" xfId="0" applyFill="1" applyAlignment="1">
      <alignment horizontal="center"/>
    </xf>
    <xf numFmtId="164" fontId="0" fillId="6" borderId="83" xfId="0" applyNumberFormat="1" applyFill="1" applyBorder="1" applyAlignment="1">
      <alignment horizontal="center"/>
    </xf>
    <xf numFmtId="1" fontId="0" fillId="6" borderId="83" xfId="0" applyNumberFormat="1" applyFill="1" applyBorder="1" applyAlignment="1">
      <alignment horizontal="center"/>
    </xf>
    <xf numFmtId="165" fontId="0" fillId="6" borderId="81" xfId="0" applyNumberFormat="1" applyFill="1" applyBorder="1" applyAlignment="1">
      <alignment horizontal="center"/>
    </xf>
    <xf numFmtId="0" fontId="0" fillId="3" borderId="0" xfId="0" applyFill="1"/>
    <xf numFmtId="1" fontId="0" fillId="6" borderId="0" xfId="0" applyNumberFormat="1" applyFill="1" applyAlignment="1">
      <alignment horizontal="center"/>
    </xf>
    <xf numFmtId="0" fontId="0" fillId="2" borderId="3" xfId="0" applyFill="1" applyBorder="1"/>
    <xf numFmtId="9" fontId="0" fillId="2" borderId="81" xfId="0" applyNumberFormat="1" applyFill="1" applyBorder="1" applyAlignment="1">
      <alignment horizontal="center"/>
    </xf>
    <xf numFmtId="0" fontId="0" fillId="2" borderId="82" xfId="0" applyFill="1" applyBorder="1"/>
    <xf numFmtId="9" fontId="0" fillId="2" borderId="82" xfId="0" applyNumberFormat="1" applyFill="1" applyBorder="1"/>
    <xf numFmtId="0" fontId="0" fillId="2" borderId="81" xfId="0" applyFill="1" applyBorder="1"/>
    <xf numFmtId="9" fontId="0" fillId="2" borderId="81" xfId="0" applyNumberFormat="1" applyFill="1" applyBorder="1"/>
    <xf numFmtId="9" fontId="0" fillId="6" borderId="83" xfId="0" applyNumberFormat="1" applyFill="1" applyBorder="1" applyAlignment="1">
      <alignment horizontal="center"/>
    </xf>
    <xf numFmtId="0" fontId="0" fillId="2" borderId="84" xfId="0" applyFill="1" applyBorder="1"/>
    <xf numFmtId="0" fontId="0" fillId="6" borderId="1" xfId="0" applyFill="1" applyBorder="1"/>
    <xf numFmtId="0" fontId="0" fillId="6" borderId="2" xfId="0" applyFill="1" applyBorder="1"/>
    <xf numFmtId="0" fontId="8" fillId="6" borderId="0" xfId="0" applyFont="1" applyFill="1"/>
    <xf numFmtId="0" fontId="0" fillId="0" borderId="0" xfId="0" applyAlignment="1">
      <alignment horizontal="right"/>
    </xf>
    <xf numFmtId="0" fontId="0" fillId="0" borderId="8" xfId="0" applyBorder="1"/>
    <xf numFmtId="0" fontId="0" fillId="0" borderId="3" xfId="0" applyBorder="1" applyAlignment="1">
      <alignment horizontal="left"/>
    </xf>
    <xf numFmtId="0" fontId="0" fillId="0" borderId="83" xfId="0" applyBorder="1"/>
    <xf numFmtId="0" fontId="0" fillId="0" borderId="83" xfId="0" applyBorder="1" applyAlignment="1">
      <alignment horizontal="center"/>
    </xf>
    <xf numFmtId="0" fontId="45" fillId="0" borderId="0" xfId="3" quotePrefix="1" applyFill="1"/>
    <xf numFmtId="0" fontId="45" fillId="6" borderId="0" xfId="3" applyFill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6" borderId="85" xfId="0" applyFill="1" applyBorder="1" applyAlignment="1">
      <alignment vertical="center"/>
    </xf>
    <xf numFmtId="0" fontId="38" fillId="6" borderId="0" xfId="0" applyFont="1" applyFill="1" applyAlignment="1">
      <alignment vertical="center"/>
    </xf>
    <xf numFmtId="3" fontId="38" fillId="6" borderId="0" xfId="0" applyNumberFormat="1" applyFont="1" applyFill="1" applyAlignment="1">
      <alignment vertical="center"/>
    </xf>
    <xf numFmtId="3" fontId="38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/>
    <xf numFmtId="3" fontId="38" fillId="0" borderId="55" xfId="0" applyNumberFormat="1" applyFont="1" applyBorder="1"/>
    <xf numFmtId="0" fontId="38" fillId="0" borderId="0" xfId="0" applyFont="1" applyAlignment="1">
      <alignment horizontal="left" indent="1"/>
    </xf>
    <xf numFmtId="0" fontId="38" fillId="6" borderId="0" xfId="0" applyFont="1" applyFill="1" applyAlignment="1">
      <alignment horizontal="left" indent="2"/>
    </xf>
    <xf numFmtId="0" fontId="38" fillId="0" borderId="0" xfId="0" applyFont="1" applyAlignment="1">
      <alignment horizontal="left" indent="3"/>
    </xf>
    <xf numFmtId="3" fontId="38" fillId="6" borderId="0" xfId="0" applyNumberFormat="1" applyFont="1" applyFill="1" applyAlignment="1">
      <alignment horizontal="center"/>
    </xf>
    <xf numFmtId="0" fontId="46" fillId="6" borderId="0" xfId="0" applyFont="1" applyFill="1"/>
    <xf numFmtId="0" fontId="38" fillId="6" borderId="0" xfId="0" applyFont="1" applyFill="1" applyAlignment="1">
      <alignment horizontal="center"/>
    </xf>
    <xf numFmtId="0" fontId="38" fillId="6" borderId="0" xfId="0" applyFont="1" applyFill="1" applyAlignment="1">
      <alignment horizontal="left" indent="1"/>
    </xf>
    <xf numFmtId="0" fontId="38" fillId="6" borderId="0" xfId="0" applyFont="1" applyFill="1" applyAlignment="1">
      <alignment horizontal="left" indent="3"/>
    </xf>
    <xf numFmtId="4" fontId="38" fillId="6" borderId="0" xfId="0" applyNumberFormat="1" applyFont="1" applyFill="1"/>
    <xf numFmtId="0" fontId="46" fillId="6" borderId="0" xfId="0" applyFont="1" applyFill="1" applyAlignment="1">
      <alignment horizontal="left"/>
    </xf>
    <xf numFmtId="0" fontId="38" fillId="2" borderId="0" xfId="0" applyFont="1" applyFill="1" applyAlignment="1">
      <alignment horizontal="left" indent="1"/>
    </xf>
    <xf numFmtId="0" fontId="38" fillId="2" borderId="0" xfId="0" applyFont="1" applyFill="1"/>
    <xf numFmtId="3" fontId="38" fillId="2" borderId="0" xfId="0" applyNumberFormat="1" applyFont="1" applyFill="1" applyAlignment="1">
      <alignment horizontal="center"/>
    </xf>
    <xf numFmtId="3" fontId="38" fillId="2" borderId="0" xfId="0" applyNumberFormat="1" applyFont="1" applyFill="1"/>
    <xf numFmtId="0" fontId="38" fillId="6" borderId="7" xfId="0" applyFont="1" applyFill="1" applyBorder="1"/>
    <xf numFmtId="3" fontId="38" fillId="6" borderId="7" xfId="0" applyNumberFormat="1" applyFont="1" applyFill="1" applyBorder="1" applyAlignment="1">
      <alignment horizontal="center"/>
    </xf>
    <xf numFmtId="3" fontId="38" fillId="6" borderId="7" xfId="0" applyNumberFormat="1" applyFont="1" applyFill="1" applyBorder="1"/>
    <xf numFmtId="3" fontId="38" fillId="6" borderId="55" xfId="0" applyNumberFormat="1" applyFont="1" applyFill="1" applyBorder="1" applyAlignment="1">
      <alignment horizontal="center"/>
    </xf>
    <xf numFmtId="1" fontId="38" fillId="2" borderId="0" xfId="0" applyNumberFormat="1" applyFont="1" applyFill="1"/>
    <xf numFmtId="3" fontId="38" fillId="6" borderId="55" xfId="0" applyNumberFormat="1" applyFont="1" applyFill="1" applyBorder="1"/>
    <xf numFmtId="4" fontId="38" fillId="0" borderId="0" xfId="0" applyNumberFormat="1" applyFont="1"/>
    <xf numFmtId="3" fontId="38" fillId="6" borderId="0" xfId="0" applyNumberFormat="1" applyFont="1" applyFill="1" applyAlignment="1">
      <alignment horizontal="right"/>
    </xf>
    <xf numFmtId="0" fontId="8" fillId="6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3" fontId="2" fillId="3" borderId="83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0" fillId="0" borderId="81" xfId="0" applyBorder="1" applyAlignment="1">
      <alignment horizontal="right"/>
    </xf>
    <xf numFmtId="0" fontId="39" fillId="21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6" borderId="0" xfId="0" applyFill="1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57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7" xfId="0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6" fillId="2" borderId="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9" fillId="21" borderId="9" xfId="0" applyFont="1" applyFill="1" applyBorder="1" applyAlignment="1">
      <alignment horizontal="center"/>
    </xf>
    <xf numFmtId="0" fontId="39" fillId="21" borderId="11" xfId="0" applyFont="1" applyFill="1" applyBorder="1" applyAlignment="1">
      <alignment horizontal="center"/>
    </xf>
    <xf numFmtId="0" fontId="39" fillId="21" borderId="10" xfId="0" applyFont="1" applyFill="1" applyBorder="1" applyAlignment="1">
      <alignment horizontal="center"/>
    </xf>
    <xf numFmtId="0" fontId="0" fillId="3" borderId="9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39" fillId="16" borderId="0" xfId="0" applyFont="1" applyFill="1" applyAlignment="1">
      <alignment horizontal="center"/>
    </xf>
    <xf numFmtId="0" fontId="0" fillId="3" borderId="1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3" fontId="0" fillId="6" borderId="26" xfId="1" applyNumberFormat="1" applyFont="1" applyFill="1" applyBorder="1" applyAlignment="1">
      <alignment horizontal="center"/>
    </xf>
    <xf numFmtId="0" fontId="2" fillId="26" borderId="58" xfId="0" applyFont="1" applyFill="1" applyBorder="1" applyAlignment="1">
      <alignment horizontal="center"/>
    </xf>
    <xf numFmtId="1" fontId="0" fillId="6" borderId="26" xfId="1" applyNumberFormat="1" applyFont="1" applyFill="1" applyBorder="1" applyAlignment="1">
      <alignment horizontal="center"/>
    </xf>
    <xf numFmtId="0" fontId="39" fillId="21" borderId="58" xfId="0" applyFont="1" applyFill="1" applyBorder="1" applyAlignment="1">
      <alignment horizontal="center"/>
    </xf>
    <xf numFmtId="9" fontId="0" fillId="6" borderId="26" xfId="1" applyFont="1" applyFill="1" applyBorder="1" applyAlignment="1">
      <alignment horizontal="center"/>
    </xf>
    <xf numFmtId="0" fontId="0" fillId="26" borderId="0" xfId="0" applyFill="1" applyAlignment="1">
      <alignment horizontal="center"/>
    </xf>
    <xf numFmtId="0" fontId="0" fillId="0" borderId="73" xfId="0" applyBorder="1" applyAlignment="1">
      <alignment horizontal="center"/>
    </xf>
    <xf numFmtId="0" fontId="13" fillId="3" borderId="39" xfId="0" applyFont="1" applyFill="1" applyBorder="1" applyAlignment="1">
      <alignment horizontal="right"/>
    </xf>
    <xf numFmtId="0" fontId="13" fillId="3" borderId="16" xfId="0" applyFont="1" applyFill="1" applyBorder="1" applyAlignment="1">
      <alignment horizontal="right"/>
    </xf>
    <xf numFmtId="0" fontId="13" fillId="3" borderId="16" xfId="0" applyFont="1" applyFill="1" applyBorder="1" applyAlignment="1">
      <alignment horizontal="center"/>
    </xf>
    <xf numFmtId="0" fontId="13" fillId="3" borderId="40" xfId="0" applyFont="1" applyFill="1" applyBorder="1" applyAlignment="1">
      <alignment horizontal="center"/>
    </xf>
    <xf numFmtId="0" fontId="18" fillId="0" borderId="25" xfId="0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8" borderId="31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8" borderId="38" xfId="0" applyFont="1" applyFill="1" applyBorder="1" applyAlignment="1">
      <alignment horizontal="center" vertical="center"/>
    </xf>
    <xf numFmtId="0" fontId="17" fillId="21" borderId="25" xfId="0" applyFont="1" applyFill="1" applyBorder="1" applyAlignment="1">
      <alignment horizontal="center" vertical="center" wrapText="1"/>
    </xf>
    <xf numFmtId="0" fontId="14" fillId="8" borderId="27" xfId="0" applyFont="1" applyFill="1" applyBorder="1" applyAlignment="1">
      <alignment horizontal="center" vertical="center" wrapText="1"/>
    </xf>
    <xf numFmtId="0" fontId="14" fillId="8" borderId="28" xfId="0" applyFont="1" applyFill="1" applyBorder="1" applyAlignment="1">
      <alignment horizontal="center" vertical="center" wrapText="1"/>
    </xf>
    <xf numFmtId="0" fontId="14" fillId="8" borderId="29" xfId="0" applyFont="1" applyFill="1" applyBorder="1" applyAlignment="1">
      <alignment horizontal="center" vertical="center" wrapText="1"/>
    </xf>
    <xf numFmtId="0" fontId="14" fillId="8" borderId="32" xfId="0" applyFont="1" applyFill="1" applyBorder="1" applyAlignment="1">
      <alignment horizontal="center" vertical="center" wrapText="1"/>
    </xf>
    <xf numFmtId="0" fontId="14" fillId="8" borderId="33" xfId="0" applyFont="1" applyFill="1" applyBorder="1" applyAlignment="1">
      <alignment horizontal="center" vertical="center" wrapText="1"/>
    </xf>
    <xf numFmtId="0" fontId="14" fillId="8" borderId="30" xfId="0" applyFont="1" applyFill="1" applyBorder="1" applyAlignment="1">
      <alignment horizontal="center" vertical="center" wrapText="1"/>
    </xf>
    <xf numFmtId="0" fontId="14" fillId="8" borderId="34" xfId="0" applyFont="1" applyFill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9" fontId="16" fillId="0" borderId="35" xfId="1" applyFont="1" applyBorder="1" applyAlignment="1">
      <alignment horizontal="center" vertical="center"/>
    </xf>
    <xf numFmtId="9" fontId="16" fillId="0" borderId="37" xfId="1" applyFont="1" applyBorder="1" applyAlignment="1">
      <alignment horizontal="center" vertical="center"/>
    </xf>
    <xf numFmtId="0" fontId="27" fillId="3" borderId="46" xfId="0" applyFont="1" applyFill="1" applyBorder="1" applyAlignment="1">
      <alignment horizontal="left" vertical="center"/>
    </xf>
    <xf numFmtId="0" fontId="27" fillId="3" borderId="48" xfId="0" applyFont="1" applyFill="1" applyBorder="1" applyAlignment="1">
      <alignment horizontal="left" vertical="center"/>
    </xf>
    <xf numFmtId="0" fontId="29" fillId="6" borderId="0" xfId="0" applyFont="1" applyFill="1" applyAlignment="1">
      <alignment horizontal="center" vertical="center"/>
    </xf>
    <xf numFmtId="0" fontId="27" fillId="3" borderId="47" xfId="0" applyFont="1" applyFill="1" applyBorder="1" applyAlignment="1">
      <alignment horizontal="left" vertical="center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1" fillId="8" borderId="21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11" fillId="8" borderId="23" xfId="0" applyFont="1" applyFill="1" applyBorder="1" applyAlignment="1">
      <alignment horizontal="center" vertical="center" wrapText="1"/>
    </xf>
    <xf numFmtId="0" fontId="34" fillId="3" borderId="0" xfId="0" applyFont="1" applyFill="1" applyAlignment="1">
      <alignment horizontal="left" vertical="center"/>
    </xf>
    <xf numFmtId="0" fontId="33" fillId="6" borderId="0" xfId="0" applyFont="1" applyFill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center"/>
    </xf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fill>
        <patternFill>
          <fgColor rgb="FF000000"/>
          <bgColor rgb="FFFFFFFF"/>
        </patternFill>
      </fill>
      <alignment horizontal="right" vertical="center" textRotation="0" wrapText="0" indent="1" justifyLastLine="0" shrinkToFit="0" readingOrder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24997711111789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'2023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'2023 Sales Summary'!$F$44:$J$44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913-8C7A-B5C7CDF8208D}"/>
            </c:ext>
          </c:extLst>
        </c:ser>
        <c:ser>
          <c:idx val="1"/>
          <c:order val="1"/>
          <c:tx>
            <c:strRef>
              <c:f>'2023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'2023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'2023 Sales Summary'!$F$53:$J$53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9488063.8743928578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64-4913-8C7A-B5C7CDF82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'2023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Sales Summary'!$F$54:$J$54</c:f>
              <c:numCache>
                <c:formatCode>0%</c:formatCode>
                <c:ptCount val="5"/>
                <c:pt idx="0">
                  <c:v>0.89349733942430165</c:v>
                </c:pt>
                <c:pt idx="1">
                  <c:v>0.89349733942430165</c:v>
                </c:pt>
                <c:pt idx="2">
                  <c:v>0.89349733942430165</c:v>
                </c:pt>
                <c:pt idx="3">
                  <c:v>0.840455951595942</c:v>
                </c:pt>
                <c:pt idx="4">
                  <c:v>0.93075119513469207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64-4913-8C7A-B5C7CDF82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Summary'!$G$44:$K$44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B-46EC-9A0E-7412F4D7923D}"/>
            </c:ext>
          </c:extLst>
        </c:ser>
        <c:ser>
          <c:idx val="1"/>
          <c:order val="1"/>
          <c:tx>
            <c:strRef>
              <c:f>'2024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Summary'!$G$53:$K$53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9488063.8743928578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5B-46EC-9A0E-7412F4D79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'2024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'2024 Sales Summary'!$G$54:$K$54</c:f>
              <c:numCache>
                <c:formatCode>0%</c:formatCode>
                <c:ptCount val="5"/>
                <c:pt idx="0">
                  <c:v>0.89349733942430165</c:v>
                </c:pt>
                <c:pt idx="1">
                  <c:v>0.89349733942430165</c:v>
                </c:pt>
                <c:pt idx="2">
                  <c:v>0.89349733942430165</c:v>
                </c:pt>
                <c:pt idx="3">
                  <c:v>0.840455951595942</c:v>
                </c:pt>
                <c:pt idx="4">
                  <c:v>0.93075119513469207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5B-46EC-9A0E-7412F4D79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Summary'!$G$51:$K$51</c:f>
              <c:numCache>
                <c:formatCode>#,##0</c:formatCode>
                <c:ptCount val="5"/>
                <c:pt idx="0">
                  <c:v>71.47978715394413</c:v>
                </c:pt>
                <c:pt idx="1">
                  <c:v>71.47978715394413</c:v>
                </c:pt>
                <c:pt idx="2">
                  <c:v>71.47978715394413</c:v>
                </c:pt>
                <c:pt idx="3">
                  <c:v>74.168933186571948</c:v>
                </c:pt>
                <c:pt idx="4">
                  <c:v>74.460095610775383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7-4934-B0DB-C28385DDB547}"/>
            </c:ext>
          </c:extLst>
        </c:ser>
        <c:ser>
          <c:idx val="1"/>
          <c:order val="1"/>
          <c:tx>
            <c:strRef>
              <c:f>'2024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Summary'!$G$58:$K$58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A7-4934-B0DB-C28385DDB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'2024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'2024 Sales Summary'!$G$63:$K$63</c:f>
              <c:numCache>
                <c:formatCode>#,##0</c:formatCode>
                <c:ptCount val="5"/>
                <c:pt idx="0">
                  <c:v>6615208.4535680003</c:v>
                </c:pt>
                <c:pt idx="1">
                  <c:v>8481873.1152000017</c:v>
                </c:pt>
                <c:pt idx="2">
                  <c:v>8683678.099514287</c:v>
                </c:pt>
                <c:pt idx="3">
                  <c:v>9466684.0969999991</c:v>
                </c:pt>
                <c:pt idx="4">
                  <c:v>10575502.6436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A7-4934-B0DB-C28385DDB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'2024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'2024 Sales Summary'!$G$60:$K$60</c:f>
              <c:numCache>
                <c:formatCode>#,##0</c:formatCode>
                <c:ptCount val="5"/>
                <c:pt idx="0">
                  <c:v>5522598.4535680003</c:v>
                </c:pt>
                <c:pt idx="1">
                  <c:v>7391995.1152000008</c:v>
                </c:pt>
                <c:pt idx="2">
                  <c:v>7590451.099514286</c:v>
                </c:pt>
                <c:pt idx="3">
                  <c:v>8373069.0969999991</c:v>
                </c:pt>
                <c:pt idx="4">
                  <c:v>9482132.6436000001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2-41FD-A6FF-EE92C0228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'2024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Summary'!$G$62:$K$62</c:f>
              <c:numCache>
                <c:formatCode>#,##0</c:formatCode>
                <c:ptCount val="5"/>
                <c:pt idx="0">
                  <c:v>5642130.4535680003</c:v>
                </c:pt>
                <c:pt idx="1">
                  <c:v>7508795.1152000008</c:v>
                </c:pt>
                <c:pt idx="2">
                  <c:v>7710600.099514286</c:v>
                </c:pt>
                <c:pt idx="3">
                  <c:v>8493606.0969999991</c:v>
                </c:pt>
                <c:pt idx="4">
                  <c:v>9602424.6436000001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42-41FD-A6FF-EE92C0228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2024'!$B$45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2024'!$E$44:$I$44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2024'!$E$45:$I$45</c:f>
              <c:numCache>
                <c:formatCode>#,##0</c:formatCode>
                <c:ptCount val="5"/>
                <c:pt idx="0">
                  <c:v>794028.94800000021</c:v>
                </c:pt>
                <c:pt idx="1">
                  <c:v>860665.65300000017</c:v>
                </c:pt>
                <c:pt idx="2">
                  <c:v>880113.33675000002</c:v>
                </c:pt>
                <c:pt idx="3">
                  <c:v>994677.8737499998</c:v>
                </c:pt>
                <c:pt idx="4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2A-4F2A-9271-472F962DB847}"/>
            </c:ext>
          </c:extLst>
        </c:ser>
        <c:ser>
          <c:idx val="1"/>
          <c:order val="1"/>
          <c:tx>
            <c:strRef>
              <c:f>'Statements Summary 2024'!$B$57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2024'!$E$44:$I$44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2024'!$E$57:$I$57</c:f>
              <c:numCache>
                <c:formatCode>#,##0</c:formatCode>
                <c:ptCount val="5"/>
                <c:pt idx="0">
                  <c:v>735755.94800000021</c:v>
                </c:pt>
                <c:pt idx="1">
                  <c:v>802392.65300000017</c:v>
                </c:pt>
                <c:pt idx="2">
                  <c:v>821840.33675000002</c:v>
                </c:pt>
                <c:pt idx="3">
                  <c:v>936404.8737499998</c:v>
                </c:pt>
                <c:pt idx="4">
                  <c:v>1051201.2525000002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2A-4F2A-9271-472F962DB847}"/>
            </c:ext>
          </c:extLst>
        </c:ser>
        <c:ser>
          <c:idx val="2"/>
          <c:order val="2"/>
          <c:tx>
            <c:strRef>
              <c:f>'Statements Summary 2024'!$B$64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2024'!$E$44:$I$44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2024'!$E$64:$I$64</c:f>
              <c:numCache>
                <c:formatCode>#,##0</c:formatCode>
                <c:ptCount val="5"/>
                <c:pt idx="0">
                  <c:v>588604.75840000017</c:v>
                </c:pt>
                <c:pt idx="1">
                  <c:v>641914.12240000011</c:v>
                </c:pt>
                <c:pt idx="2">
                  <c:v>657472.26939999999</c:v>
                </c:pt>
                <c:pt idx="3">
                  <c:v>749123.89899999986</c:v>
                </c:pt>
                <c:pt idx="4">
                  <c:v>840961.00200000009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2A-4F2A-9271-472F962DB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2024'!$B$45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2024'!$K$44:$V$44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2024'!$K$45:$V$45</c:f>
              <c:numCache>
                <c:formatCode>#,##0</c:formatCode>
                <c:ptCount val="12"/>
                <c:pt idx="0">
                  <c:v>794028.94800000021</c:v>
                </c:pt>
                <c:pt idx="1">
                  <c:v>805251.97199999995</c:v>
                </c:pt>
                <c:pt idx="2">
                  <c:v>816474.99600000004</c:v>
                </c:pt>
                <c:pt idx="3">
                  <c:v>827698.02</c:v>
                </c:pt>
                <c:pt idx="4">
                  <c:v>822086.50800000015</c:v>
                </c:pt>
                <c:pt idx="5">
                  <c:v>829100.89799999993</c:v>
                </c:pt>
                <c:pt idx="6">
                  <c:v>852949.82400000014</c:v>
                </c:pt>
                <c:pt idx="7">
                  <c:v>843129.67799999984</c:v>
                </c:pt>
                <c:pt idx="8">
                  <c:v>875395.87200000009</c:v>
                </c:pt>
                <c:pt idx="9">
                  <c:v>878903.06700000004</c:v>
                </c:pt>
                <c:pt idx="10">
                  <c:v>857158.4580000001</c:v>
                </c:pt>
                <c:pt idx="11">
                  <c:v>860665.65300000017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7-4A6D-B199-78FC8EF8617B}"/>
            </c:ext>
          </c:extLst>
        </c:ser>
        <c:ser>
          <c:idx val="1"/>
          <c:order val="1"/>
          <c:tx>
            <c:strRef>
              <c:f>'Statements Summary 2024'!$B$57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2024'!$K$44:$V$44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2024'!$K$57:$V$57</c:f>
              <c:numCache>
                <c:formatCode>#,##0</c:formatCode>
                <c:ptCount val="12"/>
                <c:pt idx="0">
                  <c:v>724521.94800000021</c:v>
                </c:pt>
                <c:pt idx="1">
                  <c:v>735744.97199999995</c:v>
                </c:pt>
                <c:pt idx="2">
                  <c:v>746967.99600000004</c:v>
                </c:pt>
                <c:pt idx="3">
                  <c:v>758191.02</c:v>
                </c:pt>
                <c:pt idx="4">
                  <c:v>752579.50800000015</c:v>
                </c:pt>
                <c:pt idx="5">
                  <c:v>759593.89799999993</c:v>
                </c:pt>
                <c:pt idx="6">
                  <c:v>783442.82400000014</c:v>
                </c:pt>
                <c:pt idx="7">
                  <c:v>773622.67799999984</c:v>
                </c:pt>
                <c:pt idx="8">
                  <c:v>805888.87200000009</c:v>
                </c:pt>
                <c:pt idx="9">
                  <c:v>809396.06700000004</c:v>
                </c:pt>
                <c:pt idx="10">
                  <c:v>787651.4580000001</c:v>
                </c:pt>
                <c:pt idx="11">
                  <c:v>802392.65300000017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67-4A6D-B199-78FC8EF8617B}"/>
            </c:ext>
          </c:extLst>
        </c:ser>
        <c:ser>
          <c:idx val="2"/>
          <c:order val="2"/>
          <c:tx>
            <c:strRef>
              <c:f>'Statements Summary 2024'!$B$64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2024'!$K$44:$V$44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2024'!$K$64:$V$64</c:f>
              <c:numCache>
                <c:formatCode>#,##0</c:formatCode>
                <c:ptCount val="12"/>
                <c:pt idx="0">
                  <c:v>579617.55840000021</c:v>
                </c:pt>
                <c:pt idx="1">
                  <c:v>588595.97759999998</c:v>
                </c:pt>
                <c:pt idx="2">
                  <c:v>597574.39679999999</c:v>
                </c:pt>
                <c:pt idx="3">
                  <c:v>606552.81599999999</c:v>
                </c:pt>
                <c:pt idx="4">
                  <c:v>602063.60640000016</c:v>
                </c:pt>
                <c:pt idx="5">
                  <c:v>607675.11839999992</c:v>
                </c:pt>
                <c:pt idx="6">
                  <c:v>626754.25920000009</c:v>
                </c:pt>
                <c:pt idx="7">
                  <c:v>618898.1423999999</c:v>
                </c:pt>
                <c:pt idx="8">
                  <c:v>644711.0976000001</c:v>
                </c:pt>
                <c:pt idx="9">
                  <c:v>647516.85360000003</c:v>
                </c:pt>
                <c:pt idx="10">
                  <c:v>630121.1664000001</c:v>
                </c:pt>
                <c:pt idx="11">
                  <c:v>641914.12240000011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67-4A6D-B199-78FC8EF86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571786.75840000017</c:v>
                </c:pt>
                <c:pt idx="1">
                  <c:v>625096.12240000011</c:v>
                </c:pt>
                <c:pt idx="2">
                  <c:v>715545.26939999999</c:v>
                </c:pt>
                <c:pt idx="3">
                  <c:v>749123.89899999986</c:v>
                </c:pt>
                <c:pt idx="4">
                  <c:v>840961.00200000009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2-4A03-952F-673C721080F4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2-4A03-952F-673C721080F4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32-4A03-952F-673C72108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571786.75840000017</c:v>
                </c:pt>
                <c:pt idx="1">
                  <c:v>625096.12240000011</c:v>
                </c:pt>
                <c:pt idx="2">
                  <c:v>715545.26939999999</c:v>
                </c:pt>
                <c:pt idx="3">
                  <c:v>749123.89899999986</c:v>
                </c:pt>
                <c:pt idx="4">
                  <c:v>840961.00200000009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32-4A03-952F-673C721080F4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1148646.1168000004</c:v>
                </c:pt>
                <c:pt idx="1">
                  <c:v>1295628.0448</c:v>
                </c:pt>
                <c:pt idx="2">
                  <c:v>1431090.5387999997</c:v>
                </c:pt>
                <c:pt idx="3">
                  <c:v>1556320.7979999995</c:v>
                </c:pt>
                <c:pt idx="4">
                  <c:v>1745895.0040000002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32-4A03-952F-673C72108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2024'!$K$8:$V$8</c:f>
              <c:numCache>
                <c:formatCode>#,##0</c:formatCode>
                <c:ptCount val="12"/>
                <c:pt idx="0">
                  <c:v>562799.55840000021</c:v>
                </c:pt>
                <c:pt idx="1">
                  <c:v>571777.97759999998</c:v>
                </c:pt>
                <c:pt idx="2">
                  <c:v>580756.39679999999</c:v>
                </c:pt>
                <c:pt idx="3">
                  <c:v>589734.81599999999</c:v>
                </c:pt>
                <c:pt idx="4">
                  <c:v>585245.60640000016</c:v>
                </c:pt>
                <c:pt idx="5">
                  <c:v>590857.11839999992</c:v>
                </c:pt>
                <c:pt idx="6">
                  <c:v>609936.25920000009</c:v>
                </c:pt>
                <c:pt idx="7">
                  <c:v>602080.1423999999</c:v>
                </c:pt>
                <c:pt idx="8">
                  <c:v>627893.0976000001</c:v>
                </c:pt>
                <c:pt idx="9">
                  <c:v>630698.85360000003</c:v>
                </c:pt>
                <c:pt idx="10">
                  <c:v>613303.1664000001</c:v>
                </c:pt>
                <c:pt idx="11">
                  <c:v>625096.12240000011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1-46A9-9663-4C44FC9624FC}"/>
            </c:ext>
          </c:extLst>
        </c:ser>
        <c:ser>
          <c:idx val="1"/>
          <c:order val="1"/>
          <c:tx>
            <c:strRef>
              <c:f>'Statements Summary 2024'!$B$11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E1-46A9-9663-4C44FC9624FC}"/>
            </c:ext>
          </c:extLst>
        </c:ser>
        <c:ser>
          <c:idx val="2"/>
          <c:order val="2"/>
          <c:tx>
            <c:strRef>
              <c:f>'Statements Summary 2024'!$B$15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2024'!$K$15:$V$15</c:f>
              <c:numCache>
                <c:formatCode>#,##0</c:formatCode>
                <c:ptCount val="12"/>
                <c:pt idx="0">
                  <c:v>0</c:v>
                </c:pt>
                <c:pt idx="1">
                  <c:v>-16818</c:v>
                </c:pt>
                <c:pt idx="2">
                  <c:v>-16818</c:v>
                </c:pt>
                <c:pt idx="3">
                  <c:v>-16818</c:v>
                </c:pt>
                <c:pt idx="4">
                  <c:v>-16818</c:v>
                </c:pt>
                <c:pt idx="5">
                  <c:v>-16818</c:v>
                </c:pt>
                <c:pt idx="6">
                  <c:v>-16818</c:v>
                </c:pt>
                <c:pt idx="7">
                  <c:v>-16818</c:v>
                </c:pt>
                <c:pt idx="8">
                  <c:v>-16818</c:v>
                </c:pt>
                <c:pt idx="9">
                  <c:v>-16818</c:v>
                </c:pt>
                <c:pt idx="10">
                  <c:v>-16818</c:v>
                </c:pt>
                <c:pt idx="11">
                  <c:v>-16818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E1-46A9-9663-4C44FC962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2024'!$B$16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2024'!$K$16:$V$16</c:f>
              <c:numCache>
                <c:formatCode>#,##0</c:formatCode>
                <c:ptCount val="12"/>
                <c:pt idx="0">
                  <c:v>562799.55840000021</c:v>
                </c:pt>
                <c:pt idx="1">
                  <c:v>571777.97759999998</c:v>
                </c:pt>
                <c:pt idx="2">
                  <c:v>580756.39679999999</c:v>
                </c:pt>
                <c:pt idx="3">
                  <c:v>589734.81599999999</c:v>
                </c:pt>
                <c:pt idx="4">
                  <c:v>585245.60640000016</c:v>
                </c:pt>
                <c:pt idx="5">
                  <c:v>590857.11839999992</c:v>
                </c:pt>
                <c:pt idx="6">
                  <c:v>609936.25920000009</c:v>
                </c:pt>
                <c:pt idx="7">
                  <c:v>602080.1423999999</c:v>
                </c:pt>
                <c:pt idx="8">
                  <c:v>627893.0976000001</c:v>
                </c:pt>
                <c:pt idx="9">
                  <c:v>630698.85360000003</c:v>
                </c:pt>
                <c:pt idx="10">
                  <c:v>613303.1664000001</c:v>
                </c:pt>
                <c:pt idx="11">
                  <c:v>625096.12240000011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E1-46A9-9663-4C44FC9624FC}"/>
            </c:ext>
          </c:extLst>
        </c:ser>
        <c:ser>
          <c:idx val="4"/>
          <c:order val="4"/>
          <c:tx>
            <c:strRef>
              <c:f>'Statements Summary 2024'!$B$17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2024'!$K$17:$V$17</c:f>
              <c:numCache>
                <c:formatCode>#,##0</c:formatCode>
                <c:ptCount val="12"/>
                <c:pt idx="0">
                  <c:v>1145269.3168000001</c:v>
                </c:pt>
                <c:pt idx="1">
                  <c:v>1166589.7552</c:v>
                </c:pt>
                <c:pt idx="2">
                  <c:v>1187910.1935999999</c:v>
                </c:pt>
                <c:pt idx="3">
                  <c:v>1209230.6320000002</c:v>
                </c:pt>
                <c:pt idx="4">
                  <c:v>1203615.8128000002</c:v>
                </c:pt>
                <c:pt idx="5">
                  <c:v>1218202.4367999998</c:v>
                </c:pt>
                <c:pt idx="6">
                  <c:v>1259724.3184000002</c:v>
                </c:pt>
                <c:pt idx="7">
                  <c:v>1247375.6847999997</c:v>
                </c:pt>
                <c:pt idx="8">
                  <c:v>1302365.1952000002</c:v>
                </c:pt>
                <c:pt idx="9">
                  <c:v>1311340.3072000002</c:v>
                </c:pt>
                <c:pt idx="10">
                  <c:v>1279912.5328000002</c:v>
                </c:pt>
                <c:pt idx="11">
                  <c:v>1295628.0448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E1-46A9-9663-4C44FC962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5300048.053568</c:v>
                </c:pt>
                <c:pt idx="1">
                  <c:v>12937033.168768</c:v>
                </c:pt>
                <c:pt idx="2">
                  <c:v>21347934.268282287</c:v>
                </c:pt>
                <c:pt idx="3">
                  <c:v>29790310.365282293</c:v>
                </c:pt>
                <c:pt idx="4">
                  <c:v>40151893.008882284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E-4D02-B4F4-134602C8C471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-147151.18960000004</c:v>
                </c:pt>
                <c:pt idx="1">
                  <c:v>-160478.53060000006</c:v>
                </c:pt>
                <c:pt idx="2">
                  <c:v>-164368.06735000003</c:v>
                </c:pt>
                <c:pt idx="3">
                  <c:v>-187280.97474999996</c:v>
                </c:pt>
                <c:pt idx="4">
                  <c:v>-210240.25050000005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E-4D02-B4F4-134602C8C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5770580.053568</c:v>
                </c:pt>
                <c:pt idx="1">
                  <c:v>13425365.168768</c:v>
                </c:pt>
                <c:pt idx="2">
                  <c:v>21857415.268282287</c:v>
                </c:pt>
                <c:pt idx="3">
                  <c:v>30321328.365282293</c:v>
                </c:pt>
                <c:pt idx="4">
                  <c:v>40704293.008882284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BE-4D02-B4F4-134602C8C471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5358426.8639679998</c:v>
                </c:pt>
                <c:pt idx="1">
                  <c:v>13201700.638168</c:v>
                </c:pt>
                <c:pt idx="2">
                  <c:v>21693047.200932287</c:v>
                </c:pt>
                <c:pt idx="3">
                  <c:v>30134047.390532292</c:v>
                </c:pt>
                <c:pt idx="4">
                  <c:v>40494052.758382283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BE-4D02-B4F4-134602C8C471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5300048.053568</c:v>
                </c:pt>
                <c:pt idx="1">
                  <c:v>12937033.168768</c:v>
                </c:pt>
                <c:pt idx="2">
                  <c:v>21347934.268282287</c:v>
                </c:pt>
                <c:pt idx="3">
                  <c:v>29790310.365282293</c:v>
                </c:pt>
                <c:pt idx="4">
                  <c:v>40151893.008882284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BE-4D02-B4F4-134602C8C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2024'!$K$88:$V$88</c:f>
              <c:numCache>
                <c:formatCode>#,##0</c:formatCode>
                <c:ptCount val="12"/>
                <c:pt idx="0">
                  <c:v>5882517.8119680006</c:v>
                </c:pt>
                <c:pt idx="1">
                  <c:v>6477329.5895680003</c:v>
                </c:pt>
                <c:pt idx="2">
                  <c:v>7084483.3863679999</c:v>
                </c:pt>
                <c:pt idx="3">
                  <c:v>7703979.2023679996</c:v>
                </c:pt>
                <c:pt idx="4">
                  <c:v>8322349.4087680001</c:v>
                </c:pt>
                <c:pt idx="5">
                  <c:v>8949694.7271679994</c:v>
                </c:pt>
                <c:pt idx="6">
                  <c:v>9599482.7863679994</c:v>
                </c:pt>
                <c:pt idx="7">
                  <c:v>10244778.328768</c:v>
                </c:pt>
                <c:pt idx="8">
                  <c:v>10919250.426368</c:v>
                </c:pt>
                <c:pt idx="9">
                  <c:v>11599891.879968001</c:v>
                </c:pt>
                <c:pt idx="10">
                  <c:v>12266501.246368</c:v>
                </c:pt>
                <c:pt idx="11">
                  <c:v>12937033.168768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1-4C48-B4EE-F56C24335B42}"/>
            </c:ext>
          </c:extLst>
        </c:ser>
        <c:ser>
          <c:idx val="2"/>
          <c:order val="2"/>
          <c:tx>
            <c:strRef>
              <c:f>'Statements Summary 2024'!$B$91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2024'!$K$91:$V$91</c:f>
              <c:numCache>
                <c:formatCode>#,##0</c:formatCode>
                <c:ptCount val="12"/>
                <c:pt idx="1">
                  <c:v>-147148.9944</c:v>
                </c:pt>
                <c:pt idx="2">
                  <c:v>-149393.59920000003</c:v>
                </c:pt>
                <c:pt idx="3">
                  <c:v>-151638.204</c:v>
                </c:pt>
                <c:pt idx="4">
                  <c:v>-150515.90160000004</c:v>
                </c:pt>
                <c:pt idx="5">
                  <c:v>-151918.77959999998</c:v>
                </c:pt>
                <c:pt idx="6">
                  <c:v>-156688.56480000002</c:v>
                </c:pt>
                <c:pt idx="7">
                  <c:v>-154724.53559999997</c:v>
                </c:pt>
                <c:pt idx="8">
                  <c:v>-161177.77440000002</c:v>
                </c:pt>
                <c:pt idx="9">
                  <c:v>-161879.21340000001</c:v>
                </c:pt>
                <c:pt idx="10">
                  <c:v>-157530.29160000003</c:v>
                </c:pt>
                <c:pt idx="11">
                  <c:v>-160478.53060000006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91-4C48-B4EE-F56C24335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2024'!$B$90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2024'!$K$90:$V$90</c:f>
              <c:numCache>
                <c:formatCode>#,##0</c:formatCode>
                <c:ptCount val="12"/>
                <c:pt idx="0">
                  <c:v>6354499.8119680006</c:v>
                </c:pt>
                <c:pt idx="1">
                  <c:v>6950761.5895680003</c:v>
                </c:pt>
                <c:pt idx="2">
                  <c:v>7559365.3863679999</c:v>
                </c:pt>
                <c:pt idx="3">
                  <c:v>8180311.2023679996</c:v>
                </c:pt>
                <c:pt idx="4">
                  <c:v>8800131.4087680001</c:v>
                </c:pt>
                <c:pt idx="5">
                  <c:v>9428926.7271679994</c:v>
                </c:pt>
                <c:pt idx="6">
                  <c:v>10080164.786367999</c:v>
                </c:pt>
                <c:pt idx="7">
                  <c:v>10726910.328768</c:v>
                </c:pt>
                <c:pt idx="8">
                  <c:v>11402832.426368</c:v>
                </c:pt>
                <c:pt idx="9">
                  <c:v>12084923.879968001</c:v>
                </c:pt>
                <c:pt idx="10">
                  <c:v>12752983.246368</c:v>
                </c:pt>
                <c:pt idx="11">
                  <c:v>13425365.168768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1-4C48-B4EE-F56C24335B42}"/>
            </c:ext>
          </c:extLst>
        </c:ser>
        <c:ser>
          <c:idx val="3"/>
          <c:order val="3"/>
          <c:tx>
            <c:strRef>
              <c:f>'Statements Summary 2024'!$B$94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2024'!$K$94:$V$94</c:f>
              <c:numCache>
                <c:formatCode>#,##0</c:formatCode>
                <c:ptCount val="12"/>
                <c:pt idx="0">
                  <c:v>5961411.4223680003</c:v>
                </c:pt>
                <c:pt idx="1">
                  <c:v>6572246.5951680001</c:v>
                </c:pt>
                <c:pt idx="2">
                  <c:v>7195423.7871679999</c:v>
                </c:pt>
                <c:pt idx="3">
                  <c:v>7830942.9983679997</c:v>
                </c:pt>
                <c:pt idx="4">
                  <c:v>8468703.5071680006</c:v>
                </c:pt>
                <c:pt idx="5">
                  <c:v>9112913.9475679994</c:v>
                </c:pt>
                <c:pt idx="6">
                  <c:v>9776200.2215679996</c:v>
                </c:pt>
                <c:pt idx="7">
                  <c:v>10441727.793168001</c:v>
                </c:pt>
                <c:pt idx="8">
                  <c:v>11128014.651968</c:v>
                </c:pt>
                <c:pt idx="9">
                  <c:v>11826222.666568</c:v>
                </c:pt>
                <c:pt idx="10">
                  <c:v>12515448.954768</c:v>
                </c:pt>
                <c:pt idx="11">
                  <c:v>13201700.638168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1-4C48-B4EE-F56C24335B42}"/>
            </c:ext>
          </c:extLst>
        </c:ser>
        <c:ser>
          <c:idx val="4"/>
          <c:order val="4"/>
          <c:tx>
            <c:strRef>
              <c:f>'Statements Summary 2024'!$B$95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2024'!$K$95:$V$95</c:f>
              <c:numCache>
                <c:formatCode>#,##0</c:formatCode>
                <c:ptCount val="12"/>
                <c:pt idx="0">
                  <c:v>5882517.8119680006</c:v>
                </c:pt>
                <c:pt idx="1">
                  <c:v>6477329.5895680003</c:v>
                </c:pt>
                <c:pt idx="2">
                  <c:v>7084483.3863679999</c:v>
                </c:pt>
                <c:pt idx="3">
                  <c:v>7703979.2023679996</c:v>
                </c:pt>
                <c:pt idx="4">
                  <c:v>8322349.4087680001</c:v>
                </c:pt>
                <c:pt idx="5">
                  <c:v>8949694.7271679994</c:v>
                </c:pt>
                <c:pt idx="6">
                  <c:v>9599482.7863679994</c:v>
                </c:pt>
                <c:pt idx="7">
                  <c:v>10244778.328768</c:v>
                </c:pt>
                <c:pt idx="8">
                  <c:v>10919250.426368</c:v>
                </c:pt>
                <c:pt idx="9">
                  <c:v>11599891.879968001</c:v>
                </c:pt>
                <c:pt idx="10">
                  <c:v>12266501.246368</c:v>
                </c:pt>
                <c:pt idx="11">
                  <c:v>12937033.168768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1-4C48-B4EE-F56C24335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Summary'!$F$44:$J$44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3-4191-944E-CB45C0A38005}"/>
            </c:ext>
          </c:extLst>
        </c:ser>
        <c:ser>
          <c:idx val="1"/>
          <c:order val="1"/>
          <c:tx>
            <c:strRef>
              <c:f>'2025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Summary'!$F$53:$J$53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9488063.8743928578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3-4191-944E-CB45C0A38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'2025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'2025 Sales Summary'!$F$54:$J$54</c:f>
              <c:numCache>
                <c:formatCode>0%</c:formatCode>
                <c:ptCount val="5"/>
                <c:pt idx="0">
                  <c:v>0.89349733942430165</c:v>
                </c:pt>
                <c:pt idx="1">
                  <c:v>0.89349733942430165</c:v>
                </c:pt>
                <c:pt idx="2">
                  <c:v>0.89349733942430165</c:v>
                </c:pt>
                <c:pt idx="3">
                  <c:v>0.840455951595942</c:v>
                </c:pt>
                <c:pt idx="4">
                  <c:v>0.93075119513469207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A3-4191-944E-CB45C0A38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'2023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'2023 Sales Summary'!$F$51:$J$51</c:f>
              <c:numCache>
                <c:formatCode>#,##0</c:formatCode>
                <c:ptCount val="5"/>
                <c:pt idx="0">
                  <c:v>71.47978715394413</c:v>
                </c:pt>
                <c:pt idx="1">
                  <c:v>71.47978715394413</c:v>
                </c:pt>
                <c:pt idx="2">
                  <c:v>71.47978715394413</c:v>
                </c:pt>
                <c:pt idx="3">
                  <c:v>74.168933186571948</c:v>
                </c:pt>
                <c:pt idx="4">
                  <c:v>74.460095610775383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C-4E1C-BCBD-5AC00A0DE230}"/>
            </c:ext>
          </c:extLst>
        </c:ser>
        <c:ser>
          <c:idx val="1"/>
          <c:order val="1"/>
          <c:tx>
            <c:strRef>
              <c:f>'2023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'2023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'2023 Sales Summary'!$F$58:$J$58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C-4E1C-BCBD-5AC00A0DE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'2023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Sales Summary'!$F$63:$J$63</c:f>
              <c:numCache>
                <c:formatCode>#,##0</c:formatCode>
                <c:ptCount val="5"/>
                <c:pt idx="0">
                  <c:v>6615208.4535680003</c:v>
                </c:pt>
                <c:pt idx="1">
                  <c:v>8481873.1152000017</c:v>
                </c:pt>
                <c:pt idx="2">
                  <c:v>8683678.099514287</c:v>
                </c:pt>
                <c:pt idx="3">
                  <c:v>9466684.0969999991</c:v>
                </c:pt>
                <c:pt idx="4">
                  <c:v>10575502.6436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DC-4E1C-BCBD-5AC00A0DE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Summary'!$F$51:$J$51</c:f>
              <c:numCache>
                <c:formatCode>#,##0</c:formatCode>
                <c:ptCount val="5"/>
                <c:pt idx="0">
                  <c:v>71.47978715394413</c:v>
                </c:pt>
                <c:pt idx="1">
                  <c:v>71.47978715394413</c:v>
                </c:pt>
                <c:pt idx="2">
                  <c:v>71.47978715394413</c:v>
                </c:pt>
                <c:pt idx="3">
                  <c:v>74.168933186571948</c:v>
                </c:pt>
                <c:pt idx="4">
                  <c:v>74.460095610775383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9-44B4-A69A-6E087F6F3ACF}"/>
            </c:ext>
          </c:extLst>
        </c:ser>
        <c:ser>
          <c:idx val="1"/>
          <c:order val="1"/>
          <c:tx>
            <c:strRef>
              <c:f>'2025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Summary'!$F$58:$J$58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9-44B4-A69A-6E087F6F3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'2025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'2025 Sales Summary'!$F$63:$J$63</c:f>
              <c:numCache>
                <c:formatCode>#,##0</c:formatCode>
                <c:ptCount val="5"/>
                <c:pt idx="0">
                  <c:v>6615208.4535680003</c:v>
                </c:pt>
                <c:pt idx="1">
                  <c:v>8481873.1152000017</c:v>
                </c:pt>
                <c:pt idx="2">
                  <c:v>8683678.099514287</c:v>
                </c:pt>
                <c:pt idx="3">
                  <c:v>9466684.0969999991</c:v>
                </c:pt>
                <c:pt idx="4">
                  <c:v>10575502.6436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9-44B4-A69A-6E087F6F3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'2025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'2025 Sales Summary'!$F$60:$J$60</c:f>
              <c:numCache>
                <c:formatCode>#,##0</c:formatCode>
                <c:ptCount val="5"/>
                <c:pt idx="0">
                  <c:v>5522598.4535680003</c:v>
                </c:pt>
                <c:pt idx="1">
                  <c:v>7391995.1152000008</c:v>
                </c:pt>
                <c:pt idx="2">
                  <c:v>7590451.099514286</c:v>
                </c:pt>
                <c:pt idx="3">
                  <c:v>8373069.0969999991</c:v>
                </c:pt>
                <c:pt idx="4">
                  <c:v>9482132.6436000001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4-45D4-BD29-0617D79F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'2025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Summary'!$F$62:$J$62</c:f>
              <c:numCache>
                <c:formatCode>#,##0</c:formatCode>
                <c:ptCount val="5"/>
                <c:pt idx="0">
                  <c:v>5642130.4535680003</c:v>
                </c:pt>
                <c:pt idx="1">
                  <c:v>7508795.1152000008</c:v>
                </c:pt>
                <c:pt idx="2">
                  <c:v>7710600.099514286</c:v>
                </c:pt>
                <c:pt idx="3">
                  <c:v>8493606.0969999991</c:v>
                </c:pt>
                <c:pt idx="4">
                  <c:v>9602424.6436000001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14-45D4-BD29-0617D79F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2025'!$B$45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2025'!$E$44:$I$44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2025'!$E$45:$I$45</c:f>
              <c:numCache>
                <c:formatCode>#,##0</c:formatCode>
                <c:ptCount val="5"/>
                <c:pt idx="0">
                  <c:v>794028.94800000021</c:v>
                </c:pt>
                <c:pt idx="1">
                  <c:v>860665.65300000017</c:v>
                </c:pt>
                <c:pt idx="2">
                  <c:v>880113.33675000002</c:v>
                </c:pt>
                <c:pt idx="3">
                  <c:v>994677.8737499998</c:v>
                </c:pt>
                <c:pt idx="4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5-4A71-B291-6E646D762A23}"/>
            </c:ext>
          </c:extLst>
        </c:ser>
        <c:ser>
          <c:idx val="1"/>
          <c:order val="1"/>
          <c:tx>
            <c:strRef>
              <c:f>'Statements Summary 2025'!$B$57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2025'!$E$44:$I$44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2025'!$E$57:$I$57</c:f>
              <c:numCache>
                <c:formatCode>#,##0</c:formatCode>
                <c:ptCount val="5"/>
                <c:pt idx="0">
                  <c:v>735755.94800000021</c:v>
                </c:pt>
                <c:pt idx="1">
                  <c:v>802392.65300000017</c:v>
                </c:pt>
                <c:pt idx="2">
                  <c:v>821840.33675000002</c:v>
                </c:pt>
                <c:pt idx="3">
                  <c:v>936404.8737499998</c:v>
                </c:pt>
                <c:pt idx="4">
                  <c:v>1051201.2525000002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5-4A71-B291-6E646D762A23}"/>
            </c:ext>
          </c:extLst>
        </c:ser>
        <c:ser>
          <c:idx val="2"/>
          <c:order val="2"/>
          <c:tx>
            <c:strRef>
              <c:f>'Statements Summary 2025'!$B$64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2025'!$E$44:$I$44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2025'!$E$64:$I$64</c:f>
              <c:numCache>
                <c:formatCode>#,##0</c:formatCode>
                <c:ptCount val="5"/>
                <c:pt idx="0">
                  <c:v>588604.75840000017</c:v>
                </c:pt>
                <c:pt idx="1">
                  <c:v>641914.12240000011</c:v>
                </c:pt>
                <c:pt idx="2">
                  <c:v>657472.26939999999</c:v>
                </c:pt>
                <c:pt idx="3">
                  <c:v>749123.89899999986</c:v>
                </c:pt>
                <c:pt idx="4">
                  <c:v>840961.00200000009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95-4A71-B291-6E646D762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2025'!$B$45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2025'!$K$44:$V$44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2025'!$K$45:$V$45</c:f>
              <c:numCache>
                <c:formatCode>#,##0</c:formatCode>
                <c:ptCount val="12"/>
                <c:pt idx="0">
                  <c:v>864172.84799999977</c:v>
                </c:pt>
                <c:pt idx="1">
                  <c:v>875395.87200000009</c:v>
                </c:pt>
                <c:pt idx="2">
                  <c:v>817638.03771428554</c:v>
                </c:pt>
                <c:pt idx="3">
                  <c:v>840057.39160714287</c:v>
                </c:pt>
                <c:pt idx="4">
                  <c:v>832533.34950000001</c:v>
                </c:pt>
                <c:pt idx="5">
                  <c:v>838644.24664285721</c:v>
                </c:pt>
                <c:pt idx="6">
                  <c:v>862935.06278571452</c:v>
                </c:pt>
                <c:pt idx="7">
                  <c:v>850866.04092857137</c:v>
                </c:pt>
                <c:pt idx="8">
                  <c:v>884246.81657142844</c:v>
                </c:pt>
                <c:pt idx="9">
                  <c:v>887302.2651428571</c:v>
                </c:pt>
                <c:pt idx="10">
                  <c:v>877008.60675000004</c:v>
                </c:pt>
                <c:pt idx="11">
                  <c:v>880113.33675000002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3C-490A-B1DA-88F731D52EC8}"/>
            </c:ext>
          </c:extLst>
        </c:ser>
        <c:ser>
          <c:idx val="1"/>
          <c:order val="1"/>
          <c:tx>
            <c:strRef>
              <c:f>'Statements Summary 2025'!$B$57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2025'!$K$44:$V$44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2025'!$K$57:$V$57</c:f>
              <c:numCache>
                <c:formatCode>#,##0</c:formatCode>
                <c:ptCount val="12"/>
                <c:pt idx="0">
                  <c:v>794665.84799999977</c:v>
                </c:pt>
                <c:pt idx="1">
                  <c:v>805888.87200000009</c:v>
                </c:pt>
                <c:pt idx="2">
                  <c:v>748131.03771428554</c:v>
                </c:pt>
                <c:pt idx="3">
                  <c:v>770550.39160714287</c:v>
                </c:pt>
                <c:pt idx="4">
                  <c:v>763026.34950000001</c:v>
                </c:pt>
                <c:pt idx="5">
                  <c:v>769137.24664285721</c:v>
                </c:pt>
                <c:pt idx="6">
                  <c:v>793428.06278571452</c:v>
                </c:pt>
                <c:pt idx="7">
                  <c:v>781359.04092857137</c:v>
                </c:pt>
                <c:pt idx="8">
                  <c:v>814739.81657142844</c:v>
                </c:pt>
                <c:pt idx="9">
                  <c:v>817795.2651428571</c:v>
                </c:pt>
                <c:pt idx="10">
                  <c:v>807501.60675000004</c:v>
                </c:pt>
                <c:pt idx="11">
                  <c:v>821840.33675000002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3C-490A-B1DA-88F731D52EC8}"/>
            </c:ext>
          </c:extLst>
        </c:ser>
        <c:ser>
          <c:idx val="2"/>
          <c:order val="2"/>
          <c:tx>
            <c:strRef>
              <c:f>'Statements Summary 2025'!$B$64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2025'!$K$44:$V$44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2025'!$K$64:$V$64</c:f>
              <c:numCache>
                <c:formatCode>#,##0</c:formatCode>
                <c:ptCount val="12"/>
                <c:pt idx="0">
                  <c:v>635732.67839999986</c:v>
                </c:pt>
                <c:pt idx="1">
                  <c:v>644711.0976000001</c:v>
                </c:pt>
                <c:pt idx="2">
                  <c:v>598504.83017142839</c:v>
                </c:pt>
                <c:pt idx="3">
                  <c:v>616440.31328571425</c:v>
                </c:pt>
                <c:pt idx="4">
                  <c:v>610421.07960000006</c:v>
                </c:pt>
                <c:pt idx="5">
                  <c:v>615309.79731428577</c:v>
                </c:pt>
                <c:pt idx="6">
                  <c:v>634742.45022857166</c:v>
                </c:pt>
                <c:pt idx="7">
                  <c:v>625087.23274285707</c:v>
                </c:pt>
                <c:pt idx="8">
                  <c:v>651791.85325714271</c:v>
                </c:pt>
                <c:pt idx="9">
                  <c:v>654236.21211428568</c:v>
                </c:pt>
                <c:pt idx="10">
                  <c:v>646001.28540000005</c:v>
                </c:pt>
                <c:pt idx="11">
                  <c:v>657472.26939999999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3C-490A-B1DA-88F731D52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571786.75840000017</c:v>
                </c:pt>
                <c:pt idx="1">
                  <c:v>625096.12240000011</c:v>
                </c:pt>
                <c:pt idx="2">
                  <c:v>715545.26939999999</c:v>
                </c:pt>
                <c:pt idx="3">
                  <c:v>749123.89899999986</c:v>
                </c:pt>
                <c:pt idx="4">
                  <c:v>840961.00200000009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1-4891-A9E3-2C9B9FFCC8CA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1-4891-A9E3-2C9B9FFCC8CA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01-4891-A9E3-2C9B9FFCC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571786.75840000017</c:v>
                </c:pt>
                <c:pt idx="1">
                  <c:v>625096.12240000011</c:v>
                </c:pt>
                <c:pt idx="2">
                  <c:v>715545.26939999999</c:v>
                </c:pt>
                <c:pt idx="3">
                  <c:v>749123.89899999986</c:v>
                </c:pt>
                <c:pt idx="4">
                  <c:v>840961.00200000009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01-4891-A9E3-2C9B9FFCC8CA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1148646.1168000004</c:v>
                </c:pt>
                <c:pt idx="1">
                  <c:v>1295628.0448</c:v>
                </c:pt>
                <c:pt idx="2">
                  <c:v>1431090.5387999997</c:v>
                </c:pt>
                <c:pt idx="3">
                  <c:v>1556320.7979999995</c:v>
                </c:pt>
                <c:pt idx="4">
                  <c:v>1745895.0040000002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01-4891-A9E3-2C9B9FFCC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2025'!$B$8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2025'!$K$8:$V$8</c:f>
              <c:numCache>
                <c:formatCode>#,##0</c:formatCode>
                <c:ptCount val="12"/>
                <c:pt idx="0">
                  <c:v>705039.67839999986</c:v>
                </c:pt>
                <c:pt idx="1">
                  <c:v>714018.0976000001</c:v>
                </c:pt>
                <c:pt idx="2">
                  <c:v>667811.83017142839</c:v>
                </c:pt>
                <c:pt idx="3">
                  <c:v>685747.31328571425</c:v>
                </c:pt>
                <c:pt idx="4">
                  <c:v>679728.07960000006</c:v>
                </c:pt>
                <c:pt idx="5">
                  <c:v>684616.79731428577</c:v>
                </c:pt>
                <c:pt idx="6">
                  <c:v>704049.45022857166</c:v>
                </c:pt>
                <c:pt idx="7">
                  <c:v>694394.23274285707</c:v>
                </c:pt>
                <c:pt idx="8">
                  <c:v>721098.85325714271</c:v>
                </c:pt>
                <c:pt idx="9">
                  <c:v>723543.21211428568</c:v>
                </c:pt>
                <c:pt idx="10">
                  <c:v>715308.28540000005</c:v>
                </c:pt>
                <c:pt idx="11">
                  <c:v>715545.26939999999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8-4671-A121-BF78DA05D373}"/>
            </c:ext>
          </c:extLst>
        </c:ser>
        <c:ser>
          <c:idx val="1"/>
          <c:order val="1"/>
          <c:tx>
            <c:strRef>
              <c:f>'Statements Summary 2025'!$B$11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8-4671-A121-BF78DA05D373}"/>
            </c:ext>
          </c:extLst>
        </c:ser>
        <c:ser>
          <c:idx val="2"/>
          <c:order val="2"/>
          <c:tx>
            <c:strRef>
              <c:f>'Statements Summary 2025'!$B$15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2025'!$K$15:$V$15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E8-4671-A121-BF78DA05D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2025'!$B$16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2025'!$K$16:$V$16</c:f>
              <c:numCache>
                <c:formatCode>#,##0</c:formatCode>
                <c:ptCount val="12"/>
                <c:pt idx="0">
                  <c:v>705039.67839999986</c:v>
                </c:pt>
                <c:pt idx="1">
                  <c:v>714018.0976000001</c:v>
                </c:pt>
                <c:pt idx="2">
                  <c:v>667811.83017142839</c:v>
                </c:pt>
                <c:pt idx="3">
                  <c:v>685747.31328571425</c:v>
                </c:pt>
                <c:pt idx="4">
                  <c:v>679728.07960000006</c:v>
                </c:pt>
                <c:pt idx="5">
                  <c:v>684616.79731428577</c:v>
                </c:pt>
                <c:pt idx="6">
                  <c:v>704049.45022857166</c:v>
                </c:pt>
                <c:pt idx="7">
                  <c:v>694394.23274285707</c:v>
                </c:pt>
                <c:pt idx="8">
                  <c:v>721098.85325714271</c:v>
                </c:pt>
                <c:pt idx="9">
                  <c:v>723543.21211428568</c:v>
                </c:pt>
                <c:pt idx="10">
                  <c:v>715308.28540000005</c:v>
                </c:pt>
                <c:pt idx="11">
                  <c:v>715545.26939999999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8-4671-A121-BF78DA05D373}"/>
            </c:ext>
          </c:extLst>
        </c:ser>
        <c:ser>
          <c:idx val="4"/>
          <c:order val="4"/>
          <c:tx>
            <c:strRef>
              <c:f>'Statements Summary 2025'!$B$17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2025'!$K$17:$V$17</c:f>
              <c:numCache>
                <c:formatCode>#,##0</c:formatCode>
                <c:ptCount val="12"/>
                <c:pt idx="0">
                  <c:v>1410079.3567999997</c:v>
                </c:pt>
                <c:pt idx="1">
                  <c:v>1428036.1952000002</c:v>
                </c:pt>
                <c:pt idx="2">
                  <c:v>1335623.6603428568</c:v>
                </c:pt>
                <c:pt idx="3">
                  <c:v>1371494.6265714285</c:v>
                </c:pt>
                <c:pt idx="4">
                  <c:v>1359456.1592000001</c:v>
                </c:pt>
                <c:pt idx="5">
                  <c:v>1369233.5946285715</c:v>
                </c:pt>
                <c:pt idx="6">
                  <c:v>1408098.9004571433</c:v>
                </c:pt>
                <c:pt idx="7">
                  <c:v>1388788.4654857141</c:v>
                </c:pt>
                <c:pt idx="8">
                  <c:v>1442197.7065142854</c:v>
                </c:pt>
                <c:pt idx="9">
                  <c:v>1447086.4242285714</c:v>
                </c:pt>
                <c:pt idx="10">
                  <c:v>1430616.5708000001</c:v>
                </c:pt>
                <c:pt idx="11">
                  <c:v>1431090.5387999997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E8-4671-A121-BF78DA05D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5300048.053568</c:v>
                </c:pt>
                <c:pt idx="1">
                  <c:v>12937033.168768</c:v>
                </c:pt>
                <c:pt idx="2">
                  <c:v>21347934.268282287</c:v>
                </c:pt>
                <c:pt idx="3">
                  <c:v>29790310.365282293</c:v>
                </c:pt>
                <c:pt idx="4">
                  <c:v>40151893.008882284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D-4DDF-A5EB-AD1ED8647ADF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-147151.18960000004</c:v>
                </c:pt>
                <c:pt idx="1">
                  <c:v>-160478.53060000006</c:v>
                </c:pt>
                <c:pt idx="2">
                  <c:v>-164368.06735000003</c:v>
                </c:pt>
                <c:pt idx="3">
                  <c:v>-187280.97474999996</c:v>
                </c:pt>
                <c:pt idx="4">
                  <c:v>-210240.25050000005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0D-4DDF-A5EB-AD1ED8647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5770580.053568</c:v>
                </c:pt>
                <c:pt idx="1">
                  <c:v>13425365.168768</c:v>
                </c:pt>
                <c:pt idx="2">
                  <c:v>21857415.268282287</c:v>
                </c:pt>
                <c:pt idx="3">
                  <c:v>30321328.365282293</c:v>
                </c:pt>
                <c:pt idx="4">
                  <c:v>40704293.008882284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0D-4DDF-A5EB-AD1ED8647ADF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5358426.8639679998</c:v>
                </c:pt>
                <c:pt idx="1">
                  <c:v>13201700.638168</c:v>
                </c:pt>
                <c:pt idx="2">
                  <c:v>21693047.200932287</c:v>
                </c:pt>
                <c:pt idx="3">
                  <c:v>30134047.390532292</c:v>
                </c:pt>
                <c:pt idx="4">
                  <c:v>40494052.758382283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0D-4DDF-A5EB-AD1ED8647ADF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5300048.053568</c:v>
                </c:pt>
                <c:pt idx="1">
                  <c:v>12937033.168768</c:v>
                </c:pt>
                <c:pt idx="2">
                  <c:v>21347934.268282287</c:v>
                </c:pt>
                <c:pt idx="3">
                  <c:v>29790310.365282293</c:v>
                </c:pt>
                <c:pt idx="4">
                  <c:v>40151893.008882284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0D-4DDF-A5EB-AD1ED8647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2025'!$B$88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2025'!$K$88:$V$88</c:f>
              <c:numCache>
                <c:formatCode>#,##0</c:formatCode>
                <c:ptCount val="12"/>
                <c:pt idx="0">
                  <c:v>13642072.847168</c:v>
                </c:pt>
                <c:pt idx="1">
                  <c:v>14356090.944768</c:v>
                </c:pt>
                <c:pt idx="2">
                  <c:v>15023902.774939429</c:v>
                </c:pt>
                <c:pt idx="3">
                  <c:v>15709650.088225143</c:v>
                </c:pt>
                <c:pt idx="4">
                  <c:v>16389378.167825144</c:v>
                </c:pt>
                <c:pt idx="5">
                  <c:v>17073994.96513943</c:v>
                </c:pt>
                <c:pt idx="6">
                  <c:v>17778044.415368002</c:v>
                </c:pt>
                <c:pt idx="7">
                  <c:v>18472438.648110859</c:v>
                </c:pt>
                <c:pt idx="8">
                  <c:v>19193537.501368001</c:v>
                </c:pt>
                <c:pt idx="9">
                  <c:v>19917080.713482287</c:v>
                </c:pt>
                <c:pt idx="10">
                  <c:v>20632388.998882286</c:v>
                </c:pt>
                <c:pt idx="11">
                  <c:v>21347934.268282287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4-4227-BB7D-EE0C0A9EAA1E}"/>
            </c:ext>
          </c:extLst>
        </c:ser>
        <c:ser>
          <c:idx val="2"/>
          <c:order val="2"/>
          <c:tx>
            <c:strRef>
              <c:f>'Statements Summary 2025'!$B$91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2025'!$K$91:$V$91</c:f>
              <c:numCache>
                <c:formatCode>#,##0</c:formatCode>
                <c:ptCount val="12"/>
                <c:pt idx="0">
                  <c:v>-158933.16959999996</c:v>
                </c:pt>
                <c:pt idx="1">
                  <c:v>-161177.77440000002</c:v>
                </c:pt>
                <c:pt idx="2">
                  <c:v>-149626.20754285713</c:v>
                </c:pt>
                <c:pt idx="3">
                  <c:v>-154110.07832142859</c:v>
                </c:pt>
                <c:pt idx="4">
                  <c:v>-152605.26990000001</c:v>
                </c:pt>
                <c:pt idx="5">
                  <c:v>-153827.44932857144</c:v>
                </c:pt>
                <c:pt idx="6">
                  <c:v>-158685.61255714291</c:v>
                </c:pt>
                <c:pt idx="7">
                  <c:v>-156271.80818571427</c:v>
                </c:pt>
                <c:pt idx="8">
                  <c:v>-162947.96331428571</c:v>
                </c:pt>
                <c:pt idx="9">
                  <c:v>-163559.05302857142</c:v>
                </c:pt>
                <c:pt idx="10">
                  <c:v>-161500.32135000001</c:v>
                </c:pt>
                <c:pt idx="11">
                  <c:v>-164368.06735000003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4-4227-BB7D-EE0C0A9EA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2025'!$B$90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2025'!$K$90:$V$90</c:f>
              <c:numCache>
                <c:formatCode>#,##0</c:formatCode>
                <c:ptCount val="12"/>
                <c:pt idx="0">
                  <c:v>14132254.847168</c:v>
                </c:pt>
                <c:pt idx="1">
                  <c:v>14848122.944768</c:v>
                </c:pt>
                <c:pt idx="2">
                  <c:v>15517784.774939429</c:v>
                </c:pt>
                <c:pt idx="3">
                  <c:v>16205243.088225143</c:v>
                </c:pt>
                <c:pt idx="4">
                  <c:v>16886682.167825144</c:v>
                </c:pt>
                <c:pt idx="5">
                  <c:v>17573009.96513943</c:v>
                </c:pt>
                <c:pt idx="6">
                  <c:v>18278770.415368002</c:v>
                </c:pt>
                <c:pt idx="7">
                  <c:v>18974875.648110859</c:v>
                </c:pt>
                <c:pt idx="8">
                  <c:v>19697685.501368001</c:v>
                </c:pt>
                <c:pt idx="9">
                  <c:v>20422939.713482287</c:v>
                </c:pt>
                <c:pt idx="10">
                  <c:v>21139958.998882286</c:v>
                </c:pt>
                <c:pt idx="11">
                  <c:v>21857415.268282287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D4-4227-BB7D-EE0C0A9EAA1E}"/>
            </c:ext>
          </c:extLst>
        </c:ser>
        <c:ser>
          <c:idx val="3"/>
          <c:order val="3"/>
          <c:tx>
            <c:strRef>
              <c:f>'Statements Summary 2025'!$B$94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2025'!$K$94:$V$94</c:f>
              <c:numCache>
                <c:formatCode>#,##0</c:formatCode>
                <c:ptCount val="12"/>
                <c:pt idx="0">
                  <c:v>13973321.677568</c:v>
                </c:pt>
                <c:pt idx="1">
                  <c:v>14686945.170368001</c:v>
                </c:pt>
                <c:pt idx="2">
                  <c:v>15368158.567396572</c:v>
                </c:pt>
                <c:pt idx="3">
                  <c:v>16051133.009903714</c:v>
                </c:pt>
                <c:pt idx="4">
                  <c:v>16734076.897925144</c:v>
                </c:pt>
                <c:pt idx="5">
                  <c:v>17419182.515810858</c:v>
                </c:pt>
                <c:pt idx="6">
                  <c:v>18120084.802810859</c:v>
                </c:pt>
                <c:pt idx="7">
                  <c:v>18818603.839925144</c:v>
                </c:pt>
                <c:pt idx="8">
                  <c:v>19534737.538053714</c:v>
                </c:pt>
                <c:pt idx="9">
                  <c:v>20259380.660453714</c:v>
                </c:pt>
                <c:pt idx="10">
                  <c:v>20978458.677532285</c:v>
                </c:pt>
                <c:pt idx="11">
                  <c:v>21693047.200932287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D4-4227-BB7D-EE0C0A9EAA1E}"/>
            </c:ext>
          </c:extLst>
        </c:ser>
        <c:ser>
          <c:idx val="4"/>
          <c:order val="4"/>
          <c:tx>
            <c:strRef>
              <c:f>'Statements Summary 2025'!$B$95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2025'!$K$95:$V$95</c:f>
              <c:numCache>
                <c:formatCode>#,##0</c:formatCode>
                <c:ptCount val="12"/>
                <c:pt idx="0">
                  <c:v>13642072.847168</c:v>
                </c:pt>
                <c:pt idx="1">
                  <c:v>14356090.944768</c:v>
                </c:pt>
                <c:pt idx="2">
                  <c:v>15023902.774939429</c:v>
                </c:pt>
                <c:pt idx="3">
                  <c:v>15709650.088225143</c:v>
                </c:pt>
                <c:pt idx="4">
                  <c:v>16389378.167825144</c:v>
                </c:pt>
                <c:pt idx="5">
                  <c:v>17073994.96513943</c:v>
                </c:pt>
                <c:pt idx="6">
                  <c:v>17778044.415368002</c:v>
                </c:pt>
                <c:pt idx="7">
                  <c:v>18472438.648110859</c:v>
                </c:pt>
                <c:pt idx="8">
                  <c:v>19193537.501368001</c:v>
                </c:pt>
                <c:pt idx="9">
                  <c:v>19917080.713482287</c:v>
                </c:pt>
                <c:pt idx="10">
                  <c:v>20632388.998882286</c:v>
                </c:pt>
                <c:pt idx="11">
                  <c:v>21347934.268282287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D4-4227-BB7D-EE0C0A9EA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'2026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Summary'!$F$44:$J$44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F-494B-B2F7-9F3858F9DF92}"/>
            </c:ext>
          </c:extLst>
        </c:ser>
        <c:ser>
          <c:idx val="1"/>
          <c:order val="1"/>
          <c:tx>
            <c:strRef>
              <c:f>'2026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Summary'!$F$53:$J$53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9488063.8743928578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0F-494B-B2F7-9F3858F9D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'2026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'2026 Sales Summary'!$F$54:$J$54</c:f>
              <c:numCache>
                <c:formatCode>0%</c:formatCode>
                <c:ptCount val="5"/>
                <c:pt idx="0">
                  <c:v>0.89349733942430165</c:v>
                </c:pt>
                <c:pt idx="1">
                  <c:v>0.89349733942430165</c:v>
                </c:pt>
                <c:pt idx="2">
                  <c:v>0.89349733942430165</c:v>
                </c:pt>
                <c:pt idx="3">
                  <c:v>0.840455951595942</c:v>
                </c:pt>
                <c:pt idx="4">
                  <c:v>0.93075119513469207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0F-494B-B2F7-9F3858F9D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Summary'!$F$51:$J$51</c:f>
              <c:numCache>
                <c:formatCode>#,##0</c:formatCode>
                <c:ptCount val="5"/>
                <c:pt idx="0">
                  <c:v>71.47978715394413</c:v>
                </c:pt>
                <c:pt idx="1">
                  <c:v>71.47978715394413</c:v>
                </c:pt>
                <c:pt idx="2">
                  <c:v>71.47978715394413</c:v>
                </c:pt>
                <c:pt idx="3">
                  <c:v>74.168933186571948</c:v>
                </c:pt>
                <c:pt idx="4">
                  <c:v>74.460095610775383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E-4A59-B36D-A05ABD8AB258}"/>
            </c:ext>
          </c:extLst>
        </c:ser>
        <c:ser>
          <c:idx val="1"/>
          <c:order val="1"/>
          <c:tx>
            <c:strRef>
              <c:f>'2026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Summary'!$F$58:$J$58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EE-4A59-B36D-A05ABD8AB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'2026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'2026 Sales Summary'!$F$63:$J$63</c:f>
              <c:numCache>
                <c:formatCode>#,##0</c:formatCode>
                <c:ptCount val="5"/>
                <c:pt idx="0">
                  <c:v>6615208.4535680003</c:v>
                </c:pt>
                <c:pt idx="1">
                  <c:v>8481873.1152000017</c:v>
                </c:pt>
                <c:pt idx="2">
                  <c:v>8683678.099514287</c:v>
                </c:pt>
                <c:pt idx="3">
                  <c:v>9466684.0969999991</c:v>
                </c:pt>
                <c:pt idx="4">
                  <c:v>10575502.6436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EE-4A59-B36D-A05ABD8AB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'2023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'2023 Sales Summary'!$F$60:$J$60</c:f>
              <c:numCache>
                <c:formatCode>#,##0</c:formatCode>
                <c:ptCount val="5"/>
                <c:pt idx="0">
                  <c:v>5522598.4535680003</c:v>
                </c:pt>
                <c:pt idx="1">
                  <c:v>7391995.1152000008</c:v>
                </c:pt>
                <c:pt idx="2">
                  <c:v>7590451.099514286</c:v>
                </c:pt>
                <c:pt idx="3">
                  <c:v>8373069.0969999991</c:v>
                </c:pt>
                <c:pt idx="4">
                  <c:v>9482132.6436000001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03-4683-B40A-A0DD2835F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'2023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'2023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'2023 Sales Summary'!$F$62:$J$62</c:f>
              <c:numCache>
                <c:formatCode>#,##0</c:formatCode>
                <c:ptCount val="5"/>
                <c:pt idx="0">
                  <c:v>5642130.4535680003</c:v>
                </c:pt>
                <c:pt idx="1">
                  <c:v>7508795.1152000008</c:v>
                </c:pt>
                <c:pt idx="2">
                  <c:v>7710600.099514286</c:v>
                </c:pt>
                <c:pt idx="3">
                  <c:v>8493606.0969999991</c:v>
                </c:pt>
                <c:pt idx="4">
                  <c:v>9602424.6436000001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03-4683-B40A-A0DD2835F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'2026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'2026 Sales Summary'!$F$60:$J$60</c:f>
              <c:numCache>
                <c:formatCode>#,##0</c:formatCode>
                <c:ptCount val="5"/>
                <c:pt idx="0">
                  <c:v>5522598.4535680003</c:v>
                </c:pt>
                <c:pt idx="1">
                  <c:v>7391995.1152000008</c:v>
                </c:pt>
                <c:pt idx="2">
                  <c:v>7590451.099514286</c:v>
                </c:pt>
                <c:pt idx="3">
                  <c:v>8373069.0969999991</c:v>
                </c:pt>
                <c:pt idx="4">
                  <c:v>9482132.6436000001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A-4543-AA27-25D17FB69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'2026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Summary'!$F$62:$J$62</c:f>
              <c:numCache>
                <c:formatCode>#,##0</c:formatCode>
                <c:ptCount val="5"/>
                <c:pt idx="0">
                  <c:v>5642130.4535680003</c:v>
                </c:pt>
                <c:pt idx="1">
                  <c:v>7508795.1152000008</c:v>
                </c:pt>
                <c:pt idx="2">
                  <c:v>7710600.099514286</c:v>
                </c:pt>
                <c:pt idx="3">
                  <c:v>8493606.0969999991</c:v>
                </c:pt>
                <c:pt idx="4">
                  <c:v>9602424.6436000001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A-4543-AA27-25D17FB69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2026'!$B$45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2026'!$E$44:$I$44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2026'!$E$45:$I$45</c:f>
              <c:numCache>
                <c:formatCode>#,##0</c:formatCode>
                <c:ptCount val="5"/>
                <c:pt idx="0">
                  <c:v>794028.94800000021</c:v>
                </c:pt>
                <c:pt idx="1">
                  <c:v>860665.65300000017</c:v>
                </c:pt>
                <c:pt idx="2">
                  <c:v>880113.33675000002</c:v>
                </c:pt>
                <c:pt idx="3">
                  <c:v>994677.8737499998</c:v>
                </c:pt>
                <c:pt idx="4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70-4CCA-B69E-D80880633BED}"/>
            </c:ext>
          </c:extLst>
        </c:ser>
        <c:ser>
          <c:idx val="1"/>
          <c:order val="1"/>
          <c:tx>
            <c:strRef>
              <c:f>'Statements Summary 2026'!$B$57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2026'!$E$44:$I$44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2026'!$E$57:$I$57</c:f>
              <c:numCache>
                <c:formatCode>#,##0</c:formatCode>
                <c:ptCount val="5"/>
                <c:pt idx="0">
                  <c:v>735755.94800000021</c:v>
                </c:pt>
                <c:pt idx="1">
                  <c:v>802392.65300000017</c:v>
                </c:pt>
                <c:pt idx="2">
                  <c:v>821840.33675000002</c:v>
                </c:pt>
                <c:pt idx="3">
                  <c:v>936404.8737499998</c:v>
                </c:pt>
                <c:pt idx="4">
                  <c:v>1051201.2525000002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70-4CCA-B69E-D80880633BED}"/>
            </c:ext>
          </c:extLst>
        </c:ser>
        <c:ser>
          <c:idx val="2"/>
          <c:order val="2"/>
          <c:tx>
            <c:strRef>
              <c:f>'Statements Summary 2026'!$B$64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2026'!$E$44:$I$44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2026'!$E$64:$I$64</c:f>
              <c:numCache>
                <c:formatCode>#,##0</c:formatCode>
                <c:ptCount val="5"/>
                <c:pt idx="0">
                  <c:v>588604.75840000017</c:v>
                </c:pt>
                <c:pt idx="1">
                  <c:v>641914.12240000011</c:v>
                </c:pt>
                <c:pt idx="2">
                  <c:v>657472.26939999999</c:v>
                </c:pt>
                <c:pt idx="3">
                  <c:v>749123.89899999986</c:v>
                </c:pt>
                <c:pt idx="4">
                  <c:v>840961.00200000009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70-4CCA-B69E-D80880633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2026'!$B$45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2026'!$K$44:$V$44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2026'!$K$45:$V$45</c:f>
              <c:numCache>
                <c:formatCode>#,##0</c:formatCode>
                <c:ptCount val="12"/>
                <c:pt idx="0">
                  <c:v>883218.06675</c:v>
                </c:pt>
                <c:pt idx="1">
                  <c:v>904873.55850000004</c:v>
                </c:pt>
                <c:pt idx="2">
                  <c:v>911083.01849999989</c:v>
                </c:pt>
                <c:pt idx="3">
                  <c:v>917292.4785000002</c:v>
                </c:pt>
                <c:pt idx="4">
                  <c:v>923501.93849999981</c:v>
                </c:pt>
                <c:pt idx="5">
                  <c:v>929711.39850000013</c:v>
                </c:pt>
                <c:pt idx="6">
                  <c:v>935920.85850000009</c:v>
                </c:pt>
                <c:pt idx="7">
                  <c:v>960603.46199999982</c:v>
                </c:pt>
                <c:pt idx="8">
                  <c:v>966812.92200000014</c:v>
                </c:pt>
                <c:pt idx="9">
                  <c:v>973022.38199999998</c:v>
                </c:pt>
                <c:pt idx="10">
                  <c:v>988468.41375000018</c:v>
                </c:pt>
                <c:pt idx="11">
                  <c:v>994677.8737499998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A2-4079-B57A-253305099B26}"/>
            </c:ext>
          </c:extLst>
        </c:ser>
        <c:ser>
          <c:idx val="1"/>
          <c:order val="1"/>
          <c:tx>
            <c:strRef>
              <c:f>'Statements Summary 2026'!$B$57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2026'!$K$44:$V$44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2026'!$K$57:$V$57</c:f>
              <c:numCache>
                <c:formatCode>#,##0</c:formatCode>
                <c:ptCount val="12"/>
                <c:pt idx="0">
                  <c:v>813711.06675</c:v>
                </c:pt>
                <c:pt idx="1">
                  <c:v>835366.55850000004</c:v>
                </c:pt>
                <c:pt idx="2">
                  <c:v>841576.01849999989</c:v>
                </c:pt>
                <c:pt idx="3">
                  <c:v>847785.4785000002</c:v>
                </c:pt>
                <c:pt idx="4">
                  <c:v>853994.93849999981</c:v>
                </c:pt>
                <c:pt idx="5">
                  <c:v>860204.39850000013</c:v>
                </c:pt>
                <c:pt idx="6">
                  <c:v>866413.85850000009</c:v>
                </c:pt>
                <c:pt idx="7">
                  <c:v>891096.46199999982</c:v>
                </c:pt>
                <c:pt idx="8">
                  <c:v>897305.92200000014</c:v>
                </c:pt>
                <c:pt idx="9">
                  <c:v>903515.38199999998</c:v>
                </c:pt>
                <c:pt idx="10">
                  <c:v>918961.41375000018</c:v>
                </c:pt>
                <c:pt idx="11">
                  <c:v>936404.8737499998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A2-4079-B57A-253305099B26}"/>
            </c:ext>
          </c:extLst>
        </c:ser>
        <c:ser>
          <c:idx val="2"/>
          <c:order val="2"/>
          <c:tx>
            <c:strRef>
              <c:f>'Statements Summary 2026'!$B$64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2026'!$K$44:$V$44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2026'!$K$64:$V$64</c:f>
              <c:numCache>
                <c:formatCode>#,##0</c:formatCode>
                <c:ptCount val="12"/>
                <c:pt idx="0">
                  <c:v>650968.85340000002</c:v>
                </c:pt>
                <c:pt idx="1">
                  <c:v>668293.24680000008</c:v>
                </c:pt>
                <c:pt idx="2">
                  <c:v>673260.81479999993</c:v>
                </c:pt>
                <c:pt idx="3">
                  <c:v>678228.38280000014</c:v>
                </c:pt>
                <c:pt idx="4">
                  <c:v>683195.95079999988</c:v>
                </c:pt>
                <c:pt idx="5">
                  <c:v>688163.51880000008</c:v>
                </c:pt>
                <c:pt idx="6">
                  <c:v>693131.08680000005</c:v>
                </c:pt>
                <c:pt idx="7">
                  <c:v>712877.16959999991</c:v>
                </c:pt>
                <c:pt idx="8">
                  <c:v>717844.73760000011</c:v>
                </c:pt>
                <c:pt idx="9">
                  <c:v>722812.30559999996</c:v>
                </c:pt>
                <c:pt idx="10">
                  <c:v>735169.13100000017</c:v>
                </c:pt>
                <c:pt idx="11">
                  <c:v>749123.89899999986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A2-4079-B57A-253305099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571786.75840000017</c:v>
                </c:pt>
                <c:pt idx="1">
                  <c:v>625096.12240000011</c:v>
                </c:pt>
                <c:pt idx="2">
                  <c:v>715545.26939999999</c:v>
                </c:pt>
                <c:pt idx="3">
                  <c:v>749123.89899999986</c:v>
                </c:pt>
                <c:pt idx="4">
                  <c:v>840961.00200000009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F-4E1A-A13B-341EA18E40C5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5F-4E1A-A13B-341EA18E40C5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5F-4E1A-A13B-341EA18E4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571786.75840000017</c:v>
                </c:pt>
                <c:pt idx="1">
                  <c:v>625096.12240000011</c:v>
                </c:pt>
                <c:pt idx="2">
                  <c:v>715545.26939999999</c:v>
                </c:pt>
                <c:pt idx="3">
                  <c:v>749123.89899999986</c:v>
                </c:pt>
                <c:pt idx="4">
                  <c:v>840961.00200000009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5F-4E1A-A13B-341EA18E40C5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1148646.1168000004</c:v>
                </c:pt>
                <c:pt idx="1">
                  <c:v>1295628.0448</c:v>
                </c:pt>
                <c:pt idx="2">
                  <c:v>1431090.5387999997</c:v>
                </c:pt>
                <c:pt idx="3">
                  <c:v>1556320.7979999995</c:v>
                </c:pt>
                <c:pt idx="4">
                  <c:v>1745895.0040000002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5F-4E1A-A13B-341EA18E4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2026'!$B$8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2026'!$K$8:$V$8</c:f>
              <c:numCache>
                <c:formatCode>#,##0</c:formatCode>
                <c:ptCount val="12"/>
                <c:pt idx="0">
                  <c:v>650968.85340000002</c:v>
                </c:pt>
                <c:pt idx="1">
                  <c:v>668293.24680000008</c:v>
                </c:pt>
                <c:pt idx="2">
                  <c:v>673260.81479999993</c:v>
                </c:pt>
                <c:pt idx="3">
                  <c:v>678228.38280000014</c:v>
                </c:pt>
                <c:pt idx="4">
                  <c:v>683195.95079999988</c:v>
                </c:pt>
                <c:pt idx="5">
                  <c:v>688163.51880000008</c:v>
                </c:pt>
                <c:pt idx="6">
                  <c:v>693131.08680000005</c:v>
                </c:pt>
                <c:pt idx="7">
                  <c:v>712877.16959999991</c:v>
                </c:pt>
                <c:pt idx="8">
                  <c:v>717844.73760000011</c:v>
                </c:pt>
                <c:pt idx="9">
                  <c:v>722812.30559999996</c:v>
                </c:pt>
                <c:pt idx="10">
                  <c:v>735169.13100000017</c:v>
                </c:pt>
                <c:pt idx="11">
                  <c:v>749123.89899999986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8-4414-9CF6-6BAA6C240A1C}"/>
            </c:ext>
          </c:extLst>
        </c:ser>
        <c:ser>
          <c:idx val="1"/>
          <c:order val="1"/>
          <c:tx>
            <c:strRef>
              <c:f>'Statements Summary 2026'!$B$11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68-4414-9CF6-6BAA6C240A1C}"/>
            </c:ext>
          </c:extLst>
        </c:ser>
        <c:ser>
          <c:idx val="2"/>
          <c:order val="2"/>
          <c:tx>
            <c:strRef>
              <c:f>'Statements Summary 2026'!$B$15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2026'!$K$15:$V$15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68-4414-9CF6-6BAA6C240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2026'!$B$16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2026'!$K$16:$V$16</c:f>
              <c:numCache>
                <c:formatCode>#,##0</c:formatCode>
                <c:ptCount val="12"/>
                <c:pt idx="0">
                  <c:v>650968.85340000002</c:v>
                </c:pt>
                <c:pt idx="1">
                  <c:v>668293.24680000008</c:v>
                </c:pt>
                <c:pt idx="2">
                  <c:v>673260.81479999993</c:v>
                </c:pt>
                <c:pt idx="3">
                  <c:v>678228.38280000014</c:v>
                </c:pt>
                <c:pt idx="4">
                  <c:v>683195.95079999988</c:v>
                </c:pt>
                <c:pt idx="5">
                  <c:v>688163.51880000008</c:v>
                </c:pt>
                <c:pt idx="6">
                  <c:v>693131.08680000005</c:v>
                </c:pt>
                <c:pt idx="7">
                  <c:v>712877.16959999991</c:v>
                </c:pt>
                <c:pt idx="8">
                  <c:v>717844.73760000011</c:v>
                </c:pt>
                <c:pt idx="9">
                  <c:v>722812.30559999996</c:v>
                </c:pt>
                <c:pt idx="10">
                  <c:v>735169.13100000017</c:v>
                </c:pt>
                <c:pt idx="11">
                  <c:v>749123.89899999986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68-4414-9CF6-6BAA6C240A1C}"/>
            </c:ext>
          </c:extLst>
        </c:ser>
        <c:ser>
          <c:idx val="4"/>
          <c:order val="4"/>
          <c:tx>
            <c:strRef>
              <c:f>'Statements Summary 2026'!$B$17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2026'!$K$17:$V$17</c:f>
              <c:numCache>
                <c:formatCode>#,##0</c:formatCode>
                <c:ptCount val="12"/>
                <c:pt idx="0">
                  <c:v>1440551.7068</c:v>
                </c:pt>
                <c:pt idx="1">
                  <c:v>1405893.4936000002</c:v>
                </c:pt>
                <c:pt idx="2">
                  <c:v>1415828.6295999999</c:v>
                </c:pt>
                <c:pt idx="3">
                  <c:v>1425763.7656000005</c:v>
                </c:pt>
                <c:pt idx="4">
                  <c:v>1435698.9015999998</c:v>
                </c:pt>
                <c:pt idx="5">
                  <c:v>1445634.0376000004</c:v>
                </c:pt>
                <c:pt idx="6">
                  <c:v>1455569.1736000003</c:v>
                </c:pt>
                <c:pt idx="7">
                  <c:v>1495061.3391999998</c:v>
                </c:pt>
                <c:pt idx="8">
                  <c:v>1504996.4752000002</c:v>
                </c:pt>
                <c:pt idx="9">
                  <c:v>1514931.6111999997</c:v>
                </c:pt>
                <c:pt idx="10">
                  <c:v>1539645.2620000003</c:v>
                </c:pt>
                <c:pt idx="11">
                  <c:v>1556320.7979999995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68-4414-9CF6-6BAA6C240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5300048.053568</c:v>
                </c:pt>
                <c:pt idx="1">
                  <c:v>12937033.168768</c:v>
                </c:pt>
                <c:pt idx="2">
                  <c:v>21347934.268282287</c:v>
                </c:pt>
                <c:pt idx="3">
                  <c:v>29790310.365282293</c:v>
                </c:pt>
                <c:pt idx="4">
                  <c:v>40151893.008882284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C-4AB4-84DF-EC15E6365F18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-147151.18960000004</c:v>
                </c:pt>
                <c:pt idx="1">
                  <c:v>-160478.53060000006</c:v>
                </c:pt>
                <c:pt idx="2">
                  <c:v>-164368.06735000003</c:v>
                </c:pt>
                <c:pt idx="3">
                  <c:v>-187280.97474999996</c:v>
                </c:pt>
                <c:pt idx="4">
                  <c:v>-210240.25050000005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C-4AB4-84DF-EC15E6365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5770580.053568</c:v>
                </c:pt>
                <c:pt idx="1">
                  <c:v>13425365.168768</c:v>
                </c:pt>
                <c:pt idx="2">
                  <c:v>21857415.268282287</c:v>
                </c:pt>
                <c:pt idx="3">
                  <c:v>30321328.365282293</c:v>
                </c:pt>
                <c:pt idx="4">
                  <c:v>40704293.008882284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DC-4AB4-84DF-EC15E6365F18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5358426.8639679998</c:v>
                </c:pt>
                <c:pt idx="1">
                  <c:v>13201700.638168</c:v>
                </c:pt>
                <c:pt idx="2">
                  <c:v>21693047.200932287</c:v>
                </c:pt>
                <c:pt idx="3">
                  <c:v>30134047.390532292</c:v>
                </c:pt>
                <c:pt idx="4">
                  <c:v>40494052.758382283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DC-4AB4-84DF-EC15E6365F18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5300048.053568</c:v>
                </c:pt>
                <c:pt idx="1">
                  <c:v>12937033.168768</c:v>
                </c:pt>
                <c:pt idx="2">
                  <c:v>21347934.268282287</c:v>
                </c:pt>
                <c:pt idx="3">
                  <c:v>29790310.365282293</c:v>
                </c:pt>
                <c:pt idx="4">
                  <c:v>40151893.008882284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DC-4AB4-84DF-EC15E6365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2026'!$B$88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2026'!$K$88:$V$88</c:f>
              <c:numCache>
                <c:formatCode>#,##0</c:formatCode>
                <c:ptCount val="12"/>
                <c:pt idx="0">
                  <c:v>22068210.121682286</c:v>
                </c:pt>
                <c:pt idx="1">
                  <c:v>22736503.368482288</c:v>
                </c:pt>
                <c:pt idx="2">
                  <c:v>23409764.18328229</c:v>
                </c:pt>
                <c:pt idx="3">
                  <c:v>24087992.566082291</c:v>
                </c:pt>
                <c:pt idx="4">
                  <c:v>24771188.516882293</c:v>
                </c:pt>
                <c:pt idx="5">
                  <c:v>25459352.035682295</c:v>
                </c:pt>
                <c:pt idx="6">
                  <c:v>26152483.122482296</c:v>
                </c:pt>
                <c:pt idx="7">
                  <c:v>26865360.292082295</c:v>
                </c:pt>
                <c:pt idx="8">
                  <c:v>27583205.029682294</c:v>
                </c:pt>
                <c:pt idx="9">
                  <c:v>28306017.335282292</c:v>
                </c:pt>
                <c:pt idx="10">
                  <c:v>29041186.466282293</c:v>
                </c:pt>
                <c:pt idx="11">
                  <c:v>29790310.365282293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1-4702-B493-0F6A9D4722D7}"/>
            </c:ext>
          </c:extLst>
        </c:ser>
        <c:ser>
          <c:idx val="2"/>
          <c:order val="2"/>
          <c:tx>
            <c:strRef>
              <c:f>'Statements Summary 2026'!$B$91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2026'!$K$91:$V$91</c:f>
              <c:numCache>
                <c:formatCode>#,##0</c:formatCode>
                <c:ptCount val="12"/>
                <c:pt idx="0">
                  <c:v>-162742.21335000001</c:v>
                </c:pt>
                <c:pt idx="1">
                  <c:v>-167073.31170000002</c:v>
                </c:pt>
                <c:pt idx="2">
                  <c:v>-168315.20369999998</c:v>
                </c:pt>
                <c:pt idx="3">
                  <c:v>-169557.09570000006</c:v>
                </c:pt>
                <c:pt idx="4">
                  <c:v>-170798.98769999997</c:v>
                </c:pt>
                <c:pt idx="5">
                  <c:v>-172040.87970000005</c:v>
                </c:pt>
                <c:pt idx="6">
                  <c:v>-173282.77170000004</c:v>
                </c:pt>
                <c:pt idx="7">
                  <c:v>-178219.29239999998</c:v>
                </c:pt>
                <c:pt idx="8">
                  <c:v>-179461.18440000003</c:v>
                </c:pt>
                <c:pt idx="9">
                  <c:v>-180703.07640000002</c:v>
                </c:pt>
                <c:pt idx="10">
                  <c:v>-183792.28275000004</c:v>
                </c:pt>
                <c:pt idx="11">
                  <c:v>-187280.97474999996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C1-4702-B493-0F6A9D47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2026'!$B$90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2026'!$K$90:$V$90</c:f>
              <c:numCache>
                <c:formatCode>#,##0</c:formatCode>
                <c:ptCount val="12"/>
                <c:pt idx="0">
                  <c:v>22579602.121682286</c:v>
                </c:pt>
                <c:pt idx="1">
                  <c:v>23249806.368482288</c:v>
                </c:pt>
                <c:pt idx="2">
                  <c:v>23924978.18328229</c:v>
                </c:pt>
                <c:pt idx="3">
                  <c:v>24604962.566082291</c:v>
                </c:pt>
                <c:pt idx="4">
                  <c:v>25289914.516882293</c:v>
                </c:pt>
                <c:pt idx="5">
                  <c:v>25979834.035682295</c:v>
                </c:pt>
                <c:pt idx="6">
                  <c:v>26674721.122482296</c:v>
                </c:pt>
                <c:pt idx="7">
                  <c:v>27389354.292082295</c:v>
                </c:pt>
                <c:pt idx="8">
                  <c:v>28108955.029682294</c:v>
                </c:pt>
                <c:pt idx="9">
                  <c:v>28833523.335282292</c:v>
                </c:pt>
                <c:pt idx="10">
                  <c:v>29570448.466282293</c:v>
                </c:pt>
                <c:pt idx="11">
                  <c:v>30321328.365282293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1-4702-B493-0F6A9D4722D7}"/>
            </c:ext>
          </c:extLst>
        </c:ser>
        <c:ser>
          <c:idx val="3"/>
          <c:order val="3"/>
          <c:tx>
            <c:strRef>
              <c:f>'Statements Summary 2026'!$B$94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2026'!$K$94:$V$94</c:f>
              <c:numCache>
                <c:formatCode>#,##0</c:formatCode>
                <c:ptCount val="12"/>
                <c:pt idx="0">
                  <c:v>22416859.908332285</c:v>
                </c:pt>
                <c:pt idx="1">
                  <c:v>23082733.056782287</c:v>
                </c:pt>
                <c:pt idx="2">
                  <c:v>23756662.979582291</c:v>
                </c:pt>
                <c:pt idx="3">
                  <c:v>24435405.470382292</c:v>
                </c:pt>
                <c:pt idx="4">
                  <c:v>25119115.529182293</c:v>
                </c:pt>
                <c:pt idx="5">
                  <c:v>25807793.155982293</c:v>
                </c:pt>
                <c:pt idx="6">
                  <c:v>26501438.350782298</c:v>
                </c:pt>
                <c:pt idx="7">
                  <c:v>27211134.999682296</c:v>
                </c:pt>
                <c:pt idx="8">
                  <c:v>27929493.845282294</c:v>
                </c:pt>
                <c:pt idx="9">
                  <c:v>28652820.258882292</c:v>
                </c:pt>
                <c:pt idx="10">
                  <c:v>29386656.183532294</c:v>
                </c:pt>
                <c:pt idx="11">
                  <c:v>30134047.390532292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1-4702-B493-0F6A9D4722D7}"/>
            </c:ext>
          </c:extLst>
        </c:ser>
        <c:ser>
          <c:idx val="4"/>
          <c:order val="4"/>
          <c:tx>
            <c:strRef>
              <c:f>'Statements Summary 2026'!$B$95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2026'!$K$95:$V$95</c:f>
              <c:numCache>
                <c:formatCode>#,##0</c:formatCode>
                <c:ptCount val="12"/>
                <c:pt idx="0">
                  <c:v>22068210.121682286</c:v>
                </c:pt>
                <c:pt idx="1">
                  <c:v>22736503.368482288</c:v>
                </c:pt>
                <c:pt idx="2">
                  <c:v>23409764.18328229</c:v>
                </c:pt>
                <c:pt idx="3">
                  <c:v>24087992.566082291</c:v>
                </c:pt>
                <c:pt idx="4">
                  <c:v>24771188.516882293</c:v>
                </c:pt>
                <c:pt idx="5">
                  <c:v>25459352.035682295</c:v>
                </c:pt>
                <c:pt idx="6">
                  <c:v>26152483.122482296</c:v>
                </c:pt>
                <c:pt idx="7">
                  <c:v>26865360.292082295</c:v>
                </c:pt>
                <c:pt idx="8">
                  <c:v>27583205.029682294</c:v>
                </c:pt>
                <c:pt idx="9">
                  <c:v>28306017.335282292</c:v>
                </c:pt>
                <c:pt idx="10">
                  <c:v>29041186.466282293</c:v>
                </c:pt>
                <c:pt idx="11">
                  <c:v>29790310.365282293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C1-4702-B493-0F6A9D47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'2027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Summary'!$F$44:$J$44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2-4F67-98BE-68EDC9B01A42}"/>
            </c:ext>
          </c:extLst>
        </c:ser>
        <c:ser>
          <c:idx val="1"/>
          <c:order val="1"/>
          <c:tx>
            <c:strRef>
              <c:f>'2027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Summary'!$F$53:$J$53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9488063.8743928578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12-4F67-98BE-68EDC9B0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'2027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'2027 Sales Summary'!$F$54:$J$54</c:f>
              <c:numCache>
                <c:formatCode>0%</c:formatCode>
                <c:ptCount val="5"/>
                <c:pt idx="0">
                  <c:v>0.89349733942430165</c:v>
                </c:pt>
                <c:pt idx="1">
                  <c:v>0.89349733942430165</c:v>
                </c:pt>
                <c:pt idx="2">
                  <c:v>0.89349733942430165</c:v>
                </c:pt>
                <c:pt idx="3">
                  <c:v>0.840455951595942</c:v>
                </c:pt>
                <c:pt idx="4">
                  <c:v>0.93075119513469207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12-4F67-98BE-68EDC9B0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Summary'!$F$51:$J$51</c:f>
              <c:numCache>
                <c:formatCode>#,##0</c:formatCode>
                <c:ptCount val="5"/>
                <c:pt idx="0">
                  <c:v>71.47978715394413</c:v>
                </c:pt>
                <c:pt idx="1">
                  <c:v>71.47978715394413</c:v>
                </c:pt>
                <c:pt idx="2">
                  <c:v>71.47978715394413</c:v>
                </c:pt>
                <c:pt idx="3">
                  <c:v>74.168933186571948</c:v>
                </c:pt>
                <c:pt idx="4">
                  <c:v>74.460095610775383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6-4324-B3D8-DA3A42E1550F}"/>
            </c:ext>
          </c:extLst>
        </c:ser>
        <c:ser>
          <c:idx val="1"/>
          <c:order val="1"/>
          <c:tx>
            <c:strRef>
              <c:f>'2027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Summary'!$F$58:$J$58</c:f>
              <c:numCache>
                <c:formatCode>#,##0</c:formatCode>
                <c:ptCount val="5"/>
                <c:pt idx="0">
                  <c:v>6903248.0669600004</c:v>
                </c:pt>
                <c:pt idx="1">
                  <c:v>9239993.8940000013</c:v>
                </c:pt>
                <c:pt idx="2">
                  <c:v>9488063.8743928578</c:v>
                </c:pt>
                <c:pt idx="3">
                  <c:v>10466336.371249998</c:v>
                </c:pt>
                <c:pt idx="4">
                  <c:v>11852665.804499999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16-4324-B3D8-DA3A42E15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'2027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'2027 Sales Summary'!$F$63:$J$63</c:f>
              <c:numCache>
                <c:formatCode>#,##0</c:formatCode>
                <c:ptCount val="5"/>
                <c:pt idx="0">
                  <c:v>6615208.4535680003</c:v>
                </c:pt>
                <c:pt idx="1">
                  <c:v>8481873.1152000017</c:v>
                </c:pt>
                <c:pt idx="2">
                  <c:v>8683678.099514287</c:v>
                </c:pt>
                <c:pt idx="3">
                  <c:v>9466684.0969999991</c:v>
                </c:pt>
                <c:pt idx="4">
                  <c:v>10575502.6436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16-4324-B3D8-DA3A42E15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'2027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'2027 Sales Summary'!$F$60:$J$60</c:f>
              <c:numCache>
                <c:formatCode>#,##0</c:formatCode>
                <c:ptCount val="5"/>
                <c:pt idx="0">
                  <c:v>5522598.4535680003</c:v>
                </c:pt>
                <c:pt idx="1">
                  <c:v>7391995.1152000008</c:v>
                </c:pt>
                <c:pt idx="2">
                  <c:v>7590451.099514286</c:v>
                </c:pt>
                <c:pt idx="3">
                  <c:v>8373069.0969999991</c:v>
                </c:pt>
                <c:pt idx="4">
                  <c:v>9482132.6436000001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5-4018-92F0-6F6DC94B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'2027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Summary'!$F$62:$J$62</c:f>
              <c:numCache>
                <c:formatCode>#,##0</c:formatCode>
                <c:ptCount val="5"/>
                <c:pt idx="0">
                  <c:v>5642130.4535680003</c:v>
                </c:pt>
                <c:pt idx="1">
                  <c:v>7508795.1152000008</c:v>
                </c:pt>
                <c:pt idx="2">
                  <c:v>7710600.099514286</c:v>
                </c:pt>
                <c:pt idx="3">
                  <c:v>8493606.0969999991</c:v>
                </c:pt>
                <c:pt idx="4">
                  <c:v>9602424.6436000001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5-4018-92F0-6F6DC94B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2023'!$B$44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2023'!$E$43:$I$43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2023'!$E$44:$I$44</c:f>
              <c:numCache>
                <c:formatCode>#,##0</c:formatCode>
                <c:ptCount val="5"/>
                <c:pt idx="0">
                  <c:v>794028.94800000021</c:v>
                </c:pt>
                <c:pt idx="1">
                  <c:v>860665.65300000017</c:v>
                </c:pt>
                <c:pt idx="2">
                  <c:v>880113.33675000002</c:v>
                </c:pt>
                <c:pt idx="3">
                  <c:v>994677.8737499998</c:v>
                </c:pt>
                <c:pt idx="4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1F-41C1-A1F0-01419F3AB6B7}"/>
            </c:ext>
          </c:extLst>
        </c:ser>
        <c:ser>
          <c:idx val="1"/>
          <c:order val="1"/>
          <c:tx>
            <c:strRef>
              <c:f>'Statements Summary 2023'!$B$56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2023'!$E$43:$I$43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2023'!$E$56:$I$56</c:f>
              <c:numCache>
                <c:formatCode>#,##0</c:formatCode>
                <c:ptCount val="5"/>
                <c:pt idx="0">
                  <c:v>735755.94800000021</c:v>
                </c:pt>
                <c:pt idx="1">
                  <c:v>802392.65300000017</c:v>
                </c:pt>
                <c:pt idx="2">
                  <c:v>821840.33675000002</c:v>
                </c:pt>
                <c:pt idx="3">
                  <c:v>936404.8737499998</c:v>
                </c:pt>
                <c:pt idx="4">
                  <c:v>1051201.2525000002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1F-41C1-A1F0-01419F3AB6B7}"/>
            </c:ext>
          </c:extLst>
        </c:ser>
        <c:ser>
          <c:idx val="2"/>
          <c:order val="2"/>
          <c:tx>
            <c:strRef>
              <c:f>'Statements Summary 2023'!$B$63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2023'!$E$43:$I$43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2023'!$E$63:$I$63</c:f>
              <c:numCache>
                <c:formatCode>#,##0</c:formatCode>
                <c:ptCount val="5"/>
                <c:pt idx="0">
                  <c:v>588604.75840000017</c:v>
                </c:pt>
                <c:pt idx="1">
                  <c:v>641914.12240000011</c:v>
                </c:pt>
                <c:pt idx="2">
                  <c:v>657472.26939999999</c:v>
                </c:pt>
                <c:pt idx="3">
                  <c:v>749123.89899999986</c:v>
                </c:pt>
                <c:pt idx="4">
                  <c:v>840961.00200000009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1F-41C1-A1F0-01419F3AB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2027'!$B$45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2027'!$E$44:$I$44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2027'!$E$45:$I$45</c:f>
              <c:numCache>
                <c:formatCode>#,##0</c:formatCode>
                <c:ptCount val="5"/>
                <c:pt idx="0">
                  <c:v>794028.94800000021</c:v>
                </c:pt>
                <c:pt idx="1">
                  <c:v>860665.65300000017</c:v>
                </c:pt>
                <c:pt idx="2">
                  <c:v>880113.33675000002</c:v>
                </c:pt>
                <c:pt idx="3">
                  <c:v>994677.8737499998</c:v>
                </c:pt>
                <c:pt idx="4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94-4AED-9C1A-D21D9E19807A}"/>
            </c:ext>
          </c:extLst>
        </c:ser>
        <c:ser>
          <c:idx val="1"/>
          <c:order val="1"/>
          <c:tx>
            <c:strRef>
              <c:f>'Statements Summary 2027'!$B$57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2027'!$E$44:$I$44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2027'!$E$57:$I$57</c:f>
              <c:numCache>
                <c:formatCode>#,##0</c:formatCode>
                <c:ptCount val="5"/>
                <c:pt idx="0">
                  <c:v>735755.94800000021</c:v>
                </c:pt>
                <c:pt idx="1">
                  <c:v>802392.65300000017</c:v>
                </c:pt>
                <c:pt idx="2">
                  <c:v>821840.33675000002</c:v>
                </c:pt>
                <c:pt idx="3">
                  <c:v>936404.8737499998</c:v>
                </c:pt>
                <c:pt idx="4">
                  <c:v>1051201.2525000002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94-4AED-9C1A-D21D9E19807A}"/>
            </c:ext>
          </c:extLst>
        </c:ser>
        <c:ser>
          <c:idx val="2"/>
          <c:order val="2"/>
          <c:tx>
            <c:strRef>
              <c:f>'Statements Summary 2027'!$B$64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2027'!$E$44:$I$44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2027'!$E$64:$I$64</c:f>
              <c:numCache>
                <c:formatCode>#,##0</c:formatCode>
                <c:ptCount val="5"/>
                <c:pt idx="0">
                  <c:v>588604.75840000017</c:v>
                </c:pt>
                <c:pt idx="1">
                  <c:v>641914.12240000011</c:v>
                </c:pt>
                <c:pt idx="2">
                  <c:v>657472.26939999999</c:v>
                </c:pt>
                <c:pt idx="3">
                  <c:v>749123.89899999986</c:v>
                </c:pt>
                <c:pt idx="4">
                  <c:v>840961.00200000009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94-4AED-9C1A-D21D9E198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2027'!$B$45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2027'!$K$44:$V$44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2027'!$K$45:$V$45</c:f>
              <c:numCache>
                <c:formatCode>#,##0</c:formatCode>
                <c:ptCount val="12"/>
                <c:pt idx="0">
                  <c:v>1000887.3337500001</c:v>
                </c:pt>
                <c:pt idx="1">
                  <c:v>1007096.79375</c:v>
                </c:pt>
                <c:pt idx="2">
                  <c:v>1031779.3972500002</c:v>
                </c:pt>
                <c:pt idx="3">
                  <c:v>1037988.8572499999</c:v>
                </c:pt>
                <c:pt idx="4">
                  <c:v>1044198.3172499998</c:v>
                </c:pt>
                <c:pt idx="5">
                  <c:v>1050407.7772500003</c:v>
                </c:pt>
                <c:pt idx="6">
                  <c:v>1065853.8089999999</c:v>
                </c:pt>
                <c:pt idx="7">
                  <c:v>1072063.2690000001</c:v>
                </c:pt>
                <c:pt idx="8">
                  <c:v>1096745.8725000001</c:v>
                </c:pt>
                <c:pt idx="9">
                  <c:v>1102955.3325</c:v>
                </c:pt>
                <c:pt idx="10">
                  <c:v>1109164.7925</c:v>
                </c:pt>
                <c:pt idx="11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97-4E6A-963A-750F60867B32}"/>
            </c:ext>
          </c:extLst>
        </c:ser>
        <c:ser>
          <c:idx val="1"/>
          <c:order val="1"/>
          <c:tx>
            <c:strRef>
              <c:f>'Statements Summary 2027'!$B$57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2027'!$K$44:$V$44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2027'!$K$57:$V$57</c:f>
              <c:numCache>
                <c:formatCode>#,##0</c:formatCode>
                <c:ptCount val="12"/>
                <c:pt idx="0">
                  <c:v>931380.33375000011</c:v>
                </c:pt>
                <c:pt idx="1">
                  <c:v>937589.79374999995</c:v>
                </c:pt>
                <c:pt idx="2">
                  <c:v>956372.39725000015</c:v>
                </c:pt>
                <c:pt idx="3">
                  <c:v>962581.85724999988</c:v>
                </c:pt>
                <c:pt idx="4">
                  <c:v>968791.31724999985</c:v>
                </c:pt>
                <c:pt idx="5">
                  <c:v>975000.77725000028</c:v>
                </c:pt>
                <c:pt idx="6">
                  <c:v>990446.80899999989</c:v>
                </c:pt>
                <c:pt idx="7">
                  <c:v>996656.26900000009</c:v>
                </c:pt>
                <c:pt idx="8">
                  <c:v>1021338.8725000001</c:v>
                </c:pt>
                <c:pt idx="9">
                  <c:v>1027548.3325</c:v>
                </c:pt>
                <c:pt idx="10">
                  <c:v>1033757.7925</c:v>
                </c:pt>
                <c:pt idx="11">
                  <c:v>1051201.2525000002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97-4E6A-963A-750F60867B32}"/>
            </c:ext>
          </c:extLst>
        </c:ser>
        <c:ser>
          <c:idx val="2"/>
          <c:order val="2"/>
          <c:tx>
            <c:strRef>
              <c:f>'Statements Summary 2027'!$B$64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2027'!$K$44:$V$44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2027'!$K$64:$V$64</c:f>
              <c:numCache>
                <c:formatCode>#,##0</c:formatCode>
                <c:ptCount val="12"/>
                <c:pt idx="0">
                  <c:v>745104.26700000011</c:v>
                </c:pt>
                <c:pt idx="1">
                  <c:v>750071.83499999996</c:v>
                </c:pt>
                <c:pt idx="2">
                  <c:v>765097.91780000017</c:v>
                </c:pt>
                <c:pt idx="3">
                  <c:v>770065.48579999991</c:v>
                </c:pt>
                <c:pt idx="4">
                  <c:v>775033.05379999988</c:v>
                </c:pt>
                <c:pt idx="5">
                  <c:v>780000.6218000002</c:v>
                </c:pt>
                <c:pt idx="6">
                  <c:v>792357.44719999994</c:v>
                </c:pt>
                <c:pt idx="7">
                  <c:v>797325.01520000002</c:v>
                </c:pt>
                <c:pt idx="8">
                  <c:v>817071.098</c:v>
                </c:pt>
                <c:pt idx="9">
                  <c:v>822038.66599999997</c:v>
                </c:pt>
                <c:pt idx="10">
                  <c:v>827006.23399999994</c:v>
                </c:pt>
                <c:pt idx="11">
                  <c:v>840961.00200000009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97-4E6A-963A-750F60867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571786.75840000017</c:v>
                </c:pt>
                <c:pt idx="1">
                  <c:v>625096.12240000011</c:v>
                </c:pt>
                <c:pt idx="2">
                  <c:v>715545.26939999999</c:v>
                </c:pt>
                <c:pt idx="3">
                  <c:v>749123.89899999986</c:v>
                </c:pt>
                <c:pt idx="4">
                  <c:v>840961.00200000009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2-43AA-AF24-381DF7D0E6F4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A2-43AA-AF24-381DF7D0E6F4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A2-43AA-AF24-381DF7D0E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571786.75840000017</c:v>
                </c:pt>
                <c:pt idx="1">
                  <c:v>625096.12240000011</c:v>
                </c:pt>
                <c:pt idx="2">
                  <c:v>715545.26939999999</c:v>
                </c:pt>
                <c:pt idx="3">
                  <c:v>749123.89899999986</c:v>
                </c:pt>
                <c:pt idx="4">
                  <c:v>840961.00200000009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A2-43AA-AF24-381DF7D0E6F4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1148646.1168000004</c:v>
                </c:pt>
                <c:pt idx="1">
                  <c:v>1295628.0448</c:v>
                </c:pt>
                <c:pt idx="2">
                  <c:v>1431090.5387999997</c:v>
                </c:pt>
                <c:pt idx="3">
                  <c:v>1556320.7979999995</c:v>
                </c:pt>
                <c:pt idx="4">
                  <c:v>1745895.0040000002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A2-43AA-AF24-381DF7D0E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2027'!$B$8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2027'!$K$8:$V$8</c:f>
              <c:numCache>
                <c:formatCode>#,##0</c:formatCode>
                <c:ptCount val="12"/>
                <c:pt idx="0">
                  <c:v>745104.26700000011</c:v>
                </c:pt>
                <c:pt idx="1">
                  <c:v>750071.83499999996</c:v>
                </c:pt>
                <c:pt idx="2">
                  <c:v>765097.91780000017</c:v>
                </c:pt>
                <c:pt idx="3">
                  <c:v>770065.48579999991</c:v>
                </c:pt>
                <c:pt idx="4">
                  <c:v>775033.05379999988</c:v>
                </c:pt>
                <c:pt idx="5">
                  <c:v>780000.6218000002</c:v>
                </c:pt>
                <c:pt idx="6">
                  <c:v>792357.44719999994</c:v>
                </c:pt>
                <c:pt idx="7">
                  <c:v>797325.01520000002</c:v>
                </c:pt>
                <c:pt idx="8">
                  <c:v>817071.098</c:v>
                </c:pt>
                <c:pt idx="9">
                  <c:v>822038.66599999997</c:v>
                </c:pt>
                <c:pt idx="10">
                  <c:v>827006.23399999994</c:v>
                </c:pt>
                <c:pt idx="11">
                  <c:v>840961.00200000009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C-4EB5-870E-A2CCEFAD287F}"/>
            </c:ext>
          </c:extLst>
        </c:ser>
        <c:ser>
          <c:idx val="1"/>
          <c:order val="1"/>
          <c:tx>
            <c:strRef>
              <c:f>'Statements Summary 2027'!$B$11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9C-4EB5-870E-A2CCEFAD287F}"/>
            </c:ext>
          </c:extLst>
        </c:ser>
        <c:ser>
          <c:idx val="2"/>
          <c:order val="2"/>
          <c:tx>
            <c:strRef>
              <c:f>'Statements Summary 2027'!$B$15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2027'!$K$15:$V$15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9C-4EB5-870E-A2CCEFAD2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2027'!$B$16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2027'!$K$16:$V$16</c:f>
              <c:numCache>
                <c:formatCode>#,##0</c:formatCode>
                <c:ptCount val="12"/>
                <c:pt idx="0">
                  <c:v>745104.26700000011</c:v>
                </c:pt>
                <c:pt idx="1">
                  <c:v>750071.83499999996</c:v>
                </c:pt>
                <c:pt idx="2">
                  <c:v>765097.91780000017</c:v>
                </c:pt>
                <c:pt idx="3">
                  <c:v>770065.48579999991</c:v>
                </c:pt>
                <c:pt idx="4">
                  <c:v>775033.05379999988</c:v>
                </c:pt>
                <c:pt idx="5">
                  <c:v>780000.6218000002</c:v>
                </c:pt>
                <c:pt idx="6">
                  <c:v>792357.44719999994</c:v>
                </c:pt>
                <c:pt idx="7">
                  <c:v>797325.01520000002</c:v>
                </c:pt>
                <c:pt idx="8">
                  <c:v>817071.098</c:v>
                </c:pt>
                <c:pt idx="9">
                  <c:v>822038.66599999997</c:v>
                </c:pt>
                <c:pt idx="10">
                  <c:v>827006.23399999994</c:v>
                </c:pt>
                <c:pt idx="11">
                  <c:v>840961.00200000009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9C-4EB5-870E-A2CCEFAD287F}"/>
            </c:ext>
          </c:extLst>
        </c:ser>
        <c:ser>
          <c:idx val="4"/>
          <c:order val="4"/>
          <c:tx>
            <c:strRef>
              <c:f>'Statements Summary 2027'!$B$17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2027'!$K$17:$V$17</c:f>
              <c:numCache>
                <c:formatCode>#,##0</c:formatCode>
                <c:ptCount val="12"/>
                <c:pt idx="0">
                  <c:v>1628822.5340000002</c:v>
                </c:pt>
                <c:pt idx="1">
                  <c:v>1569450.67</c:v>
                </c:pt>
                <c:pt idx="2">
                  <c:v>1605402.8356000003</c:v>
                </c:pt>
                <c:pt idx="3">
                  <c:v>1615337.9715999998</c:v>
                </c:pt>
                <c:pt idx="4">
                  <c:v>1625273.1075999998</c:v>
                </c:pt>
                <c:pt idx="5">
                  <c:v>1635208.2436000006</c:v>
                </c:pt>
                <c:pt idx="6">
                  <c:v>1659921.8943999996</c:v>
                </c:pt>
                <c:pt idx="7">
                  <c:v>1669857.0304</c:v>
                </c:pt>
                <c:pt idx="8">
                  <c:v>1709349.196</c:v>
                </c:pt>
                <c:pt idx="9">
                  <c:v>1719284.3319999999</c:v>
                </c:pt>
                <c:pt idx="10">
                  <c:v>1729219.4679999999</c:v>
                </c:pt>
                <c:pt idx="11">
                  <c:v>1745895.0040000002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9C-4EB5-870E-A2CCEFAD2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5300048.053568</c:v>
                </c:pt>
                <c:pt idx="1">
                  <c:v>12937033.168768</c:v>
                </c:pt>
                <c:pt idx="2">
                  <c:v>21347934.268282287</c:v>
                </c:pt>
                <c:pt idx="3">
                  <c:v>29790310.365282293</c:v>
                </c:pt>
                <c:pt idx="4">
                  <c:v>40151893.008882284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1-40FE-B8A8-A6508339DDC5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-147151.18960000004</c:v>
                </c:pt>
                <c:pt idx="1">
                  <c:v>-160478.53060000006</c:v>
                </c:pt>
                <c:pt idx="2">
                  <c:v>-164368.06735000003</c:v>
                </c:pt>
                <c:pt idx="3">
                  <c:v>-187280.97474999996</c:v>
                </c:pt>
                <c:pt idx="4">
                  <c:v>-210240.25050000005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B1-40FE-B8A8-A6508339D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5770580.053568</c:v>
                </c:pt>
                <c:pt idx="1">
                  <c:v>13425365.168768</c:v>
                </c:pt>
                <c:pt idx="2">
                  <c:v>21857415.268282287</c:v>
                </c:pt>
                <c:pt idx="3">
                  <c:v>30321328.365282293</c:v>
                </c:pt>
                <c:pt idx="4">
                  <c:v>40704293.008882284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B1-40FE-B8A8-A6508339DDC5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5358426.8639679998</c:v>
                </c:pt>
                <c:pt idx="1">
                  <c:v>13201700.638168</c:v>
                </c:pt>
                <c:pt idx="2">
                  <c:v>21693047.200932287</c:v>
                </c:pt>
                <c:pt idx="3">
                  <c:v>30134047.390532292</c:v>
                </c:pt>
                <c:pt idx="4">
                  <c:v>40494052.758382283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B1-40FE-B8A8-A6508339DDC5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5300048.053568</c:v>
                </c:pt>
                <c:pt idx="1">
                  <c:v>12937033.168768</c:v>
                </c:pt>
                <c:pt idx="2">
                  <c:v>21347934.268282287</c:v>
                </c:pt>
                <c:pt idx="3">
                  <c:v>29790310.365282293</c:v>
                </c:pt>
                <c:pt idx="4">
                  <c:v>40151893.008882284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B1-40FE-B8A8-A6508339D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2027'!$B$88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2027'!$K$88:$V$88</c:f>
              <c:numCache>
                <c:formatCode>#,##0</c:formatCode>
                <c:ptCount val="12"/>
                <c:pt idx="0">
                  <c:v>30604721.632282294</c:v>
                </c:pt>
                <c:pt idx="1">
                  <c:v>31424100.467282295</c:v>
                </c:pt>
                <c:pt idx="2">
                  <c:v>32264405.385082297</c:v>
                </c:pt>
                <c:pt idx="3">
                  <c:v>33109677.870882295</c:v>
                </c:pt>
                <c:pt idx="4">
                  <c:v>33959917.924682297</c:v>
                </c:pt>
                <c:pt idx="5">
                  <c:v>34815125.546482295</c:v>
                </c:pt>
                <c:pt idx="6">
                  <c:v>35682689.993682295</c:v>
                </c:pt>
                <c:pt idx="7">
                  <c:v>36555222.008882292</c:v>
                </c:pt>
                <c:pt idx="8">
                  <c:v>37447500.106882289</c:v>
                </c:pt>
                <c:pt idx="9">
                  <c:v>38344745.77288229</c:v>
                </c:pt>
                <c:pt idx="10">
                  <c:v>39246959.006882288</c:v>
                </c:pt>
                <c:pt idx="11">
                  <c:v>40151893.008882284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2B-417E-A1EC-5CA047233CBB}"/>
            </c:ext>
          </c:extLst>
        </c:ser>
        <c:ser>
          <c:idx val="2"/>
          <c:order val="2"/>
          <c:tx>
            <c:strRef>
              <c:f>'Statements Summary 2027'!$B$91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2027'!$K$91:$V$91</c:f>
              <c:numCache>
                <c:formatCode>#,##0</c:formatCode>
                <c:ptCount val="12"/>
                <c:pt idx="0">
                  <c:v>-186276.06675000003</c:v>
                </c:pt>
                <c:pt idx="1">
                  <c:v>-187517.95874999999</c:v>
                </c:pt>
                <c:pt idx="2">
                  <c:v>-191274.47945000004</c:v>
                </c:pt>
                <c:pt idx="3">
                  <c:v>-192516.37144999998</c:v>
                </c:pt>
                <c:pt idx="4">
                  <c:v>-193758.26344999997</c:v>
                </c:pt>
                <c:pt idx="5">
                  <c:v>-195000.15545000008</c:v>
                </c:pt>
                <c:pt idx="6">
                  <c:v>-198089.36179999998</c:v>
                </c:pt>
                <c:pt idx="7">
                  <c:v>-199331.25380000003</c:v>
                </c:pt>
                <c:pt idx="8">
                  <c:v>-204267.77450000003</c:v>
                </c:pt>
                <c:pt idx="9">
                  <c:v>-205509.66650000002</c:v>
                </c:pt>
                <c:pt idx="10">
                  <c:v>-206751.55850000001</c:v>
                </c:pt>
                <c:pt idx="11">
                  <c:v>-210240.25050000005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2B-417E-A1EC-5CA047233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2027'!$B$90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2027'!$K$90:$V$90</c:f>
              <c:numCache>
                <c:formatCode>#,##0</c:formatCode>
                <c:ptCount val="12"/>
                <c:pt idx="0">
                  <c:v>31137495.632282294</c:v>
                </c:pt>
                <c:pt idx="1">
                  <c:v>31958785.467282295</c:v>
                </c:pt>
                <c:pt idx="2">
                  <c:v>32801001.385082297</c:v>
                </c:pt>
                <c:pt idx="3">
                  <c:v>33648029.870882295</c:v>
                </c:pt>
                <c:pt idx="4">
                  <c:v>34500025.924682297</c:v>
                </c:pt>
                <c:pt idx="5">
                  <c:v>35356989.546482295</c:v>
                </c:pt>
                <c:pt idx="6">
                  <c:v>36226309.993682295</c:v>
                </c:pt>
                <c:pt idx="7">
                  <c:v>37100598.008882292</c:v>
                </c:pt>
                <c:pt idx="8">
                  <c:v>37994632.106882289</c:v>
                </c:pt>
                <c:pt idx="9">
                  <c:v>38893633.77288229</c:v>
                </c:pt>
                <c:pt idx="10">
                  <c:v>39797603.006882288</c:v>
                </c:pt>
                <c:pt idx="11">
                  <c:v>40704293.008882284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2B-417E-A1EC-5CA047233CBB}"/>
            </c:ext>
          </c:extLst>
        </c:ser>
        <c:ser>
          <c:idx val="3"/>
          <c:order val="3"/>
          <c:tx>
            <c:strRef>
              <c:f>'Statements Summary 2027'!$B$94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2027'!$K$94:$V$94</c:f>
              <c:numCache>
                <c:formatCode>#,##0</c:formatCode>
                <c:ptCount val="12"/>
                <c:pt idx="0">
                  <c:v>30951219.565532293</c:v>
                </c:pt>
                <c:pt idx="1">
                  <c:v>31771267.508532297</c:v>
                </c:pt>
                <c:pt idx="2">
                  <c:v>32609726.905632298</c:v>
                </c:pt>
                <c:pt idx="3">
                  <c:v>33455513.499432296</c:v>
                </c:pt>
                <c:pt idx="4">
                  <c:v>34306267.6612323</c:v>
                </c:pt>
                <c:pt idx="5">
                  <c:v>35161989.391032293</c:v>
                </c:pt>
                <c:pt idx="6">
                  <c:v>36028220.631882295</c:v>
                </c:pt>
                <c:pt idx="7">
                  <c:v>36901266.755082294</c:v>
                </c:pt>
                <c:pt idx="8">
                  <c:v>37790364.332382292</c:v>
                </c:pt>
                <c:pt idx="9">
                  <c:v>38688124.106382288</c:v>
                </c:pt>
                <c:pt idx="10">
                  <c:v>39590851.448382288</c:v>
                </c:pt>
                <c:pt idx="11">
                  <c:v>40494052.758382283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2B-417E-A1EC-5CA047233CBB}"/>
            </c:ext>
          </c:extLst>
        </c:ser>
        <c:ser>
          <c:idx val="4"/>
          <c:order val="4"/>
          <c:tx>
            <c:strRef>
              <c:f>'Statements Summary 2027'!$B$95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2027'!$K$95:$V$95</c:f>
              <c:numCache>
                <c:formatCode>#,##0</c:formatCode>
                <c:ptCount val="12"/>
                <c:pt idx="0">
                  <c:v>30604721.632282294</c:v>
                </c:pt>
                <c:pt idx="1">
                  <c:v>31424100.467282295</c:v>
                </c:pt>
                <c:pt idx="2">
                  <c:v>32264405.385082297</c:v>
                </c:pt>
                <c:pt idx="3">
                  <c:v>33109677.870882295</c:v>
                </c:pt>
                <c:pt idx="4">
                  <c:v>33959917.924682297</c:v>
                </c:pt>
                <c:pt idx="5">
                  <c:v>34815125.546482295</c:v>
                </c:pt>
                <c:pt idx="6">
                  <c:v>35682689.993682295</c:v>
                </c:pt>
                <c:pt idx="7">
                  <c:v>36555222.008882292</c:v>
                </c:pt>
                <c:pt idx="8">
                  <c:v>37447500.106882289</c:v>
                </c:pt>
                <c:pt idx="9">
                  <c:v>38344745.77288229</c:v>
                </c:pt>
                <c:pt idx="10">
                  <c:v>39246959.006882288</c:v>
                </c:pt>
                <c:pt idx="11">
                  <c:v>40151893.008882284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2B-417E-A1EC-5CA047233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Sales Totals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'2023 Sales Summary'!$B$25</c:f>
              <c:strCache>
                <c:ptCount val="1"/>
                <c:pt idx="0">
                  <c:v>Base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Summary'!$F$27:$Q$27</c:f>
              <c:numCache>
                <c:formatCode>#,##0</c:formatCode>
                <c:ptCount val="12"/>
                <c:pt idx="0">
                  <c:v>11443.355999999996</c:v>
                </c:pt>
                <c:pt idx="1">
                  <c:v>11680.524000000001</c:v>
                </c:pt>
                <c:pt idx="2">
                  <c:v>11974.61232</c:v>
                </c:pt>
                <c:pt idx="3">
                  <c:v>12243.797999999997</c:v>
                </c:pt>
                <c:pt idx="4">
                  <c:v>12833.753399999998</c:v>
                </c:pt>
                <c:pt idx="5">
                  <c:v>13308.089400000001</c:v>
                </c:pt>
                <c:pt idx="6">
                  <c:v>13566.009599999999</c:v>
                </c:pt>
                <c:pt idx="7">
                  <c:v>14007.735000000001</c:v>
                </c:pt>
                <c:pt idx="8">
                  <c:v>14467.247999999996</c:v>
                </c:pt>
                <c:pt idx="9">
                  <c:v>15297.336000000001</c:v>
                </c:pt>
                <c:pt idx="10">
                  <c:v>15667.911000000002</c:v>
                </c:pt>
                <c:pt idx="11">
                  <c:v>16779.636000000002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1-4A0F-9E44-E5CF159A683E}"/>
            </c:ext>
          </c:extLst>
        </c:ser>
        <c:ser>
          <c:idx val="1"/>
          <c:order val="1"/>
          <c:tx>
            <c:strRef>
              <c:f>'2023 Sales Summary'!$B$28</c:f>
              <c:strCache>
                <c:ptCount val="1"/>
                <c:pt idx="0">
                  <c:v>Model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Summary'!$F$30:$Q$30</c:f>
              <c:numCache>
                <c:formatCode>#,##0</c:formatCode>
                <c:ptCount val="12"/>
                <c:pt idx="0">
                  <c:v>16105.463999999996</c:v>
                </c:pt>
                <c:pt idx="1">
                  <c:v>16439.256000000001</c:v>
                </c:pt>
                <c:pt idx="2">
                  <c:v>16853.158080000001</c:v>
                </c:pt>
                <c:pt idx="3">
                  <c:v>17232.011999999995</c:v>
                </c:pt>
                <c:pt idx="4">
                  <c:v>18062.319599999999</c:v>
                </c:pt>
                <c:pt idx="5">
                  <c:v>18729.903600000001</c:v>
                </c:pt>
                <c:pt idx="6">
                  <c:v>19092.902399999999</c:v>
                </c:pt>
                <c:pt idx="7">
                  <c:v>19714.59</c:v>
                </c:pt>
                <c:pt idx="8">
                  <c:v>20361.311999999994</c:v>
                </c:pt>
                <c:pt idx="9">
                  <c:v>21529.584000000003</c:v>
                </c:pt>
                <c:pt idx="10">
                  <c:v>22051.134000000002</c:v>
                </c:pt>
                <c:pt idx="11">
                  <c:v>23615.784000000003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81-4A0F-9E44-E5CF159A683E}"/>
            </c:ext>
          </c:extLst>
        </c:ser>
        <c:ser>
          <c:idx val="2"/>
          <c:order val="2"/>
          <c:tx>
            <c:strRef>
              <c:f>'2023 Sales Summary'!$B$31</c:f>
              <c:strCache>
                <c:ptCount val="1"/>
                <c:pt idx="0">
                  <c:v>Medium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Summary'!$F$33:$Q$33</c:f>
              <c:numCache>
                <c:formatCode>#,##0</c:formatCode>
                <c:ptCount val="12"/>
                <c:pt idx="0">
                  <c:v>44925.767999999989</c:v>
                </c:pt>
                <c:pt idx="1">
                  <c:v>45856.872000000003</c:v>
                </c:pt>
                <c:pt idx="2">
                  <c:v>47011.44096</c:v>
                </c:pt>
                <c:pt idx="3">
                  <c:v>48068.243999999984</c:v>
                </c:pt>
                <c:pt idx="4">
                  <c:v>50384.365199999993</c:v>
                </c:pt>
                <c:pt idx="5">
                  <c:v>52246.573199999999</c:v>
                </c:pt>
                <c:pt idx="6">
                  <c:v>53259.148799999995</c:v>
                </c:pt>
                <c:pt idx="7">
                  <c:v>54993.33</c:v>
                </c:pt>
                <c:pt idx="8">
                  <c:v>56797.343999999983</c:v>
                </c:pt>
                <c:pt idx="9">
                  <c:v>60056.208000000006</c:v>
                </c:pt>
                <c:pt idx="10">
                  <c:v>61511.058000000005</c:v>
                </c:pt>
                <c:pt idx="11">
                  <c:v>65875.608000000007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81-4A0F-9E44-E5CF159A683E}"/>
            </c:ext>
          </c:extLst>
        </c:ser>
        <c:ser>
          <c:idx val="3"/>
          <c:order val="3"/>
          <c:tx>
            <c:strRef>
              <c:f>'2023 Sales Summary'!$B$34</c:f>
              <c:strCache>
                <c:ptCount val="1"/>
                <c:pt idx="0">
                  <c:v>Enterprise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Summary'!$F$36:$Q$36</c:f>
              <c:numCache>
                <c:formatCode>#,##0</c:formatCode>
                <c:ptCount val="12"/>
                <c:pt idx="0">
                  <c:v>150317.66399999999</c:v>
                </c:pt>
                <c:pt idx="1">
                  <c:v>153433.05600000004</c:v>
                </c:pt>
                <c:pt idx="2">
                  <c:v>157296.14208000005</c:v>
                </c:pt>
                <c:pt idx="3">
                  <c:v>160832.11199999999</c:v>
                </c:pt>
                <c:pt idx="4">
                  <c:v>168581.64960000003</c:v>
                </c:pt>
                <c:pt idx="5">
                  <c:v>174812.43360000005</c:v>
                </c:pt>
                <c:pt idx="6">
                  <c:v>178200.42240000004</c:v>
                </c:pt>
                <c:pt idx="7">
                  <c:v>184002.84000000003</c:v>
                </c:pt>
                <c:pt idx="8">
                  <c:v>190038.91199999998</c:v>
                </c:pt>
                <c:pt idx="9">
                  <c:v>200942.78400000004</c:v>
                </c:pt>
                <c:pt idx="10">
                  <c:v>205810.58400000006</c:v>
                </c:pt>
                <c:pt idx="11">
                  <c:v>220413.98400000008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81-4A0F-9E44-E5CF159A683E}"/>
            </c:ext>
          </c:extLst>
        </c:ser>
        <c:ser>
          <c:idx val="4"/>
          <c:order val="4"/>
          <c:tx>
            <c:strRef>
              <c:f>'2023 Sales Summary'!$B$37</c:f>
              <c:strCache>
                <c:ptCount val="1"/>
                <c:pt idx="0">
                  <c:v>Premium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Summary'!$F$39:$Q$39</c:f>
              <c:numCache>
                <c:formatCode>#,##0</c:formatCode>
                <c:ptCount val="12"/>
                <c:pt idx="0">
                  <c:v>318718.6559999999</c:v>
                </c:pt>
                <c:pt idx="1">
                  <c:v>325324.22400000005</c:v>
                </c:pt>
                <c:pt idx="2">
                  <c:v>333515.12832000002</c:v>
                </c:pt>
                <c:pt idx="3">
                  <c:v>341012.44799999992</c:v>
                </c:pt>
                <c:pt idx="4">
                  <c:v>357443.79839999997</c:v>
                </c:pt>
                <c:pt idx="5">
                  <c:v>370654.93440000003</c:v>
                </c:pt>
                <c:pt idx="6">
                  <c:v>377838.48959999997</c:v>
                </c:pt>
                <c:pt idx="7">
                  <c:v>390141.36000000004</c:v>
                </c:pt>
                <c:pt idx="8">
                  <c:v>402939.64799999987</c:v>
                </c:pt>
                <c:pt idx="9">
                  <c:v>426059.13600000006</c:v>
                </c:pt>
                <c:pt idx="10">
                  <c:v>436380.33600000007</c:v>
                </c:pt>
                <c:pt idx="11">
                  <c:v>467343.9360000001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81-4A0F-9E44-E5CF159A6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4989663"/>
        <c:axId val="1714978143"/>
      </c:barChart>
      <c:catAx>
        <c:axId val="1714989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978143"/>
        <c:crosses val="autoZero"/>
        <c:auto val="1"/>
        <c:lblAlgn val="ctr"/>
        <c:lblOffset val="100"/>
        <c:noMultiLvlLbl val="0"/>
      </c:catAx>
      <c:valAx>
        <c:axId val="1714978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98966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2024</a:t>
            </a:r>
            <a:r>
              <a:rPr lang="en-GB" baseline="0"/>
              <a:t> Sales Total Earned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'2024 Sales Summary'!$B$25</c:f>
              <c:strCache>
                <c:ptCount val="1"/>
                <c:pt idx="0">
                  <c:v>Base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Summary'!$G$27:$R$27</c:f>
              <c:numCache>
                <c:formatCode>#,##0</c:formatCode>
                <c:ptCount val="12"/>
                <c:pt idx="0">
                  <c:v>16779.636000000002</c:v>
                </c:pt>
                <c:pt idx="1">
                  <c:v>17016.803999999996</c:v>
                </c:pt>
                <c:pt idx="2">
                  <c:v>17253.971999999998</c:v>
                </c:pt>
                <c:pt idx="3">
                  <c:v>17491.14</c:v>
                </c:pt>
                <c:pt idx="4">
                  <c:v>17372.556000000004</c:v>
                </c:pt>
                <c:pt idx="5">
                  <c:v>17520.785999999996</c:v>
                </c:pt>
                <c:pt idx="6">
                  <c:v>18024.768000000004</c:v>
                </c:pt>
                <c:pt idx="7">
                  <c:v>17817.245999999996</c:v>
                </c:pt>
                <c:pt idx="8">
                  <c:v>18499.104000000003</c:v>
                </c:pt>
                <c:pt idx="9">
                  <c:v>18573.218999999997</c:v>
                </c:pt>
                <c:pt idx="10">
                  <c:v>18113.706000000002</c:v>
                </c:pt>
                <c:pt idx="11">
                  <c:v>18187.821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F-419B-AAE3-D7C7628411A1}"/>
            </c:ext>
          </c:extLst>
        </c:ser>
        <c:ser>
          <c:idx val="1"/>
          <c:order val="1"/>
          <c:tx>
            <c:strRef>
              <c:f>'2024 Sales Summary'!$B$28</c:f>
              <c:strCache>
                <c:ptCount val="1"/>
                <c:pt idx="0">
                  <c:v>Model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Summary'!$G$30:$R$30</c:f>
              <c:numCache>
                <c:formatCode>#,##0</c:formatCode>
                <c:ptCount val="12"/>
                <c:pt idx="0">
                  <c:v>23615.784000000003</c:v>
                </c:pt>
                <c:pt idx="1">
                  <c:v>23949.575999999997</c:v>
                </c:pt>
                <c:pt idx="2">
                  <c:v>24283.367999999999</c:v>
                </c:pt>
                <c:pt idx="3">
                  <c:v>24617.16</c:v>
                </c:pt>
                <c:pt idx="4">
                  <c:v>24450.264000000003</c:v>
                </c:pt>
                <c:pt idx="5">
                  <c:v>24658.883999999995</c:v>
                </c:pt>
                <c:pt idx="6">
                  <c:v>25368.192000000003</c:v>
                </c:pt>
                <c:pt idx="7">
                  <c:v>25076.123999999996</c:v>
                </c:pt>
                <c:pt idx="8">
                  <c:v>26035.776000000002</c:v>
                </c:pt>
                <c:pt idx="9">
                  <c:v>26140.085999999999</c:v>
                </c:pt>
                <c:pt idx="10">
                  <c:v>25493.364000000001</c:v>
                </c:pt>
                <c:pt idx="11">
                  <c:v>25597.674000000003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F-419B-AAE3-D7C7628411A1}"/>
            </c:ext>
          </c:extLst>
        </c:ser>
        <c:ser>
          <c:idx val="2"/>
          <c:order val="2"/>
          <c:tx>
            <c:strRef>
              <c:f>'2024 Sales Summary'!$B$31</c:f>
              <c:strCache>
                <c:ptCount val="1"/>
                <c:pt idx="0">
                  <c:v>Medium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Summary'!$G$33:$R$33</c:f>
              <c:numCache>
                <c:formatCode>#,##0</c:formatCode>
                <c:ptCount val="12"/>
                <c:pt idx="0">
                  <c:v>65875.608000000007</c:v>
                </c:pt>
                <c:pt idx="1">
                  <c:v>66806.711999999985</c:v>
                </c:pt>
                <c:pt idx="2">
                  <c:v>67737.815999999992</c:v>
                </c:pt>
                <c:pt idx="3">
                  <c:v>68668.92</c:v>
                </c:pt>
                <c:pt idx="4">
                  <c:v>68203.368000000017</c:v>
                </c:pt>
                <c:pt idx="5">
                  <c:v>68785.30799999999</c:v>
                </c:pt>
                <c:pt idx="6">
                  <c:v>70763.90400000001</c:v>
                </c:pt>
                <c:pt idx="7">
                  <c:v>69949.187999999995</c:v>
                </c:pt>
                <c:pt idx="8">
                  <c:v>72626.112000000008</c:v>
                </c:pt>
                <c:pt idx="9">
                  <c:v>72917.081999999995</c:v>
                </c:pt>
                <c:pt idx="10">
                  <c:v>71113.067999999999</c:v>
                </c:pt>
                <c:pt idx="11">
                  <c:v>71404.038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F-419B-AAE3-D7C7628411A1}"/>
            </c:ext>
          </c:extLst>
        </c:ser>
        <c:ser>
          <c:idx val="3"/>
          <c:order val="3"/>
          <c:tx>
            <c:strRef>
              <c:f>'2024 Sales Summary'!$B$34</c:f>
              <c:strCache>
                <c:ptCount val="1"/>
                <c:pt idx="0">
                  <c:v>Enterprise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Summary'!$G$36:$R$36</c:f>
              <c:numCache>
                <c:formatCode>#,##0</c:formatCode>
                <c:ptCount val="12"/>
                <c:pt idx="0">
                  <c:v>220413.98400000008</c:v>
                </c:pt>
                <c:pt idx="1">
                  <c:v>223529.37599999999</c:v>
                </c:pt>
                <c:pt idx="2">
                  <c:v>226644.76800000004</c:v>
                </c:pt>
                <c:pt idx="3">
                  <c:v>229760.16000000003</c:v>
                </c:pt>
                <c:pt idx="4">
                  <c:v>228202.46400000004</c:v>
                </c:pt>
                <c:pt idx="5">
                  <c:v>230149.58400000003</c:v>
                </c:pt>
                <c:pt idx="6">
                  <c:v>236769.79200000004</c:v>
                </c:pt>
                <c:pt idx="7">
                  <c:v>234043.82400000002</c:v>
                </c:pt>
                <c:pt idx="8">
                  <c:v>243000.57600000003</c:v>
                </c:pt>
                <c:pt idx="9">
                  <c:v>243974.136</c:v>
                </c:pt>
                <c:pt idx="10">
                  <c:v>237938.06400000001</c:v>
                </c:pt>
                <c:pt idx="11">
                  <c:v>238911.62400000007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6F-419B-AAE3-D7C7628411A1}"/>
            </c:ext>
          </c:extLst>
        </c:ser>
        <c:ser>
          <c:idx val="4"/>
          <c:order val="4"/>
          <c:tx>
            <c:strRef>
              <c:f>'2024 Sales Summary'!$B$37</c:f>
              <c:strCache>
                <c:ptCount val="1"/>
                <c:pt idx="0">
                  <c:v>Premium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Summary'!$G$39:$R$39</c:f>
              <c:numCache>
                <c:formatCode>#,##0</c:formatCode>
                <c:ptCount val="12"/>
                <c:pt idx="0">
                  <c:v>467343.9360000001</c:v>
                </c:pt>
                <c:pt idx="1">
                  <c:v>473949.50399999996</c:v>
                </c:pt>
                <c:pt idx="2">
                  <c:v>480555.07199999999</c:v>
                </c:pt>
                <c:pt idx="3">
                  <c:v>487160.63999999996</c:v>
                </c:pt>
                <c:pt idx="4">
                  <c:v>483857.85600000009</c:v>
                </c:pt>
                <c:pt idx="5">
                  <c:v>487986.33599999989</c:v>
                </c:pt>
                <c:pt idx="6">
                  <c:v>502023.16800000006</c:v>
                </c:pt>
                <c:pt idx="7">
                  <c:v>496243.29599999991</c:v>
                </c:pt>
                <c:pt idx="8">
                  <c:v>515234.30400000006</c:v>
                </c:pt>
                <c:pt idx="9">
                  <c:v>517298.54399999999</c:v>
                </c:pt>
                <c:pt idx="10">
                  <c:v>504500.25599999999</c:v>
                </c:pt>
                <c:pt idx="11">
                  <c:v>506564.49600000004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6F-419B-AAE3-D7C76284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4988703"/>
        <c:axId val="1714989183"/>
      </c:barChart>
      <c:catAx>
        <c:axId val="171498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989183"/>
        <c:crosses val="autoZero"/>
        <c:auto val="1"/>
        <c:lblAlgn val="ctr"/>
        <c:lblOffset val="100"/>
        <c:noMultiLvlLbl val="0"/>
      </c:catAx>
      <c:valAx>
        <c:axId val="171498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98870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2025 Sales Totals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'2025 Sales Summary'!$B$25</c:f>
              <c:strCache>
                <c:ptCount val="1"/>
                <c:pt idx="0">
                  <c:v>Base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Summary'!$F$27:$Q$27</c:f>
              <c:numCache>
                <c:formatCode>#,##0</c:formatCode>
                <c:ptCount val="12"/>
                <c:pt idx="0">
                  <c:v>18261.935999999994</c:v>
                </c:pt>
                <c:pt idx="1">
                  <c:v>18499.104000000003</c:v>
                </c:pt>
                <c:pt idx="2">
                  <c:v>17278.549714285709</c:v>
                </c:pt>
                <c:pt idx="3">
                  <c:v>17752.321607142858</c:v>
                </c:pt>
                <c:pt idx="4">
                  <c:v>17593.321499999998</c:v>
                </c:pt>
                <c:pt idx="5">
                  <c:v>17722.458642857142</c:v>
                </c:pt>
                <c:pt idx="6">
                  <c:v>18235.77878571429</c:v>
                </c:pt>
                <c:pt idx="7">
                  <c:v>17980.732928571426</c:v>
                </c:pt>
                <c:pt idx="8">
                  <c:v>18686.144571428566</c:v>
                </c:pt>
                <c:pt idx="9">
                  <c:v>18750.713142857141</c:v>
                </c:pt>
                <c:pt idx="10">
                  <c:v>18533.18475</c:v>
                </c:pt>
                <c:pt idx="11">
                  <c:v>18598.794749999997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8-4A5F-8DEB-9E7EF193B6AD}"/>
            </c:ext>
          </c:extLst>
        </c:ser>
        <c:ser>
          <c:idx val="1"/>
          <c:order val="1"/>
          <c:tx>
            <c:strRef>
              <c:f>'2025 Sales Summary'!$B$28</c:f>
              <c:strCache>
                <c:ptCount val="1"/>
                <c:pt idx="0">
                  <c:v>Model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Summary'!$F$30:$Q$30</c:f>
              <c:numCache>
                <c:formatCode>#,##0</c:formatCode>
                <c:ptCount val="12"/>
                <c:pt idx="0">
                  <c:v>25701.983999999993</c:v>
                </c:pt>
                <c:pt idx="1">
                  <c:v>26035.776000000002</c:v>
                </c:pt>
                <c:pt idx="2">
                  <c:v>24317.95885714285</c:v>
                </c:pt>
                <c:pt idx="3">
                  <c:v>24984.748928571429</c:v>
                </c:pt>
                <c:pt idx="4">
                  <c:v>24760.970999999998</c:v>
                </c:pt>
                <c:pt idx="5">
                  <c:v>24942.719571428574</c:v>
                </c:pt>
                <c:pt idx="6">
                  <c:v>25665.17014285715</c:v>
                </c:pt>
                <c:pt idx="7">
                  <c:v>25306.216714285711</c:v>
                </c:pt>
                <c:pt idx="8">
                  <c:v>26299.018285714279</c:v>
                </c:pt>
                <c:pt idx="9">
                  <c:v>26389.892571428569</c:v>
                </c:pt>
                <c:pt idx="10">
                  <c:v>26083.7415</c:v>
                </c:pt>
                <c:pt idx="11">
                  <c:v>26176.081499999997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8-4A5F-8DEB-9E7EF193B6AD}"/>
            </c:ext>
          </c:extLst>
        </c:ser>
        <c:ser>
          <c:idx val="2"/>
          <c:order val="2"/>
          <c:tx>
            <c:strRef>
              <c:f>'2025 Sales Summary'!$B$31</c:f>
              <c:strCache>
                <c:ptCount val="1"/>
                <c:pt idx="0">
                  <c:v>Medium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Summary'!$F$33:$Q$33</c:f>
              <c:numCache>
                <c:formatCode>#,##0</c:formatCode>
                <c:ptCount val="12"/>
                <c:pt idx="0">
                  <c:v>71695.007999999973</c:v>
                </c:pt>
                <c:pt idx="1">
                  <c:v>72626.112000000008</c:v>
                </c:pt>
                <c:pt idx="2">
                  <c:v>67834.306285714265</c:v>
                </c:pt>
                <c:pt idx="3">
                  <c:v>69694.299642857135</c:v>
                </c:pt>
                <c:pt idx="4">
                  <c:v>69070.07699999999</c:v>
                </c:pt>
                <c:pt idx="5">
                  <c:v>69577.059857142856</c:v>
                </c:pt>
                <c:pt idx="6">
                  <c:v>71592.316714285727</c:v>
                </c:pt>
                <c:pt idx="7">
                  <c:v>70591.025571428559</c:v>
                </c:pt>
                <c:pt idx="8">
                  <c:v>73360.419428571404</c:v>
                </c:pt>
                <c:pt idx="9">
                  <c:v>73613.910857142851</c:v>
                </c:pt>
                <c:pt idx="10">
                  <c:v>72759.910499999998</c:v>
                </c:pt>
                <c:pt idx="11">
                  <c:v>73017.4905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C8-4A5F-8DEB-9E7EF193B6AD}"/>
            </c:ext>
          </c:extLst>
        </c:ser>
        <c:ser>
          <c:idx val="3"/>
          <c:order val="3"/>
          <c:tx>
            <c:strRef>
              <c:f>'2025 Sales Summary'!$B$34</c:f>
              <c:strCache>
                <c:ptCount val="1"/>
                <c:pt idx="0">
                  <c:v>Enterprise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Summary'!$F$36:$Q$36</c:f>
              <c:numCache>
                <c:formatCode>#,##0</c:formatCode>
                <c:ptCount val="12"/>
                <c:pt idx="0">
                  <c:v>239885.18399999995</c:v>
                </c:pt>
                <c:pt idx="1">
                  <c:v>243000.57600000003</c:v>
                </c:pt>
                <c:pt idx="2">
                  <c:v>226967.61599999998</c:v>
                </c:pt>
                <c:pt idx="3">
                  <c:v>233190.99000000002</c:v>
                </c:pt>
                <c:pt idx="4">
                  <c:v>231102.39600000001</c:v>
                </c:pt>
                <c:pt idx="5">
                  <c:v>232798.71600000004</c:v>
                </c:pt>
                <c:pt idx="6">
                  <c:v>239541.58800000005</c:v>
                </c:pt>
                <c:pt idx="7">
                  <c:v>236191.35600000003</c:v>
                </c:pt>
                <c:pt idx="8">
                  <c:v>245457.50399999999</c:v>
                </c:pt>
                <c:pt idx="9">
                  <c:v>246305.66400000002</c:v>
                </c:pt>
                <c:pt idx="10">
                  <c:v>243448.25400000002</c:v>
                </c:pt>
                <c:pt idx="11">
                  <c:v>244310.09400000004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8-4A5F-8DEB-9E7EF193B6AD}"/>
            </c:ext>
          </c:extLst>
        </c:ser>
        <c:ser>
          <c:idx val="4"/>
          <c:order val="4"/>
          <c:tx>
            <c:strRef>
              <c:f>'2025 Sales Summary'!$B$37</c:f>
              <c:strCache>
                <c:ptCount val="1"/>
                <c:pt idx="0">
                  <c:v>Premium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Summary'!$F$39:$Q$39</c:f>
              <c:numCache>
                <c:formatCode>#,##0</c:formatCode>
                <c:ptCount val="12"/>
                <c:pt idx="0">
                  <c:v>508628.73599999986</c:v>
                </c:pt>
                <c:pt idx="1">
                  <c:v>515234.30400000006</c:v>
                </c:pt>
                <c:pt idx="2">
                  <c:v>481239.60685714276</c:v>
                </c:pt>
                <c:pt idx="3">
                  <c:v>494435.03142857144</c:v>
                </c:pt>
                <c:pt idx="4">
                  <c:v>490006.58399999997</c:v>
                </c:pt>
                <c:pt idx="5">
                  <c:v>493603.29257142858</c:v>
                </c:pt>
                <c:pt idx="6">
                  <c:v>507900.20914285729</c:v>
                </c:pt>
                <c:pt idx="7">
                  <c:v>500796.70971428568</c:v>
                </c:pt>
                <c:pt idx="8">
                  <c:v>520443.73028571415</c:v>
                </c:pt>
                <c:pt idx="9">
                  <c:v>522242.08457142848</c:v>
                </c:pt>
                <c:pt idx="10">
                  <c:v>516183.516</c:v>
                </c:pt>
                <c:pt idx="11">
                  <c:v>518010.87599999993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C8-4A5F-8DEB-9E7EF193B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52223"/>
        <c:axId val="20444543"/>
      </c:barChart>
      <c:catAx>
        <c:axId val="20452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44543"/>
        <c:crosses val="autoZero"/>
        <c:auto val="1"/>
        <c:lblAlgn val="ctr"/>
        <c:lblOffset val="100"/>
        <c:noMultiLvlLbl val="0"/>
      </c:catAx>
      <c:valAx>
        <c:axId val="20444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2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2026 Sales Totals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'2026 Sales Summary'!$B$25</c:f>
              <c:strCache>
                <c:ptCount val="1"/>
                <c:pt idx="0">
                  <c:v>Base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Summary'!$F$27:$Q$27</c:f>
              <c:numCache>
                <c:formatCode>#,##0</c:formatCode>
                <c:ptCount val="12"/>
                <c:pt idx="0">
                  <c:v>18664.404750000002</c:v>
                </c:pt>
                <c:pt idx="1">
                  <c:v>19122.034500000002</c:v>
                </c:pt>
                <c:pt idx="2">
                  <c:v>19253.254499999999</c:v>
                </c:pt>
                <c:pt idx="3">
                  <c:v>19384.474500000004</c:v>
                </c:pt>
                <c:pt idx="4">
                  <c:v>19515.694499999994</c:v>
                </c:pt>
                <c:pt idx="5">
                  <c:v>19646.914499999999</c:v>
                </c:pt>
                <c:pt idx="6">
                  <c:v>19778.1345</c:v>
                </c:pt>
                <c:pt idx="7">
                  <c:v>20299.733999999997</c:v>
                </c:pt>
                <c:pt idx="8">
                  <c:v>20430.954000000002</c:v>
                </c:pt>
                <c:pt idx="9">
                  <c:v>20562.173999999999</c:v>
                </c:pt>
                <c:pt idx="10">
                  <c:v>20888.583750000005</c:v>
                </c:pt>
                <c:pt idx="11">
                  <c:v>21019.803749999995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C5-42CE-B9A7-EC22AA86FD95}"/>
            </c:ext>
          </c:extLst>
        </c:ser>
        <c:ser>
          <c:idx val="1"/>
          <c:order val="1"/>
          <c:tx>
            <c:strRef>
              <c:f>'2026 Sales Summary'!$B$28</c:f>
              <c:strCache>
                <c:ptCount val="1"/>
                <c:pt idx="0">
                  <c:v>Model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Summary'!$F$30:$Q$30</c:f>
              <c:numCache>
                <c:formatCode>#,##0</c:formatCode>
                <c:ptCount val="12"/>
                <c:pt idx="0">
                  <c:v>26268.4215</c:v>
                </c:pt>
                <c:pt idx="1">
                  <c:v>26912.492999999999</c:v>
                </c:pt>
                <c:pt idx="2">
                  <c:v>27097.172999999995</c:v>
                </c:pt>
                <c:pt idx="3">
                  <c:v>27281.853000000003</c:v>
                </c:pt>
                <c:pt idx="4">
                  <c:v>27466.532999999996</c:v>
                </c:pt>
                <c:pt idx="5">
                  <c:v>27651.213</c:v>
                </c:pt>
                <c:pt idx="6">
                  <c:v>27835.893000000004</c:v>
                </c:pt>
                <c:pt idx="7">
                  <c:v>28569.995999999996</c:v>
                </c:pt>
                <c:pt idx="8">
                  <c:v>28754.676000000003</c:v>
                </c:pt>
                <c:pt idx="9">
                  <c:v>28939.356</c:v>
                </c:pt>
                <c:pt idx="10">
                  <c:v>29398.747500000009</c:v>
                </c:pt>
                <c:pt idx="11">
                  <c:v>29583.427499999994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C5-42CE-B9A7-EC22AA86FD95}"/>
            </c:ext>
          </c:extLst>
        </c:ser>
        <c:ser>
          <c:idx val="2"/>
          <c:order val="2"/>
          <c:tx>
            <c:strRef>
              <c:f>'2026 Sales Summary'!$B$31</c:f>
              <c:strCache>
                <c:ptCount val="1"/>
                <c:pt idx="0">
                  <c:v>Medium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Summary'!$F$33:$Q$33</c:f>
              <c:numCache>
                <c:formatCode>#,##0</c:formatCode>
                <c:ptCount val="12"/>
                <c:pt idx="0">
                  <c:v>73275.070500000002</c:v>
                </c:pt>
                <c:pt idx="1">
                  <c:v>75071.691000000006</c:v>
                </c:pt>
                <c:pt idx="2">
                  <c:v>75586.850999999995</c:v>
                </c:pt>
                <c:pt idx="3">
                  <c:v>76102.011000000013</c:v>
                </c:pt>
                <c:pt idx="4">
                  <c:v>76617.170999999988</c:v>
                </c:pt>
                <c:pt idx="5">
                  <c:v>77132.331000000006</c:v>
                </c:pt>
                <c:pt idx="6">
                  <c:v>77647.491000000009</c:v>
                </c:pt>
                <c:pt idx="7">
                  <c:v>79695.251999999993</c:v>
                </c:pt>
                <c:pt idx="8">
                  <c:v>80210.412000000011</c:v>
                </c:pt>
                <c:pt idx="9">
                  <c:v>80725.572</c:v>
                </c:pt>
                <c:pt idx="10">
                  <c:v>82007.032500000016</c:v>
                </c:pt>
                <c:pt idx="11">
                  <c:v>82522.192499999976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C5-42CE-B9A7-EC22AA86FD95}"/>
            </c:ext>
          </c:extLst>
        </c:ser>
        <c:ser>
          <c:idx val="3"/>
          <c:order val="3"/>
          <c:tx>
            <c:strRef>
              <c:f>'2026 Sales Summary'!$B$34</c:f>
              <c:strCache>
                <c:ptCount val="1"/>
                <c:pt idx="0">
                  <c:v>Enterprise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Summary'!$F$36:$Q$36</c:f>
              <c:numCache>
                <c:formatCode>#,##0</c:formatCode>
                <c:ptCount val="12"/>
                <c:pt idx="0">
                  <c:v>245171.93400000001</c:v>
                </c:pt>
                <c:pt idx="1">
                  <c:v>251183.26800000001</c:v>
                </c:pt>
                <c:pt idx="2">
                  <c:v>252906.94799999997</c:v>
                </c:pt>
                <c:pt idx="3">
                  <c:v>254630.62800000008</c:v>
                </c:pt>
                <c:pt idx="4">
                  <c:v>256354.30800000002</c:v>
                </c:pt>
                <c:pt idx="5">
                  <c:v>258077.98800000004</c:v>
                </c:pt>
                <c:pt idx="6">
                  <c:v>259801.66800000006</c:v>
                </c:pt>
                <c:pt idx="7">
                  <c:v>266653.29599999997</c:v>
                </c:pt>
                <c:pt idx="8">
                  <c:v>268376.97600000002</c:v>
                </c:pt>
                <c:pt idx="9">
                  <c:v>270100.65600000002</c:v>
                </c:pt>
                <c:pt idx="10">
                  <c:v>274388.31000000006</c:v>
                </c:pt>
                <c:pt idx="11">
                  <c:v>276111.98999999993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C5-42CE-B9A7-EC22AA86FD95}"/>
            </c:ext>
          </c:extLst>
        </c:ser>
        <c:ser>
          <c:idx val="4"/>
          <c:order val="4"/>
          <c:tx>
            <c:strRef>
              <c:f>'2026 Sales Summary'!$B$37</c:f>
              <c:strCache>
                <c:ptCount val="1"/>
                <c:pt idx="0">
                  <c:v>Premium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Summary'!$F$39:$Q$39</c:f>
              <c:numCache>
                <c:formatCode>#,##0</c:formatCode>
                <c:ptCount val="12"/>
                <c:pt idx="0">
                  <c:v>519838.23600000003</c:v>
                </c:pt>
                <c:pt idx="1">
                  <c:v>532584.07200000004</c:v>
                </c:pt>
                <c:pt idx="2">
                  <c:v>536238.7919999999</c:v>
                </c:pt>
                <c:pt idx="3">
                  <c:v>539893.5120000001</c:v>
                </c:pt>
                <c:pt idx="4">
                  <c:v>543548.23199999984</c:v>
                </c:pt>
                <c:pt idx="5">
                  <c:v>547202.95200000005</c:v>
                </c:pt>
                <c:pt idx="6">
                  <c:v>550857.67200000002</c:v>
                </c:pt>
                <c:pt idx="7">
                  <c:v>565385.18399999989</c:v>
                </c:pt>
                <c:pt idx="8">
                  <c:v>569039.9040000001</c:v>
                </c:pt>
                <c:pt idx="9">
                  <c:v>572694.62399999995</c:v>
                </c:pt>
                <c:pt idx="10">
                  <c:v>581785.74000000011</c:v>
                </c:pt>
                <c:pt idx="11">
                  <c:v>585440.45999999985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C5-42CE-B9A7-EC22AA86F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35423"/>
        <c:axId val="20457503"/>
      </c:barChart>
      <c:catAx>
        <c:axId val="20435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7503"/>
        <c:crosses val="autoZero"/>
        <c:auto val="1"/>
        <c:lblAlgn val="ctr"/>
        <c:lblOffset val="100"/>
        <c:noMultiLvlLbl val="0"/>
      </c:catAx>
      <c:valAx>
        <c:axId val="2045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35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2023'!$B$44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2023'!$K$43:$V$43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2023'!$K$44:$V$44</c:f>
              <c:numCache>
                <c:formatCode>#,##0</c:formatCode>
                <c:ptCount val="12"/>
                <c:pt idx="0">
                  <c:v>541510.90799999982</c:v>
                </c:pt>
                <c:pt idx="1">
                  <c:v>552733.93200000003</c:v>
                </c:pt>
                <c:pt idx="2">
                  <c:v>566650.48176000011</c:v>
                </c:pt>
                <c:pt idx="3">
                  <c:v>579388.61399999983</c:v>
                </c:pt>
                <c:pt idx="4">
                  <c:v>607305.88620000007</c:v>
                </c:pt>
                <c:pt idx="5">
                  <c:v>629751.93420000002</c:v>
                </c:pt>
                <c:pt idx="6">
                  <c:v>641956.97279999999</c:v>
                </c:pt>
                <c:pt idx="7">
                  <c:v>662859.85499999998</c:v>
                </c:pt>
                <c:pt idx="8">
                  <c:v>684604.46399999992</c:v>
                </c:pt>
                <c:pt idx="9">
                  <c:v>723885.04800000018</c:v>
                </c:pt>
                <c:pt idx="10">
                  <c:v>741421.02300000004</c:v>
                </c:pt>
                <c:pt idx="11">
                  <c:v>794028.94800000021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34-4AAB-905F-61474D627CE8}"/>
            </c:ext>
          </c:extLst>
        </c:ser>
        <c:ser>
          <c:idx val="1"/>
          <c:order val="1"/>
          <c:tx>
            <c:strRef>
              <c:f>'Statements Summary 2023'!$B$56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2023'!$K$43:$V$43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2023'!$K$56:$V$56</c:f>
              <c:numCache>
                <c:formatCode>#,##0</c:formatCode>
                <c:ptCount val="12"/>
                <c:pt idx="0">
                  <c:v>472003.90799999982</c:v>
                </c:pt>
                <c:pt idx="1">
                  <c:v>483226.93200000003</c:v>
                </c:pt>
                <c:pt idx="2">
                  <c:v>497143.48176000011</c:v>
                </c:pt>
                <c:pt idx="3">
                  <c:v>509881.61399999983</c:v>
                </c:pt>
                <c:pt idx="4">
                  <c:v>537798.88620000007</c:v>
                </c:pt>
                <c:pt idx="5">
                  <c:v>560244.93420000002</c:v>
                </c:pt>
                <c:pt idx="6">
                  <c:v>572449.97279999999</c:v>
                </c:pt>
                <c:pt idx="7">
                  <c:v>593352.85499999998</c:v>
                </c:pt>
                <c:pt idx="8">
                  <c:v>615097.46399999992</c:v>
                </c:pt>
                <c:pt idx="9">
                  <c:v>654378.04800000018</c:v>
                </c:pt>
                <c:pt idx="10">
                  <c:v>671914.02300000004</c:v>
                </c:pt>
                <c:pt idx="11">
                  <c:v>735755.94800000021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34-4AAB-905F-61474D627CE8}"/>
            </c:ext>
          </c:extLst>
        </c:ser>
        <c:ser>
          <c:idx val="2"/>
          <c:order val="2"/>
          <c:tx>
            <c:strRef>
              <c:f>'Statements Summary 2023'!$B$63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2023'!$K$43:$V$43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2023'!$K$63:$V$63</c:f>
              <c:numCache>
                <c:formatCode>#,##0</c:formatCode>
                <c:ptCount val="12"/>
                <c:pt idx="0">
                  <c:v>377603.12639999983</c:v>
                </c:pt>
                <c:pt idx="1">
                  <c:v>386581.54560000001</c:v>
                </c:pt>
                <c:pt idx="2">
                  <c:v>397714.78540800011</c:v>
                </c:pt>
                <c:pt idx="3">
                  <c:v>407905.29119999986</c:v>
                </c:pt>
                <c:pt idx="4">
                  <c:v>430239.10896000004</c:v>
                </c:pt>
                <c:pt idx="5">
                  <c:v>448195.94735999999</c:v>
                </c:pt>
                <c:pt idx="6">
                  <c:v>457959.97823999997</c:v>
                </c:pt>
                <c:pt idx="7">
                  <c:v>474682.28399999999</c:v>
                </c:pt>
                <c:pt idx="8">
                  <c:v>492077.97119999991</c:v>
                </c:pt>
                <c:pt idx="9">
                  <c:v>523502.43840000016</c:v>
                </c:pt>
                <c:pt idx="10">
                  <c:v>537531.21840000001</c:v>
                </c:pt>
                <c:pt idx="11">
                  <c:v>588604.75840000017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34-4AAB-905F-61474D627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2027 Sales Totals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'2027 Sales Summary'!$B$25</c:f>
              <c:strCache>
                <c:ptCount val="1"/>
                <c:pt idx="0">
                  <c:v>Base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Summary'!$F$27:$Q$27</c:f>
              <c:numCache>
                <c:formatCode>#,##0</c:formatCode>
                <c:ptCount val="12"/>
                <c:pt idx="0">
                  <c:v>21151.02375</c:v>
                </c:pt>
                <c:pt idx="1">
                  <c:v>21282.243749999998</c:v>
                </c:pt>
                <c:pt idx="2">
                  <c:v>21803.843250000005</c:v>
                </c:pt>
                <c:pt idx="3">
                  <c:v>21935.063249999999</c:v>
                </c:pt>
                <c:pt idx="4">
                  <c:v>22066.283249999997</c:v>
                </c:pt>
                <c:pt idx="5">
                  <c:v>22197.503250000005</c:v>
                </c:pt>
                <c:pt idx="6">
                  <c:v>22523.912999999997</c:v>
                </c:pt>
                <c:pt idx="7">
                  <c:v>22655.133000000002</c:v>
                </c:pt>
                <c:pt idx="8">
                  <c:v>23176.732500000002</c:v>
                </c:pt>
                <c:pt idx="9">
                  <c:v>23307.952499999999</c:v>
                </c:pt>
                <c:pt idx="10">
                  <c:v>23439.172499999997</c:v>
                </c:pt>
                <c:pt idx="11">
                  <c:v>23570.392500000002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7-4CEA-A86D-C0E38FF0C92E}"/>
            </c:ext>
          </c:extLst>
        </c:ser>
        <c:ser>
          <c:idx val="1"/>
          <c:order val="1"/>
          <c:tx>
            <c:strRef>
              <c:f>'2027 Sales Summary'!$B$28</c:f>
              <c:strCache>
                <c:ptCount val="1"/>
                <c:pt idx="0">
                  <c:v>Model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Summary'!$F$30:$Q$30</c:f>
              <c:numCache>
                <c:formatCode>#,##0</c:formatCode>
                <c:ptCount val="12"/>
                <c:pt idx="0">
                  <c:v>29768.107500000002</c:v>
                </c:pt>
                <c:pt idx="1">
                  <c:v>29952.787499999995</c:v>
                </c:pt>
                <c:pt idx="2">
                  <c:v>30686.890500000005</c:v>
                </c:pt>
                <c:pt idx="3">
                  <c:v>30871.570499999998</c:v>
                </c:pt>
                <c:pt idx="4">
                  <c:v>31056.250499999995</c:v>
                </c:pt>
                <c:pt idx="5">
                  <c:v>31240.930500000006</c:v>
                </c:pt>
                <c:pt idx="6">
                  <c:v>31700.321999999996</c:v>
                </c:pt>
                <c:pt idx="7">
                  <c:v>31885.002000000004</c:v>
                </c:pt>
                <c:pt idx="8">
                  <c:v>32619.105000000003</c:v>
                </c:pt>
                <c:pt idx="9">
                  <c:v>32803.784999999996</c:v>
                </c:pt>
                <c:pt idx="10">
                  <c:v>32988.464999999997</c:v>
                </c:pt>
                <c:pt idx="11">
                  <c:v>33173.145000000004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C7-4CEA-A86D-C0E38FF0C92E}"/>
            </c:ext>
          </c:extLst>
        </c:ser>
        <c:ser>
          <c:idx val="2"/>
          <c:order val="2"/>
          <c:tx>
            <c:strRef>
              <c:f>'2027 Sales Summary'!$B$31</c:f>
              <c:strCache>
                <c:ptCount val="1"/>
                <c:pt idx="0">
                  <c:v>Medium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Summary'!$F$33:$Q$33</c:f>
              <c:numCache>
                <c:formatCode>#,##0</c:formatCode>
                <c:ptCount val="12"/>
                <c:pt idx="0">
                  <c:v>83037.352499999994</c:v>
                </c:pt>
                <c:pt idx="1">
                  <c:v>83552.512499999983</c:v>
                </c:pt>
                <c:pt idx="2">
                  <c:v>85600.27350000001</c:v>
                </c:pt>
                <c:pt idx="3">
                  <c:v>86115.433499999985</c:v>
                </c:pt>
                <c:pt idx="4">
                  <c:v>86630.593499999974</c:v>
                </c:pt>
                <c:pt idx="5">
                  <c:v>87145.753500000021</c:v>
                </c:pt>
                <c:pt idx="6">
                  <c:v>88427.213999999993</c:v>
                </c:pt>
                <c:pt idx="7">
                  <c:v>88942.374000000011</c:v>
                </c:pt>
                <c:pt idx="8">
                  <c:v>90990.135000000009</c:v>
                </c:pt>
                <c:pt idx="9">
                  <c:v>91505.294999999998</c:v>
                </c:pt>
                <c:pt idx="10">
                  <c:v>92020.454999999987</c:v>
                </c:pt>
                <c:pt idx="11">
                  <c:v>92535.615000000005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C7-4CEA-A86D-C0E38FF0C92E}"/>
            </c:ext>
          </c:extLst>
        </c:ser>
        <c:ser>
          <c:idx val="3"/>
          <c:order val="3"/>
          <c:tx>
            <c:strRef>
              <c:f>'2027 Sales Summary'!$B$34</c:f>
              <c:strCache>
                <c:ptCount val="1"/>
                <c:pt idx="0">
                  <c:v>Enterprise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Summary'!$F$36:$Q$36</c:f>
              <c:numCache>
                <c:formatCode>#,##0</c:formatCode>
                <c:ptCount val="12"/>
                <c:pt idx="0">
                  <c:v>277835.67000000004</c:v>
                </c:pt>
                <c:pt idx="1">
                  <c:v>279559.35000000003</c:v>
                </c:pt>
                <c:pt idx="2">
                  <c:v>286410.97800000006</c:v>
                </c:pt>
                <c:pt idx="3">
                  <c:v>288134.658</c:v>
                </c:pt>
                <c:pt idx="4">
                  <c:v>289858.33799999999</c:v>
                </c:pt>
                <c:pt idx="5">
                  <c:v>291582.01800000004</c:v>
                </c:pt>
                <c:pt idx="6">
                  <c:v>295869.67200000002</c:v>
                </c:pt>
                <c:pt idx="7">
                  <c:v>297593.35200000007</c:v>
                </c:pt>
                <c:pt idx="8">
                  <c:v>304444.98000000004</c:v>
                </c:pt>
                <c:pt idx="9">
                  <c:v>306168.66000000003</c:v>
                </c:pt>
                <c:pt idx="10">
                  <c:v>307892.34000000003</c:v>
                </c:pt>
                <c:pt idx="11">
                  <c:v>309616.02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C7-4CEA-A86D-C0E38FF0C92E}"/>
            </c:ext>
          </c:extLst>
        </c:ser>
        <c:ser>
          <c:idx val="4"/>
          <c:order val="4"/>
          <c:tx>
            <c:strRef>
              <c:f>'2027 Sales Summary'!$B$37</c:f>
              <c:strCache>
                <c:ptCount val="1"/>
                <c:pt idx="0">
                  <c:v>Premium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Summary'!$F$39:$Q$39</c:f>
              <c:numCache>
                <c:formatCode>#,##0</c:formatCode>
                <c:ptCount val="12"/>
                <c:pt idx="0">
                  <c:v>589095.18000000005</c:v>
                </c:pt>
                <c:pt idx="1">
                  <c:v>592749.89999999991</c:v>
                </c:pt>
                <c:pt idx="2">
                  <c:v>607277.41200000013</c:v>
                </c:pt>
                <c:pt idx="3">
                  <c:v>610932.13199999998</c:v>
                </c:pt>
                <c:pt idx="4">
                  <c:v>614586.85199999984</c:v>
                </c:pt>
                <c:pt idx="5">
                  <c:v>618241.57200000016</c:v>
                </c:pt>
                <c:pt idx="6">
                  <c:v>627332.68799999997</c:v>
                </c:pt>
                <c:pt idx="7">
                  <c:v>630987.40800000005</c:v>
                </c:pt>
                <c:pt idx="8">
                  <c:v>645514.92000000004</c:v>
                </c:pt>
                <c:pt idx="9">
                  <c:v>649169.64</c:v>
                </c:pt>
                <c:pt idx="10">
                  <c:v>652824.35999999987</c:v>
                </c:pt>
                <c:pt idx="11">
                  <c:v>656479.08000000007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C7-4CEA-A86D-C0E38FF0C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93983"/>
        <c:axId val="20494463"/>
      </c:barChart>
      <c:catAx>
        <c:axId val="2049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4463"/>
        <c:crosses val="autoZero"/>
        <c:auto val="1"/>
        <c:lblAlgn val="ctr"/>
        <c:lblOffset val="100"/>
        <c:noMultiLvlLbl val="0"/>
      </c:catAx>
      <c:valAx>
        <c:axId val="20494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3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BEA!$E$27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BEA!$H$24:$Q$24</c15:sqref>
                  </c15:fullRef>
                </c:ext>
              </c:extLst>
              <c:f>(BEA!$H$24,BEA!$J$24,BEA!$L$24,BEA!$N$24,BEA!$P$24)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BEA!$H$27:$Q$27</c15:sqref>
                  </c15:fullRef>
                </c:ext>
              </c:extLst>
              <c:f>(BEA!$H$27,BEA!$J$27,BEA!$L$27,BEA!$N$27,BEA!$P$27)</c:f>
              <c:numCache>
                <c:formatCode>#,##0</c:formatCode>
                <c:ptCount val="5"/>
                <c:pt idx="0">
                  <c:v>7726098.0669600004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D-45A2-A66D-DA29F5182646}"/>
            </c:ext>
          </c:extLst>
        </c:ser>
        <c:ser>
          <c:idx val="1"/>
          <c:order val="1"/>
          <c:tx>
            <c:strRef>
              <c:f>BEA!$E$34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BEA!$H$34:$Q$34</c15:sqref>
                  </c15:fullRef>
                </c:ext>
              </c:extLst>
              <c:f>(BEA!$H$34,BEA!$J$34,BEA!$L$34,BEA!$N$34,BEA!$P$34)</c:f>
              <c:numCache>
                <c:formatCode>General</c:formatCode>
                <c:ptCount val="5"/>
                <c:pt idx="0" formatCode="#,##0">
                  <c:v>5522598.4535680003</c:v>
                </c:pt>
                <c:pt idx="1" formatCode="#,##0">
                  <c:v>7391995.1152000008</c:v>
                </c:pt>
                <c:pt idx="2" formatCode="#,##0">
                  <c:v>7590451.099514286</c:v>
                </c:pt>
                <c:pt idx="3" formatCode="#,##0">
                  <c:v>8373069.0969999991</c:v>
                </c:pt>
                <c:pt idx="4" formatCode="#,##0">
                  <c:v>9482132.6436000001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BD-45A2-A66D-DA29F51826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106433648"/>
        <c:axId val="89747792"/>
      </c:barChart>
      <c:lineChart>
        <c:grouping val="standard"/>
        <c:varyColors val="0"/>
        <c:ser>
          <c:idx val="2"/>
          <c:order val="2"/>
          <c:tx>
            <c:strRef>
              <c:f>BEA!$E$32</c:f>
              <c:strCache>
                <c:ptCount val="1"/>
                <c:pt idx="0">
                  <c:v>Break Even level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BEA!$H$32:$Q$32</c15:sqref>
                  </c15:fullRef>
                </c:ext>
              </c:extLst>
              <c:f>(BEA!$H$32,BEA!$J$32,BEA!$L$32,BEA!$N$32,BEA!$P$32)</c:f>
              <c:numCache>
                <c:formatCode>General</c:formatCode>
                <c:ptCount val="5"/>
                <c:pt idx="0" formatCode="#,##0">
                  <c:v>3622790.013392</c:v>
                </c:pt>
                <c:pt idx="1" formatCode="#,##0">
                  <c:v>3603048.7788000004</c:v>
                </c:pt>
                <c:pt idx="2" formatCode="#,##0">
                  <c:v>3282367.7748785717</c:v>
                </c:pt>
                <c:pt idx="3" formatCode="#,##0">
                  <c:v>3478410.2742499998</c:v>
                </c:pt>
                <c:pt idx="4" formatCode="#,##0">
                  <c:v>3814431.1609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BD-45A2-A66D-DA29F51826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6433648"/>
        <c:axId val="89747792"/>
      </c:lineChart>
      <c:catAx>
        <c:axId val="10643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47792"/>
        <c:crosses val="autoZero"/>
        <c:auto val="1"/>
        <c:lblAlgn val="ctr"/>
        <c:lblOffset val="100"/>
        <c:noMultiLvlLbl val="0"/>
      </c:catAx>
      <c:valAx>
        <c:axId val="8974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3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'Top Expenses'!$B$9:$C$9</c:f>
              <c:strCache>
                <c:ptCount val="2"/>
                <c:pt idx="0">
                  <c:v>Commercial Lease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Expenses'!$D$9:$H$9</c:f>
              <c:numCache>
                <c:formatCode>#,##0</c:formatCode>
                <c:ptCount val="5"/>
                <c:pt idx="0">
                  <c:v>8400</c:v>
                </c:pt>
                <c:pt idx="1">
                  <c:v>8400</c:v>
                </c:pt>
                <c:pt idx="2">
                  <c:v>8400</c:v>
                </c:pt>
                <c:pt idx="3">
                  <c:v>8400</c:v>
                </c:pt>
                <c:pt idx="4">
                  <c:v>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8-4000-88F5-F16B23D06E97}"/>
            </c:ext>
          </c:extLst>
        </c:ser>
        <c:ser>
          <c:idx val="1"/>
          <c:order val="1"/>
          <c:tx>
            <c:strRef>
              <c:f>'Top Expenses'!$B$10:$C$10</c:f>
              <c:strCache>
                <c:ptCount val="2"/>
                <c:pt idx="0">
                  <c:v>Wages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Expenses'!$D$10:$H$10</c:f>
              <c:numCache>
                <c:formatCode>#,##0</c:formatCode>
                <c:ptCount val="5"/>
                <c:pt idx="0">
                  <c:v>920604</c:v>
                </c:pt>
                <c:pt idx="1">
                  <c:v>920604</c:v>
                </c:pt>
                <c:pt idx="2">
                  <c:v>920604</c:v>
                </c:pt>
                <c:pt idx="3">
                  <c:v>920604</c:v>
                </c:pt>
                <c:pt idx="4">
                  <c:v>979604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48-4000-88F5-F16B23D06E97}"/>
            </c:ext>
          </c:extLst>
        </c:ser>
        <c:ser>
          <c:idx val="2"/>
          <c:order val="2"/>
          <c:tx>
            <c:strRef>
              <c:f>'Top Expenses'!$B$11:$C$11</c:f>
              <c:strCache>
                <c:ptCount val="2"/>
                <c:pt idx="0">
                  <c:v>Utilities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Expenses'!$D$11:$H$11</c:f>
              <c:numCache>
                <c:formatCode>#,##0</c:formatCode>
                <c:ptCount val="5"/>
                <c:pt idx="0">
                  <c:v>22800</c:v>
                </c:pt>
                <c:pt idx="1">
                  <c:v>22800</c:v>
                </c:pt>
                <c:pt idx="2">
                  <c:v>22800</c:v>
                </c:pt>
                <c:pt idx="3">
                  <c:v>22800</c:v>
                </c:pt>
                <c:pt idx="4">
                  <c:v>22800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48-4000-88F5-F16B23D06E97}"/>
            </c:ext>
          </c:extLst>
        </c:ser>
        <c:ser>
          <c:idx val="3"/>
          <c:order val="3"/>
          <c:tx>
            <c:strRef>
              <c:f>'Top Expenses'!$B$12:$C$12</c:f>
              <c:strCache>
                <c:ptCount val="2"/>
                <c:pt idx="0">
                  <c:v>Misc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Expenses'!$D$12:$H$12</c:f>
              <c:numCache>
                <c:formatCode>#,##0</c:formatCode>
                <c:ptCount val="5"/>
                <c:pt idx="0">
                  <c:v>161916</c:v>
                </c:pt>
                <c:pt idx="1">
                  <c:v>161916</c:v>
                </c:pt>
                <c:pt idx="2">
                  <c:v>161916</c:v>
                </c:pt>
                <c:pt idx="3">
                  <c:v>161916</c:v>
                </c:pt>
                <c:pt idx="4">
                  <c:v>123574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48-4000-88F5-F16B23D06E9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2"/>
        <c:overlap val="100"/>
        <c:axId val="86746880"/>
        <c:axId val="181657264"/>
      </c:barChart>
      <c:catAx>
        <c:axId val="8674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657264"/>
        <c:crosses val="autoZero"/>
        <c:auto val="1"/>
        <c:lblAlgn val="ctr"/>
        <c:lblOffset val="100"/>
        <c:noMultiLvlLbl val="0"/>
      </c:catAx>
      <c:valAx>
        <c:axId val="18165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2571741032370953E-2"/>
          <c:y val="2.7777777777777776E-2"/>
          <c:w val="0.831903234101958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'Top Expenses'!$B$9:$C$9</c:f>
              <c:strCache>
                <c:ptCount val="2"/>
                <c:pt idx="0">
                  <c:v>Commercial Lease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Expenses'!$D$9:$H$9</c:f>
              <c:numCache>
                <c:formatCode>#,##0</c:formatCode>
                <c:ptCount val="5"/>
                <c:pt idx="0">
                  <c:v>8400</c:v>
                </c:pt>
                <c:pt idx="1">
                  <c:v>8400</c:v>
                </c:pt>
                <c:pt idx="2">
                  <c:v>8400</c:v>
                </c:pt>
                <c:pt idx="3">
                  <c:v>8400</c:v>
                </c:pt>
                <c:pt idx="4">
                  <c:v>8400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9-41F2-86A9-6D771DAA14D6}"/>
            </c:ext>
          </c:extLst>
        </c:ser>
        <c:ser>
          <c:idx val="1"/>
          <c:order val="1"/>
          <c:tx>
            <c:strRef>
              <c:f>'Top Expenses'!$B$10:$C$10</c:f>
              <c:strCache>
                <c:ptCount val="2"/>
                <c:pt idx="0">
                  <c:v>Wages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Expenses'!$D$10:$H$10</c:f>
              <c:numCache>
                <c:formatCode>#,##0</c:formatCode>
                <c:ptCount val="5"/>
                <c:pt idx="0">
                  <c:v>920604</c:v>
                </c:pt>
                <c:pt idx="1">
                  <c:v>920604</c:v>
                </c:pt>
                <c:pt idx="2">
                  <c:v>920604</c:v>
                </c:pt>
                <c:pt idx="3">
                  <c:v>920604</c:v>
                </c:pt>
                <c:pt idx="4">
                  <c:v>979604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9-41F2-86A9-6D771DAA14D6}"/>
            </c:ext>
          </c:extLst>
        </c:ser>
        <c:ser>
          <c:idx val="2"/>
          <c:order val="2"/>
          <c:tx>
            <c:strRef>
              <c:f>'Top Expenses'!$B$11:$C$11</c:f>
              <c:strCache>
                <c:ptCount val="2"/>
                <c:pt idx="0">
                  <c:v>Utilities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Expenses'!$D$11:$H$11</c:f>
              <c:numCache>
                <c:formatCode>#,##0</c:formatCode>
                <c:ptCount val="5"/>
                <c:pt idx="0">
                  <c:v>22800</c:v>
                </c:pt>
                <c:pt idx="1">
                  <c:v>22800</c:v>
                </c:pt>
                <c:pt idx="2">
                  <c:v>22800</c:v>
                </c:pt>
                <c:pt idx="3">
                  <c:v>22800</c:v>
                </c:pt>
                <c:pt idx="4">
                  <c:v>22800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89-41F2-86A9-6D771DAA14D6}"/>
            </c:ext>
          </c:extLst>
        </c:ser>
        <c:ser>
          <c:idx val="3"/>
          <c:order val="3"/>
          <c:tx>
            <c:strRef>
              <c:f>'Top Expenses'!$B$12:$C$12</c:f>
              <c:strCache>
                <c:ptCount val="2"/>
                <c:pt idx="0">
                  <c:v>Misc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Expenses'!$D$12:$H$12</c:f>
              <c:numCache>
                <c:formatCode>#,##0</c:formatCode>
                <c:ptCount val="5"/>
                <c:pt idx="0">
                  <c:v>161916</c:v>
                </c:pt>
                <c:pt idx="1">
                  <c:v>161916</c:v>
                </c:pt>
                <c:pt idx="2">
                  <c:v>161916</c:v>
                </c:pt>
                <c:pt idx="3">
                  <c:v>161916</c:v>
                </c:pt>
                <c:pt idx="4">
                  <c:v>123574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89-41F2-86A9-6D771DAA1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424048"/>
        <c:axId val="121146032"/>
      </c:lineChart>
      <c:catAx>
        <c:axId val="10642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46032"/>
        <c:crosses val="autoZero"/>
        <c:auto val="1"/>
        <c:lblAlgn val="ctr"/>
        <c:lblOffset val="100"/>
        <c:noMultiLvlLbl val="0"/>
      </c:catAx>
      <c:valAx>
        <c:axId val="12114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2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50966399037599E-2"/>
          <c:y val="4.8655697698804602E-2"/>
          <c:w val="0.94891407155982099"/>
          <c:h val="0.76878323136437199"/>
        </c:manualLayout>
      </c:layout>
      <c:lineChart>
        <c:grouping val="standard"/>
        <c:varyColors val="0"/>
        <c:ser>
          <c:idx val="3"/>
          <c:order val="0"/>
          <c:tx>
            <c:strRef>
              <c:f>'Planned Hours of Work'!$F$10</c:f>
              <c:strCache>
                <c:ptCount val="1"/>
                <c:pt idx="0">
                  <c:v>% OF GOAL REACHED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16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rgbClr val="0070C0"/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'Planned Hours of Work'!$B$11:$C$35</c:f>
              <c:strCache>
                <c:ptCount val="25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  <c:pt idx="12">
                  <c:v>Project 13</c:v>
                </c:pt>
                <c:pt idx="13">
                  <c:v>Project 14</c:v>
                </c:pt>
                <c:pt idx="14">
                  <c:v>Project 15</c:v>
                </c:pt>
                <c:pt idx="15">
                  <c:v>Project 16</c:v>
                </c:pt>
                <c:pt idx="16">
                  <c:v>Project 17</c:v>
                </c:pt>
                <c:pt idx="17">
                  <c:v>Project 18</c:v>
                </c:pt>
                <c:pt idx="18">
                  <c:v>Project 19</c:v>
                </c:pt>
                <c:pt idx="19">
                  <c:v>Project 20</c:v>
                </c:pt>
                <c:pt idx="20">
                  <c:v>Project 21</c:v>
                </c:pt>
                <c:pt idx="21">
                  <c:v>Project 22</c:v>
                </c:pt>
                <c:pt idx="22">
                  <c:v>Project 23</c:v>
                </c:pt>
                <c:pt idx="23">
                  <c:v>Project 24</c:v>
                </c:pt>
                <c:pt idx="24">
                  <c:v>Project 25</c:v>
                </c:pt>
              </c:strCache>
            </c:strRef>
          </c:cat>
          <c:val>
            <c:numRef>
              <c:f>'Planned Hours of Work'!$F$11:$F$35</c:f>
              <c:numCache>
                <c:formatCode>0%</c:formatCode>
                <c:ptCount val="25"/>
                <c:pt idx="0">
                  <c:v>1.0833333333333333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1.0833333333333333</c:v>
                </c:pt>
                <c:pt idx="6">
                  <c:v>1.0833333333333333</c:v>
                </c:pt>
                <c:pt idx="7">
                  <c:v>1.0833333333333333</c:v>
                </c:pt>
                <c:pt idx="8">
                  <c:v>1.0833333333333333</c:v>
                </c:pt>
                <c:pt idx="9">
                  <c:v>0.91666666666666663</c:v>
                </c:pt>
                <c:pt idx="10">
                  <c:v>0.91666666666666663</c:v>
                </c:pt>
                <c:pt idx="11">
                  <c:v>0.91666666666666663</c:v>
                </c:pt>
                <c:pt idx="12">
                  <c:v>0.91666666666666663</c:v>
                </c:pt>
                <c:pt idx="13">
                  <c:v>1.0833333333333333</c:v>
                </c:pt>
                <c:pt idx="14">
                  <c:v>1.0833333333333333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1.0833333333333333</c:v>
                </c:pt>
                <c:pt idx="19">
                  <c:v>1.0833333333333333</c:v>
                </c:pt>
                <c:pt idx="20">
                  <c:v>1</c:v>
                </c:pt>
                <c:pt idx="21">
                  <c:v>1</c:v>
                </c:pt>
                <c:pt idx="22">
                  <c:v>1.0833333333333333</c:v>
                </c:pt>
                <c:pt idx="23">
                  <c:v>1.0833333333333333</c:v>
                </c:pt>
                <c:pt idx="24">
                  <c:v>1.0833333333333333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085-457A-A6FF-41BD0EDC3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12624"/>
        <c:axId val="54313184"/>
      </c:lineChart>
      <c:catAx>
        <c:axId val="54312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3184"/>
        <c:crosses val="autoZero"/>
        <c:auto val="1"/>
        <c:lblAlgn val="ctr"/>
        <c:lblOffset val="100"/>
        <c:noMultiLvlLbl val="0"/>
      </c:catAx>
      <c:valAx>
        <c:axId val="54313184"/>
        <c:scaling>
          <c:orientation val="minMax"/>
          <c:max val="1.25"/>
          <c:min val="0.75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262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8483483213663E-2"/>
          <c:y val="4.0958462760173703E-2"/>
          <c:w val="0.95614007837133197"/>
          <c:h val="0.88437656679764598"/>
        </c:manualLayout>
      </c:layout>
      <c:barChart>
        <c:barDir val="col"/>
        <c:grouping val="clustered"/>
        <c:varyColors val="1"/>
        <c:ser>
          <c:idx val="3"/>
          <c:order val="0"/>
          <c:tx>
            <c:strRef>
              <c:f>'Planned Hours of Work'!$D$10</c:f>
              <c:strCache>
                <c:ptCount val="1"/>
                <c:pt idx="0">
                  <c:v>Actual Hours Taken</c:v>
                </c:pt>
              </c:strCache>
            </c:strRef>
          </c:tx>
          <c:spPr>
            <a:solidFill>
              <a:schemeClr val="accent2"/>
            </a:solidFill>
            <a:ln w="9525" cap="flat" cmpd="sng" algn="ctr">
              <a:solidFill>
                <a:schemeClr val="accent4">
                  <a:shade val="58000"/>
                  <a:shade val="95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52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C7-4B12-A27C-B38C8A32548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57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C7-4B12-A27C-B38C8A32548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6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C7-4B12-A27C-B38C8A32548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6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2CC7-4B12-A27C-B38C8A32548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7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CC7-4B12-A27C-B38C8A32548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79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CC7-4B12-A27C-B38C8A32548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8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CC7-4B12-A27C-B38C8A32548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9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2CC7-4B12-A27C-B38C8A32548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9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2CC7-4B12-A27C-B38C8A32548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2CC7-4B12-A27C-B38C8A32548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9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2CC7-4B12-A27C-B38C8A32548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89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2CC7-4B12-A27C-B38C8A32548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8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2CC7-4B12-A27C-B38C8A32548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7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2CC7-4B12-A27C-B38C8A32548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7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2CC7-4B12-A27C-B38C8A32548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67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2CC7-4B12-A27C-B38C8A32548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62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2CC7-4B12-A27C-B38C8A325486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5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2CC7-4B12-A27C-B38C8A325486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51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2CC7-4B12-A27C-B38C8A325486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4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7-2CC7-4B12-A27C-B38C8A325486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4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2CC7-4B12-A27C-B38C8A325486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3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B-2CC7-4B12-A27C-B38C8A3254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'Planned Hours of Work'!$B$11:$C$35</c:f>
              <c:strCache>
                <c:ptCount val="25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  <c:pt idx="12">
                  <c:v>Project 13</c:v>
                </c:pt>
                <c:pt idx="13">
                  <c:v>Project 14</c:v>
                </c:pt>
                <c:pt idx="14">
                  <c:v>Project 15</c:v>
                </c:pt>
                <c:pt idx="15">
                  <c:v>Project 16</c:v>
                </c:pt>
                <c:pt idx="16">
                  <c:v>Project 17</c:v>
                </c:pt>
                <c:pt idx="17">
                  <c:v>Project 18</c:v>
                </c:pt>
                <c:pt idx="18">
                  <c:v>Project 19</c:v>
                </c:pt>
                <c:pt idx="19">
                  <c:v>Project 20</c:v>
                </c:pt>
                <c:pt idx="20">
                  <c:v>Project 21</c:v>
                </c:pt>
                <c:pt idx="21">
                  <c:v>Project 22</c:v>
                </c:pt>
                <c:pt idx="22">
                  <c:v>Project 23</c:v>
                </c:pt>
                <c:pt idx="23">
                  <c:v>Project 24</c:v>
                </c:pt>
                <c:pt idx="24">
                  <c:v>Project 25</c:v>
                </c:pt>
              </c:strCache>
            </c:strRef>
          </c:cat>
          <c:val>
            <c:numRef>
              <c:f>'Planned Hours of Work'!$D$11:$D$35</c:f>
              <c:numCache>
                <c:formatCode>General</c:formatCode>
                <c:ptCount val="25"/>
                <c:pt idx="0">
                  <c:v>65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65</c:v>
                </c:pt>
                <c:pt idx="14">
                  <c:v>65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65</c:v>
                </c:pt>
                <c:pt idx="19">
                  <c:v>65</c:v>
                </c:pt>
                <c:pt idx="20">
                  <c:v>60</c:v>
                </c:pt>
                <c:pt idx="21">
                  <c:v>60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2CC7-4B12-A27C-B38C8A325486}"/>
            </c:ext>
          </c:extLst>
        </c:ser>
        <c:ser>
          <c:idx val="0"/>
          <c:order val="1"/>
          <c:tx>
            <c:strRef>
              <c:f>'Planned Hours of Work'!$E$10</c:f>
              <c:strCache>
                <c:ptCount val="1"/>
                <c:pt idx="0">
                  <c:v>Planned Hours for Tasks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4">
                  <a:tint val="58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'Planned Hours of Work'!$B$11:$C$35</c:f>
              <c:strCache>
                <c:ptCount val="25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  <c:pt idx="12">
                  <c:v>Project 13</c:v>
                </c:pt>
                <c:pt idx="13">
                  <c:v>Project 14</c:v>
                </c:pt>
                <c:pt idx="14">
                  <c:v>Project 15</c:v>
                </c:pt>
                <c:pt idx="15">
                  <c:v>Project 16</c:v>
                </c:pt>
                <c:pt idx="16">
                  <c:v>Project 17</c:v>
                </c:pt>
                <c:pt idx="17">
                  <c:v>Project 18</c:v>
                </c:pt>
                <c:pt idx="18">
                  <c:v>Project 19</c:v>
                </c:pt>
                <c:pt idx="19">
                  <c:v>Project 20</c:v>
                </c:pt>
                <c:pt idx="20">
                  <c:v>Project 21</c:v>
                </c:pt>
                <c:pt idx="21">
                  <c:v>Project 22</c:v>
                </c:pt>
                <c:pt idx="22">
                  <c:v>Project 23</c:v>
                </c:pt>
                <c:pt idx="23">
                  <c:v>Project 24</c:v>
                </c:pt>
                <c:pt idx="24">
                  <c:v>Project 25</c:v>
                </c:pt>
              </c:strCache>
            </c:strRef>
          </c:cat>
          <c:val>
            <c:numRef>
              <c:f>'Planned Hours of Work'!$E$11:$E$35</c:f>
              <c:numCache>
                <c:formatCode>General</c:formatCode>
                <c:ptCount val="2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2CC7-4B12-A27C-B38C8A3254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1"/>
        <c:axId val="210470832"/>
        <c:axId val="210471392"/>
      </c:barChart>
      <c:catAx>
        <c:axId val="21047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71392"/>
        <c:crosses val="autoZero"/>
        <c:auto val="1"/>
        <c:lblAlgn val="ctr"/>
        <c:lblOffset val="100"/>
        <c:noMultiLvlLbl val="0"/>
      </c:catAx>
      <c:valAx>
        <c:axId val="21047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7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GB" b="0"/>
              <a:t>KPI Developer Financials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6"/>
          <c:order val="0"/>
          <c:tx>
            <c:strRef>
              <c:f>'KPI Stage Financials'!$E$5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'KPI Stage Financials'!$C$6:$C$20</c15:sqref>
                  </c15:fullRef>
                </c:ext>
              </c:extLst>
              <c:f>('KPI Stage Financials'!$C$6:$C$17,'KPI Stage Financials'!$C$19:$C$20)</c:f>
              <c:strCache>
                <c:ptCount val="14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  <c:pt idx="12">
                  <c:v>Project 14</c:v>
                </c:pt>
                <c:pt idx="13">
                  <c:v>Project 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'KPI Stage Financials'!$E$6:$E$20</c15:sqref>
                  </c15:fullRef>
                </c:ext>
              </c:extLst>
              <c:f>('KPI Stage Financials'!$E$6:$E$17,'KPI Stage Financials'!$E$19:$E$20)</c:f>
              <c:numCache>
                <c:formatCode>#,##0</c:formatCode>
                <c:ptCount val="14"/>
                <c:pt idx="0">
                  <c:v>2760</c:v>
                </c:pt>
                <c:pt idx="1">
                  <c:v>2760</c:v>
                </c:pt>
                <c:pt idx="2">
                  <c:v>2660</c:v>
                </c:pt>
                <c:pt idx="3">
                  <c:v>2450</c:v>
                </c:pt>
                <c:pt idx="4">
                  <c:v>2500</c:v>
                </c:pt>
                <c:pt idx="5">
                  <c:v>2760</c:v>
                </c:pt>
                <c:pt idx="6">
                  <c:v>2760</c:v>
                </c:pt>
                <c:pt idx="7">
                  <c:v>2700</c:v>
                </c:pt>
                <c:pt idx="8">
                  <c:v>2750</c:v>
                </c:pt>
                <c:pt idx="9">
                  <c:v>3005</c:v>
                </c:pt>
                <c:pt idx="10">
                  <c:v>2970</c:v>
                </c:pt>
                <c:pt idx="11">
                  <c:v>2760</c:v>
                </c:pt>
                <c:pt idx="12">
                  <c:v>2350</c:v>
                </c:pt>
                <c:pt idx="13">
                  <c:v>2750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7A-4537-ABB8-1736D51F4BAC}"/>
            </c:ext>
          </c:extLst>
        </c:ser>
        <c:ser>
          <c:idx val="0"/>
          <c:order val="1"/>
          <c:tx>
            <c:strRef>
              <c:f>'KPI Stage Financials'!$D$5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'KPI Stage Financials'!$C$6:$C$20</c15:sqref>
                  </c15:fullRef>
                </c:ext>
              </c:extLst>
              <c:f>('KPI Stage Financials'!$C$6:$C$17,'KPI Stage Financials'!$C$19:$C$20)</c:f>
              <c:strCache>
                <c:ptCount val="14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  <c:pt idx="12">
                  <c:v>Project 14</c:v>
                </c:pt>
                <c:pt idx="13">
                  <c:v>Project 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'KPI Stage Financials'!$D$6:$D$20</c15:sqref>
                  </c15:fullRef>
                </c:ext>
              </c:extLst>
              <c:f>('KPI Stage Financials'!$D$6:$D$17,'KPI Stage Financials'!$D$19:$D$20)</c:f>
              <c:numCache>
                <c:formatCode>#,##0</c:formatCode>
                <c:ptCount val="14"/>
                <c:pt idx="0">
                  <c:v>2760</c:v>
                </c:pt>
                <c:pt idx="1">
                  <c:v>2660</c:v>
                </c:pt>
                <c:pt idx="2">
                  <c:v>2560</c:v>
                </c:pt>
                <c:pt idx="3">
                  <c:v>2550</c:v>
                </c:pt>
                <c:pt idx="4">
                  <c:v>2550</c:v>
                </c:pt>
                <c:pt idx="5">
                  <c:v>2760</c:v>
                </c:pt>
                <c:pt idx="6">
                  <c:v>2760</c:v>
                </c:pt>
                <c:pt idx="7">
                  <c:v>2760</c:v>
                </c:pt>
                <c:pt idx="8">
                  <c:v>2760</c:v>
                </c:pt>
                <c:pt idx="9">
                  <c:v>3000</c:v>
                </c:pt>
                <c:pt idx="10">
                  <c:v>2970</c:v>
                </c:pt>
                <c:pt idx="11">
                  <c:v>2760</c:v>
                </c:pt>
                <c:pt idx="12">
                  <c:v>2400</c:v>
                </c:pt>
                <c:pt idx="13">
                  <c:v>2760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F7A-4537-ABB8-1736D51F4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401608"/>
        <c:axId val="2092405368"/>
      </c:barChart>
      <c:lineChart>
        <c:grouping val="standard"/>
        <c:varyColors val="1"/>
        <c:ser>
          <c:idx val="1"/>
          <c:order val="2"/>
          <c:tx>
            <c:strRef>
              <c:f>'KPI Stage Financials'!$G$5</c:f>
              <c:strCache>
                <c:ptCount val="1"/>
                <c:pt idx="0">
                  <c:v>Variance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  <a:effectLst/>
          </c:spPr>
          <c:marker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16-4484-A5EB-235BC332D3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16-4484-A5EB-235BC332D3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516-4484-A5EB-235BC332D38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516-4484-A5EB-235BC332D38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516-4484-A5EB-235BC332D38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516-4484-A5EB-235BC332D38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516-4484-A5EB-235BC332D38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516-4484-A5EB-235BC332D388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'KPI Stage Financials'!$C$6:$C$20</c15:sqref>
                  </c15:fullRef>
                </c:ext>
              </c:extLst>
              <c:f>('KPI Stage Financials'!$C$6:$C$17,'KPI Stage Financials'!$C$19:$C$20)</c:f>
              <c:strCache>
                <c:ptCount val="14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  <c:pt idx="12">
                  <c:v>Project 14</c:v>
                </c:pt>
                <c:pt idx="13">
                  <c:v>Project 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'KPI Stage Financials'!$G$6:$G$20</c15:sqref>
                  </c15:fullRef>
                </c:ext>
              </c:extLst>
              <c:f>('KPI Stage Financials'!$G$6:$G$17,'KPI Stage Financials'!$G$19:$G$20)</c:f>
              <c:numCache>
                <c:formatCode>#,##0</c:formatCode>
                <c:ptCount val="14"/>
                <c:pt idx="0">
                  <c:v>0</c:v>
                </c:pt>
                <c:pt idx="1">
                  <c:v>-100</c:v>
                </c:pt>
                <c:pt idx="2">
                  <c:v>-100</c:v>
                </c:pt>
                <c:pt idx="3">
                  <c:v>100</c:v>
                </c:pt>
                <c:pt idx="4">
                  <c:v>50</c:v>
                </c:pt>
                <c:pt idx="5">
                  <c:v>0</c:v>
                </c:pt>
                <c:pt idx="6">
                  <c:v>0</c:v>
                </c:pt>
                <c:pt idx="7">
                  <c:v>60</c:v>
                </c:pt>
                <c:pt idx="8">
                  <c:v>10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50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F7A-4537-ABB8-1736D51F4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740479"/>
        <c:axId val="1542239119"/>
      </c:lineChart>
      <c:catAx>
        <c:axId val="209240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5368"/>
        <c:crossesAt val="0"/>
        <c:auto val="1"/>
        <c:lblAlgn val="ctr"/>
        <c:lblOffset val="100"/>
        <c:noMultiLvlLbl val="0"/>
      </c:catAx>
      <c:valAx>
        <c:axId val="2092405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1608"/>
        <c:crosses val="autoZero"/>
        <c:crossBetween val="between"/>
      </c:valAx>
      <c:valAx>
        <c:axId val="1542239119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1472740479"/>
        <c:crosses val="max"/>
        <c:crossBetween val="between"/>
      </c:valAx>
      <c:catAx>
        <c:axId val="14727404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22391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Arial" charset="0"/>
                <a:cs typeface="Arial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Arial" charset="0"/>
                <a:cs typeface="Arial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Arial" charset="0"/>
                <a:cs typeface="Arial" charset="0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'KPI Stage Financials'!$F$5</c:f>
              <c:strCache>
                <c:ptCount val="1"/>
                <c:pt idx="0">
                  <c:v>% Of Costs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>
              <a:outerShdw blurRad="50800" dist="50800" dir="5400000" algn="ctr" rotWithShape="0">
                <a:srgbClr val="000000">
                  <a:alpha val="37000"/>
                </a:srgbClr>
              </a:outerShdw>
            </a:effectLst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>
                <a:outerShdw blurRad="50800" dist="50800" dir="5400000" algn="ctr" rotWithShape="0">
                  <a:srgbClr val="000000">
                    <a:alpha val="37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'KPI Stage Financials'!$C$6:$C$20</c:f>
              <c:strCache>
                <c:ptCount val="15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  <c:pt idx="12">
                  <c:v>Project 13</c:v>
                </c:pt>
                <c:pt idx="13">
                  <c:v>Project 14</c:v>
                </c:pt>
                <c:pt idx="14">
                  <c:v>Project 15</c:v>
                </c:pt>
              </c:strCache>
            </c:strRef>
          </c:xVal>
          <c:yVal>
            <c:numRef>
              <c:f>'KPI Stage Financials'!$F$6:$F$20</c:f>
              <c:numCache>
                <c:formatCode>0.00%</c:formatCode>
                <c:ptCount val="15"/>
                <c:pt idx="0">
                  <c:v>1</c:v>
                </c:pt>
                <c:pt idx="1">
                  <c:v>0.96376811594202894</c:v>
                </c:pt>
                <c:pt idx="2">
                  <c:v>0.96240601503759393</c:v>
                </c:pt>
                <c:pt idx="3">
                  <c:v>1.0408163265306123</c:v>
                </c:pt>
                <c:pt idx="4">
                  <c:v>1.02</c:v>
                </c:pt>
                <c:pt idx="5">
                  <c:v>1</c:v>
                </c:pt>
                <c:pt idx="6">
                  <c:v>1</c:v>
                </c:pt>
                <c:pt idx="7">
                  <c:v>1.0222222222222221</c:v>
                </c:pt>
                <c:pt idx="8">
                  <c:v>1.0036363636363637</c:v>
                </c:pt>
                <c:pt idx="9">
                  <c:v>0.99833610648918469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1.0212765957446808</c:v>
                </c:pt>
                <c:pt idx="14">
                  <c:v>1.0036363636363637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FA-4455-AA66-1D03A7FA271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313279743"/>
        <c:axId val="303379807"/>
      </c:scatterChart>
      <c:valAx>
        <c:axId val="313279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379807"/>
        <c:crosses val="autoZero"/>
        <c:crossBetween val="midCat"/>
      </c:valAx>
      <c:valAx>
        <c:axId val="303379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2797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50966399037599E-2"/>
          <c:y val="4.8655697698804602E-2"/>
          <c:w val="0.94891407155982099"/>
          <c:h val="0.76878323136437199"/>
        </c:manualLayout>
      </c:layout>
      <c:lineChart>
        <c:grouping val="standard"/>
        <c:varyColors val="0"/>
        <c:ser>
          <c:idx val="3"/>
          <c:order val="0"/>
          <c:tx>
            <c:strRef>
              <c:f>'KPI Stage Financials'!$F$5</c:f>
              <c:strCache>
                <c:ptCount val="1"/>
                <c:pt idx="0">
                  <c:v>% Of Costs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16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rgbClr val="0070C0"/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'KPI Stage Financials'!$C$6:$C$20</c:f>
              <c:strCache>
                <c:ptCount val="15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  <c:pt idx="12">
                  <c:v>Project 13</c:v>
                </c:pt>
                <c:pt idx="13">
                  <c:v>Project 14</c:v>
                </c:pt>
                <c:pt idx="14">
                  <c:v>Project 15</c:v>
                </c:pt>
              </c:strCache>
            </c:strRef>
          </c:cat>
          <c:val>
            <c:numRef>
              <c:f>'KPI Stage Financials'!$F$6:$F$20</c:f>
              <c:numCache>
                <c:formatCode>0.00%</c:formatCode>
                <c:ptCount val="15"/>
                <c:pt idx="0">
                  <c:v>1</c:v>
                </c:pt>
                <c:pt idx="1">
                  <c:v>0.96376811594202894</c:v>
                </c:pt>
                <c:pt idx="2">
                  <c:v>0.96240601503759393</c:v>
                </c:pt>
                <c:pt idx="3">
                  <c:v>1.0408163265306123</c:v>
                </c:pt>
                <c:pt idx="4">
                  <c:v>1.02</c:v>
                </c:pt>
                <c:pt idx="5">
                  <c:v>1</c:v>
                </c:pt>
                <c:pt idx="6">
                  <c:v>1</c:v>
                </c:pt>
                <c:pt idx="7">
                  <c:v>1.0222222222222221</c:v>
                </c:pt>
                <c:pt idx="8">
                  <c:v>1.0036363636363637</c:v>
                </c:pt>
                <c:pt idx="9">
                  <c:v>0.99833610648918469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1.0212765957446808</c:v>
                </c:pt>
                <c:pt idx="14">
                  <c:v>1.0036363636363637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1CE-42DF-8FC1-E3D68557B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12624"/>
        <c:axId val="54313184"/>
      </c:lineChart>
      <c:catAx>
        <c:axId val="54312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3184"/>
        <c:crosses val="autoZero"/>
        <c:auto val="1"/>
        <c:lblAlgn val="ctr"/>
        <c:lblOffset val="100"/>
        <c:noMultiLvlLbl val="0"/>
      </c:catAx>
      <c:valAx>
        <c:axId val="54313184"/>
        <c:scaling>
          <c:orientation val="minMax"/>
          <c:max val="1.25"/>
          <c:min val="0.75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262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Return on Investment</a:t>
            </a:r>
            <a:r>
              <a:rPr lang="en-GB" baseline="0"/>
              <a:t> (ROI)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Spend'!$B$5</c:f>
              <c:strCache>
                <c:ptCount val="1"/>
                <c:pt idx="0">
                  <c:v>Planned Value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Spend'!$C$5:$N$5</c:f>
              <c:numCache>
                <c:formatCode>#,##0</c:formatCode>
                <c:ptCount val="12"/>
                <c:pt idx="0">
                  <c:v>3500</c:v>
                </c:pt>
                <c:pt idx="1">
                  <c:v>4000</c:v>
                </c:pt>
                <c:pt idx="2">
                  <c:v>4500</c:v>
                </c:pt>
                <c:pt idx="3">
                  <c:v>5500</c:v>
                </c:pt>
                <c:pt idx="4">
                  <c:v>6500</c:v>
                </c:pt>
                <c:pt idx="5">
                  <c:v>7500</c:v>
                </c:pt>
                <c:pt idx="6">
                  <c:v>8500</c:v>
                </c:pt>
                <c:pt idx="7">
                  <c:v>11000</c:v>
                </c:pt>
                <c:pt idx="8">
                  <c:v>9500</c:v>
                </c:pt>
                <c:pt idx="9">
                  <c:v>9600</c:v>
                </c:pt>
                <c:pt idx="10">
                  <c:v>9700</c:v>
                </c:pt>
                <c:pt idx="11">
                  <c:v>9900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8E-408A-8D6E-2712D36A29AD}"/>
            </c:ext>
          </c:extLst>
        </c:ser>
        <c:ser>
          <c:idx val="1"/>
          <c:order val="1"/>
          <c:tx>
            <c:strRef>
              <c:f>'KPI Spend'!$B$6</c:f>
              <c:strCache>
                <c:ptCount val="1"/>
                <c:pt idx="0">
                  <c:v>Expenditure Product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Spend'!$C$6:$N$6</c:f>
              <c:numCache>
                <c:formatCode>#,##0</c:formatCode>
                <c:ptCount val="12"/>
                <c:pt idx="0">
                  <c:v>4400</c:v>
                </c:pt>
                <c:pt idx="1">
                  <c:v>3800</c:v>
                </c:pt>
                <c:pt idx="2">
                  <c:v>4500</c:v>
                </c:pt>
                <c:pt idx="3">
                  <c:v>5500</c:v>
                </c:pt>
                <c:pt idx="4">
                  <c:v>6000</c:v>
                </c:pt>
                <c:pt idx="5">
                  <c:v>8500</c:v>
                </c:pt>
                <c:pt idx="6">
                  <c:v>9500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8E-408A-8D6E-2712D36A29AD}"/>
            </c:ext>
          </c:extLst>
        </c:ser>
        <c:ser>
          <c:idx val="2"/>
          <c:order val="2"/>
          <c:tx>
            <c:strRef>
              <c:f>'KPI Spend'!$B$7</c:f>
              <c:strCache>
                <c:ptCount val="1"/>
                <c:pt idx="0">
                  <c:v>Earned Product 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Spend'!$C$7:$N$7</c:f>
              <c:numCache>
                <c:formatCode>#,##0</c:formatCode>
                <c:ptCount val="12"/>
                <c:pt idx="0">
                  <c:v>3100</c:v>
                </c:pt>
                <c:pt idx="1">
                  <c:v>4150</c:v>
                </c:pt>
                <c:pt idx="2">
                  <c:v>4700</c:v>
                </c:pt>
                <c:pt idx="3">
                  <c:v>5600</c:v>
                </c:pt>
                <c:pt idx="4">
                  <c:v>6900</c:v>
                </c:pt>
                <c:pt idx="5">
                  <c:v>7700</c:v>
                </c:pt>
                <c:pt idx="6">
                  <c:v>8600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8E-408A-8D6E-2712D36A29AD}"/>
            </c:ext>
          </c:extLst>
        </c:ser>
        <c:ser>
          <c:idx val="3"/>
          <c:order val="3"/>
          <c:tx>
            <c:strRef>
              <c:f>'KPI Spend'!$B$8</c:f>
              <c:strCache>
                <c:ptCount val="1"/>
                <c:pt idx="0">
                  <c:v>Expenditure Product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Spend'!$C$8:$N$8</c:f>
              <c:numCache>
                <c:formatCode>#,##0</c:formatCode>
                <c:ptCount val="12"/>
                <c:pt idx="0">
                  <c:v>6000</c:v>
                </c:pt>
                <c:pt idx="1">
                  <c:v>6500</c:v>
                </c:pt>
                <c:pt idx="2">
                  <c:v>6700</c:v>
                </c:pt>
                <c:pt idx="3">
                  <c:v>6900</c:v>
                </c:pt>
                <c:pt idx="4">
                  <c:v>7200</c:v>
                </c:pt>
                <c:pt idx="5">
                  <c:v>7800</c:v>
                </c:pt>
                <c:pt idx="6">
                  <c:v>8900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8E-408A-8D6E-2712D36A29AD}"/>
            </c:ext>
          </c:extLst>
        </c:ser>
        <c:ser>
          <c:idx val="4"/>
          <c:order val="4"/>
          <c:tx>
            <c:strRef>
              <c:f>'KPI Spend'!$B$9</c:f>
              <c:strCache>
                <c:ptCount val="1"/>
                <c:pt idx="0">
                  <c:v>Earned Product 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Spend'!$C$9:$N$9</c:f>
              <c:numCache>
                <c:formatCode>#,##0</c:formatCode>
                <c:ptCount val="12"/>
                <c:pt idx="0">
                  <c:v>5700</c:v>
                </c:pt>
                <c:pt idx="1">
                  <c:v>6250</c:v>
                </c:pt>
                <c:pt idx="2">
                  <c:v>6400</c:v>
                </c:pt>
                <c:pt idx="3">
                  <c:v>6500</c:v>
                </c:pt>
                <c:pt idx="4">
                  <c:v>7000</c:v>
                </c:pt>
                <c:pt idx="5">
                  <c:v>7550</c:v>
                </c:pt>
                <c:pt idx="6">
                  <c:v>8600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8E-408A-8D6E-2712D36A29AD}"/>
            </c:ext>
          </c:extLst>
        </c:ser>
        <c:ser>
          <c:idx val="5"/>
          <c:order val="5"/>
          <c:tx>
            <c:strRef>
              <c:f>'KPI Spend'!$B$10</c:f>
              <c:strCache>
                <c:ptCount val="1"/>
                <c:pt idx="0">
                  <c:v>Expenditure Product 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Spend'!$C$10:$N$10</c:f>
              <c:numCache>
                <c:formatCode>#,##0</c:formatCode>
                <c:ptCount val="12"/>
                <c:pt idx="0">
                  <c:v>2700</c:v>
                </c:pt>
                <c:pt idx="1">
                  <c:v>3100</c:v>
                </c:pt>
                <c:pt idx="2">
                  <c:v>3500</c:v>
                </c:pt>
                <c:pt idx="3">
                  <c:v>4300</c:v>
                </c:pt>
                <c:pt idx="4">
                  <c:v>5100</c:v>
                </c:pt>
                <c:pt idx="5">
                  <c:v>6500</c:v>
                </c:pt>
                <c:pt idx="6">
                  <c:v>7500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8E-408A-8D6E-2712D36A29AD}"/>
            </c:ext>
          </c:extLst>
        </c:ser>
        <c:ser>
          <c:idx val="6"/>
          <c:order val="6"/>
          <c:tx>
            <c:strRef>
              <c:f>'KPI Spend'!$B$11</c:f>
              <c:strCache>
                <c:ptCount val="1"/>
                <c:pt idx="0">
                  <c:v>Earned Product 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Spend'!$C$11:$N$11</c:f>
              <c:numCache>
                <c:formatCode>#,##0</c:formatCode>
                <c:ptCount val="12"/>
                <c:pt idx="0">
                  <c:v>3600</c:v>
                </c:pt>
                <c:pt idx="1">
                  <c:v>3950</c:v>
                </c:pt>
                <c:pt idx="2">
                  <c:v>4100</c:v>
                </c:pt>
                <c:pt idx="3">
                  <c:v>5500</c:v>
                </c:pt>
                <c:pt idx="4">
                  <c:v>7100</c:v>
                </c:pt>
                <c:pt idx="5">
                  <c:v>7450</c:v>
                </c:pt>
                <c:pt idx="6">
                  <c:v>8800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8E-408A-8D6E-2712D36A2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658928"/>
        <c:axId val="339634576"/>
      </c:lineChart>
      <c:catAx>
        <c:axId val="34265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634576"/>
        <c:crosses val="autoZero"/>
        <c:auto val="1"/>
        <c:lblAlgn val="ctr"/>
        <c:lblOffset val="100"/>
        <c:noMultiLvlLbl val="0"/>
      </c:catAx>
      <c:valAx>
        <c:axId val="33963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65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571786.75840000017</c:v>
                </c:pt>
                <c:pt idx="1">
                  <c:v>625096.12240000011</c:v>
                </c:pt>
                <c:pt idx="2">
                  <c:v>715545.26939999999</c:v>
                </c:pt>
                <c:pt idx="3">
                  <c:v>749123.89899999986</c:v>
                </c:pt>
                <c:pt idx="4">
                  <c:v>840961.00200000009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5-436D-B9EC-7CC844A9F589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55-436D-B9EC-7CC844A9F589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55-436D-B9EC-7CC844A9F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571786.75840000017</c:v>
                </c:pt>
                <c:pt idx="1">
                  <c:v>625096.12240000011</c:v>
                </c:pt>
                <c:pt idx="2">
                  <c:v>715545.26939999999</c:v>
                </c:pt>
                <c:pt idx="3">
                  <c:v>749123.89899999986</c:v>
                </c:pt>
                <c:pt idx="4">
                  <c:v>840961.00200000009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55-436D-B9EC-7CC844A9F589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1148646.1168000004</c:v>
                </c:pt>
                <c:pt idx="1">
                  <c:v>1295628.0448</c:v>
                </c:pt>
                <c:pt idx="2">
                  <c:v>1431090.5387999997</c:v>
                </c:pt>
                <c:pt idx="3">
                  <c:v>1556320.7979999995</c:v>
                </c:pt>
                <c:pt idx="4">
                  <c:v>1745895.0040000002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55-436D-B9EC-7CC844A9F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'KPI Spend'!$D$33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Spend'!$D$34:$D$43</c:f>
              <c:numCache>
                <c:formatCode>#,##0</c:formatCode>
                <c:ptCount val="10"/>
                <c:pt idx="0">
                  <c:v>15860</c:v>
                </c:pt>
                <c:pt idx="1">
                  <c:v>13760</c:v>
                </c:pt>
                <c:pt idx="2">
                  <c:v>14940</c:v>
                </c:pt>
                <c:pt idx="3">
                  <c:v>12653</c:v>
                </c:pt>
                <c:pt idx="4">
                  <c:v>9478</c:v>
                </c:pt>
                <c:pt idx="5">
                  <c:v>11600</c:v>
                </c:pt>
                <c:pt idx="6">
                  <c:v>13785</c:v>
                </c:pt>
                <c:pt idx="7">
                  <c:v>28283</c:v>
                </c:pt>
                <c:pt idx="8">
                  <c:v>15438</c:v>
                </c:pt>
                <c:pt idx="9">
                  <c:v>9755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A-4114-8208-C8186CA8DE1E}"/>
            </c:ext>
          </c:extLst>
        </c:ser>
        <c:ser>
          <c:idx val="1"/>
          <c:order val="1"/>
          <c:tx>
            <c:strRef>
              <c:f>'KPI Spend'!$E$33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Spend'!$E$34:$E$43</c:f>
              <c:numCache>
                <c:formatCode>#,##0</c:formatCode>
                <c:ptCount val="10"/>
                <c:pt idx="0">
                  <c:v>15650</c:v>
                </c:pt>
                <c:pt idx="1">
                  <c:v>13018</c:v>
                </c:pt>
                <c:pt idx="2">
                  <c:v>13259</c:v>
                </c:pt>
                <c:pt idx="3">
                  <c:v>11368</c:v>
                </c:pt>
                <c:pt idx="4">
                  <c:v>9003</c:v>
                </c:pt>
                <c:pt idx="5">
                  <c:v>10900</c:v>
                </c:pt>
                <c:pt idx="6">
                  <c:v>12550</c:v>
                </c:pt>
                <c:pt idx="7">
                  <c:v>26300</c:v>
                </c:pt>
                <c:pt idx="8">
                  <c:v>14400</c:v>
                </c:pt>
                <c:pt idx="9">
                  <c:v>9187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A-4114-8208-C8186CA8D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2810736"/>
        <c:axId val="349460544"/>
      </c:barChart>
      <c:catAx>
        <c:axId val="2062810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60544"/>
        <c:crosses val="autoZero"/>
        <c:auto val="1"/>
        <c:lblAlgn val="ctr"/>
        <c:lblOffset val="100"/>
        <c:noMultiLvlLbl val="0"/>
      </c:catAx>
      <c:valAx>
        <c:axId val="3494605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81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'KPI Spend'!$I$33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Spend'!$I$34:$I$43</c:f>
              <c:numCache>
                <c:formatCode>#,##0</c:formatCode>
                <c:ptCount val="10"/>
                <c:pt idx="0">
                  <c:v>35916</c:v>
                </c:pt>
                <c:pt idx="1">
                  <c:v>15534</c:v>
                </c:pt>
                <c:pt idx="2">
                  <c:v>20719</c:v>
                </c:pt>
                <c:pt idx="3">
                  <c:v>20242</c:v>
                </c:pt>
                <c:pt idx="4">
                  <c:v>15177</c:v>
                </c:pt>
                <c:pt idx="5">
                  <c:v>11263</c:v>
                </c:pt>
                <c:pt idx="6">
                  <c:v>18852</c:v>
                </c:pt>
                <c:pt idx="7">
                  <c:v>38380</c:v>
                </c:pt>
                <c:pt idx="8">
                  <c:v>9731</c:v>
                </c:pt>
                <c:pt idx="9">
                  <c:v>9410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4-470C-A0B1-44F08ABDB7B4}"/>
            </c:ext>
          </c:extLst>
        </c:ser>
        <c:ser>
          <c:idx val="1"/>
          <c:order val="1"/>
          <c:tx>
            <c:strRef>
              <c:f>'KPI Spend'!$J$33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Spend'!$J$34:$J$43</c:f>
              <c:numCache>
                <c:formatCode>#,##0</c:formatCode>
                <c:ptCount val="10"/>
                <c:pt idx="0">
                  <c:v>37957</c:v>
                </c:pt>
                <c:pt idx="1">
                  <c:v>15900</c:v>
                </c:pt>
                <c:pt idx="2">
                  <c:v>22784</c:v>
                </c:pt>
                <c:pt idx="3">
                  <c:v>26000</c:v>
                </c:pt>
                <c:pt idx="4">
                  <c:v>17581</c:v>
                </c:pt>
                <c:pt idx="5">
                  <c:v>15766</c:v>
                </c:pt>
                <c:pt idx="6">
                  <c:v>20375</c:v>
                </c:pt>
                <c:pt idx="7">
                  <c:v>39983</c:v>
                </c:pt>
                <c:pt idx="8">
                  <c:v>14240</c:v>
                </c:pt>
                <c:pt idx="9">
                  <c:v>12610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4-470C-A0B1-44F08ABDB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2813136"/>
        <c:axId val="349440704"/>
      </c:barChart>
      <c:catAx>
        <c:axId val="2062813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40704"/>
        <c:crosses val="autoZero"/>
        <c:auto val="1"/>
        <c:lblAlgn val="ctr"/>
        <c:lblOffset val="100"/>
        <c:noMultiLvlLbl val="0"/>
      </c:catAx>
      <c:valAx>
        <c:axId val="3494407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81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Profit Margin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Spend'!$L$33</c:f>
              <c:strCache>
                <c:ptCount val="1"/>
                <c:pt idx="0">
                  <c:v>GROSS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Spend'!$L$34:$L$43</c:f>
              <c:numCache>
                <c:formatCode>0%</c:formatCode>
                <c:ptCount val="10"/>
                <c:pt idx="0">
                  <c:v>0.58769133493163317</c:v>
                </c:pt>
                <c:pt idx="1">
                  <c:v>0.18125786163522012</c:v>
                </c:pt>
                <c:pt idx="2">
                  <c:v>0.4180565308988764</c:v>
                </c:pt>
                <c:pt idx="3">
                  <c:v>0.5627692307692308</c:v>
                </c:pt>
                <c:pt idx="4">
                  <c:v>0.48791308799271943</c:v>
                </c:pt>
                <c:pt idx="5">
                  <c:v>0.30863884308004569</c:v>
                </c:pt>
                <c:pt idx="6">
                  <c:v>0.38404907975460123</c:v>
                </c:pt>
                <c:pt idx="7">
                  <c:v>0.34222044368856763</c:v>
                </c:pt>
                <c:pt idx="8">
                  <c:v>-1.1235955056179775E-2</c:v>
                </c:pt>
                <c:pt idx="9">
                  <c:v>0.27145122918318793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C6-4AA2-9F0B-EE4DC015F8FD}"/>
            </c:ext>
          </c:extLst>
        </c:ser>
        <c:ser>
          <c:idx val="1"/>
          <c:order val="1"/>
          <c:tx>
            <c:strRef>
              <c:f>'KPI Spend'!$M$33</c:f>
              <c:strCache>
                <c:ptCount val="1"/>
                <c:pt idx="0">
                  <c:v>NET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Spend'!$M$34:$M$43</c:f>
              <c:numCache>
                <c:formatCode>0%</c:formatCode>
                <c:ptCount val="10"/>
                <c:pt idx="0">
                  <c:v>0.34312511526200701</c:v>
                </c:pt>
                <c:pt idx="1">
                  <c:v>-0.23371069182389936</c:v>
                </c:pt>
                <c:pt idx="2">
                  <c:v>8.7693117977528087E-2</c:v>
                </c:pt>
                <c:pt idx="3">
                  <c:v>0.19384615384615383</c:v>
                </c:pt>
                <c:pt idx="4">
                  <c:v>1.0579602980490302E-2</c:v>
                </c:pt>
                <c:pt idx="5">
                  <c:v>-0.10300646961816567</c:v>
                </c:pt>
                <c:pt idx="6">
                  <c:v>6.1006134969325151E-2</c:v>
                </c:pt>
                <c:pt idx="7">
                  <c:v>0.1519895955781207</c:v>
                </c:pt>
                <c:pt idx="8">
                  <c:v>-0.40919943820224719</c:v>
                </c:pt>
                <c:pt idx="9">
                  <c:v>-0.23187946074544014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6-4AA2-9F0B-EE4DC015F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812176"/>
        <c:axId val="350242384"/>
      </c:lineChart>
      <c:catAx>
        <c:axId val="206281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242384"/>
        <c:crosses val="autoZero"/>
        <c:auto val="1"/>
        <c:lblAlgn val="ctr"/>
        <c:lblOffset val="100"/>
        <c:noMultiLvlLbl val="0"/>
      </c:catAx>
      <c:valAx>
        <c:axId val="35024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81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TimeData!$C$3</c:f>
              <c:strCache>
                <c:ptCount val="1"/>
                <c:pt idx="0">
                  <c:v>Actual Days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Product 1</c:v>
                </c:pt>
                <c:pt idx="1">
                  <c:v>Product 2</c:v>
                </c:pt>
                <c:pt idx="2">
                  <c:v>Product 3</c:v>
                </c:pt>
                <c:pt idx="3">
                  <c:v>Product 4</c:v>
                </c:pt>
                <c:pt idx="4">
                  <c:v>Product 5</c:v>
                </c:pt>
                <c:pt idx="5">
                  <c:v>Product 6</c:v>
                </c:pt>
                <c:pt idx="6">
                  <c:v>Product 7</c:v>
                </c:pt>
                <c:pt idx="7">
                  <c:v>Product 8</c:v>
                </c:pt>
                <c:pt idx="8">
                  <c:v>Product 9</c:v>
                </c:pt>
                <c:pt idx="9">
                  <c:v>Product 10</c:v>
                </c:pt>
                <c:pt idx="10">
                  <c:v>Product 11</c:v>
                </c:pt>
                <c:pt idx="11">
                  <c:v>Product 12</c:v>
                </c:pt>
              </c:strCache>
            </c:strRef>
          </c:cat>
          <c:val>
            <c:numRef>
              <c:f>TimeData!$D$3:$O$3</c:f>
              <c:numCache>
                <c:formatCode>#,##0</c:formatCode>
                <c:ptCount val="12"/>
                <c:pt idx="0" formatCode="0">
                  <c:v>37</c:v>
                </c:pt>
                <c:pt idx="1">
                  <c:v>41</c:v>
                </c:pt>
                <c:pt idx="2">
                  <c:v>46</c:v>
                </c:pt>
                <c:pt idx="3">
                  <c:v>48</c:v>
                </c:pt>
                <c:pt idx="4">
                  <c:v>45</c:v>
                </c:pt>
                <c:pt idx="5">
                  <c:v>48</c:v>
                </c:pt>
                <c:pt idx="6">
                  <c:v>51</c:v>
                </c:pt>
                <c:pt idx="7">
                  <c:v>39</c:v>
                </c:pt>
                <c:pt idx="8">
                  <c:v>45</c:v>
                </c:pt>
                <c:pt idx="9">
                  <c:v>44</c:v>
                </c:pt>
                <c:pt idx="10">
                  <c:v>44</c:v>
                </c:pt>
                <c:pt idx="1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1-40CE-8DA7-2FB9194FA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TimeData!$C$4</c:f>
              <c:strCache>
                <c:ptCount val="1"/>
                <c:pt idx="0">
                  <c:v>Target Days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Product 1</c:v>
                </c:pt>
                <c:pt idx="1">
                  <c:v>Product 2</c:v>
                </c:pt>
                <c:pt idx="2">
                  <c:v>Product 3</c:v>
                </c:pt>
                <c:pt idx="3">
                  <c:v>Product 4</c:v>
                </c:pt>
                <c:pt idx="4">
                  <c:v>Product 5</c:v>
                </c:pt>
                <c:pt idx="5">
                  <c:v>Product 6</c:v>
                </c:pt>
                <c:pt idx="6">
                  <c:v>Product 7</c:v>
                </c:pt>
                <c:pt idx="7">
                  <c:v>Product 8</c:v>
                </c:pt>
                <c:pt idx="8">
                  <c:v>Product 9</c:v>
                </c:pt>
                <c:pt idx="9">
                  <c:v>Product 10</c:v>
                </c:pt>
                <c:pt idx="10">
                  <c:v>Product 11</c:v>
                </c:pt>
                <c:pt idx="11">
                  <c:v>Product 12</c:v>
                </c:pt>
              </c:strCache>
            </c:strRef>
          </c:cat>
          <c:val>
            <c:numRef>
              <c:f>TimeData!$D$4:$O$4</c:f>
              <c:numCache>
                <c:formatCode>#,##0</c:formatCode>
                <c:ptCount val="12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50</c:v>
                </c:pt>
                <c:pt idx="6">
                  <c:v>50</c:v>
                </c:pt>
                <c:pt idx="7">
                  <c:v>42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D1-40CE-8DA7-2FB9194FA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4C-42B0-B394-EA7880C87BB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4C-42B0-B394-EA7880C87BB8}"/>
              </c:ext>
            </c:extLst>
          </c:dPt>
          <c:val>
            <c:numRef>
              <c:f>TimeData!$P$5:$Q$5</c:f>
              <c:numCache>
                <c:formatCode>0.0%</c:formatCode>
                <c:ptCount val="2"/>
                <c:pt idx="0">
                  <c:v>0.97074954296160876</c:v>
                </c:pt>
                <c:pt idx="1">
                  <c:v>2.9250457038391242E-2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4C-42B0-B394-EA7880C87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TimeData!$C$9</c:f>
              <c:strCache>
                <c:ptCount val="1"/>
                <c:pt idx="0">
                  <c:v>Actual Days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Product 1</c:v>
                </c:pt>
                <c:pt idx="1">
                  <c:v>Product 2</c:v>
                </c:pt>
                <c:pt idx="2">
                  <c:v>Product 3</c:v>
                </c:pt>
                <c:pt idx="3">
                  <c:v>Product 4</c:v>
                </c:pt>
                <c:pt idx="4">
                  <c:v>Product 5</c:v>
                </c:pt>
                <c:pt idx="5">
                  <c:v>Product 6</c:v>
                </c:pt>
                <c:pt idx="6">
                  <c:v>Product 7</c:v>
                </c:pt>
                <c:pt idx="7">
                  <c:v>Product 8</c:v>
                </c:pt>
                <c:pt idx="8">
                  <c:v>Product 9</c:v>
                </c:pt>
                <c:pt idx="9">
                  <c:v>Product 10</c:v>
                </c:pt>
                <c:pt idx="10">
                  <c:v>Product 11</c:v>
                </c:pt>
                <c:pt idx="11">
                  <c:v>Product 12</c:v>
                </c:pt>
              </c:strCache>
            </c:strRef>
          </c:cat>
          <c:val>
            <c:numRef>
              <c:f>TimeData!$D$9:$O$9</c:f>
              <c:numCache>
                <c:formatCode>#,##0</c:formatCode>
                <c:ptCount val="12"/>
                <c:pt idx="0">
                  <c:v>50</c:v>
                </c:pt>
                <c:pt idx="1">
                  <c:v>74</c:v>
                </c:pt>
                <c:pt idx="2">
                  <c:v>80</c:v>
                </c:pt>
                <c:pt idx="3">
                  <c:v>75</c:v>
                </c:pt>
                <c:pt idx="4">
                  <c:v>92</c:v>
                </c:pt>
                <c:pt idx="5">
                  <c:v>91</c:v>
                </c:pt>
                <c:pt idx="6">
                  <c:v>96</c:v>
                </c:pt>
                <c:pt idx="7">
                  <c:v>96</c:v>
                </c:pt>
                <c:pt idx="8">
                  <c:v>65</c:v>
                </c:pt>
                <c:pt idx="9">
                  <c:v>40</c:v>
                </c:pt>
                <c:pt idx="10">
                  <c:v>66</c:v>
                </c:pt>
                <c:pt idx="1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2-41B2-AEDC-99FEB65C0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TimeData!$C$10</c:f>
              <c:strCache>
                <c:ptCount val="1"/>
                <c:pt idx="0">
                  <c:v>Target Days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Product 1</c:v>
                </c:pt>
                <c:pt idx="1">
                  <c:v>Product 2</c:v>
                </c:pt>
                <c:pt idx="2">
                  <c:v>Product 3</c:v>
                </c:pt>
                <c:pt idx="3">
                  <c:v>Product 4</c:v>
                </c:pt>
                <c:pt idx="4">
                  <c:v>Product 5</c:v>
                </c:pt>
                <c:pt idx="5">
                  <c:v>Product 6</c:v>
                </c:pt>
                <c:pt idx="6">
                  <c:v>Product 7</c:v>
                </c:pt>
                <c:pt idx="7">
                  <c:v>Product 8</c:v>
                </c:pt>
                <c:pt idx="8">
                  <c:v>Product 9</c:v>
                </c:pt>
                <c:pt idx="9">
                  <c:v>Product 10</c:v>
                </c:pt>
                <c:pt idx="10">
                  <c:v>Product 11</c:v>
                </c:pt>
                <c:pt idx="11">
                  <c:v>Product 12</c:v>
                </c:pt>
              </c:strCache>
            </c:strRef>
          </c:cat>
          <c:val>
            <c:numRef>
              <c:f>TimeData!$D$10:$O$10</c:f>
              <c:numCache>
                <c:formatCode>#,##0</c:formatCode>
                <c:ptCount val="12"/>
                <c:pt idx="0">
                  <c:v>50</c:v>
                </c:pt>
                <c:pt idx="1">
                  <c:v>74</c:v>
                </c:pt>
                <c:pt idx="2">
                  <c:v>86</c:v>
                </c:pt>
                <c:pt idx="3">
                  <c:v>92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95</c:v>
                </c:pt>
                <c:pt idx="8">
                  <c:v>72</c:v>
                </c:pt>
                <c:pt idx="9">
                  <c:v>48</c:v>
                </c:pt>
                <c:pt idx="10">
                  <c:v>65</c:v>
                </c:pt>
                <c:pt idx="11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2-41B2-AEDC-99FEB65C0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AD-456C-8660-972CE91CFAA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AD-456C-8660-972CE91CFAA3}"/>
              </c:ext>
            </c:extLst>
          </c:dPt>
          <c:val>
            <c:numRef>
              <c:f>TimeData!$P$11:$Q$11</c:f>
              <c:numCache>
                <c:formatCode>0.0%</c:formatCode>
                <c:ptCount val="2"/>
                <c:pt idx="0">
                  <c:v>0.93870967741935485</c:v>
                </c:pt>
                <c:pt idx="1">
                  <c:v>6.1290322580645151E-2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AD-456C-8660-972CE91CF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TimeData!$C$6</c:f>
              <c:strCache>
                <c:ptCount val="1"/>
                <c:pt idx="0">
                  <c:v>Actual Days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Product 1</c:v>
                </c:pt>
                <c:pt idx="1">
                  <c:v>Product 2</c:v>
                </c:pt>
                <c:pt idx="2">
                  <c:v>Product 3</c:v>
                </c:pt>
                <c:pt idx="3">
                  <c:v>Product 4</c:v>
                </c:pt>
                <c:pt idx="4">
                  <c:v>Product 5</c:v>
                </c:pt>
                <c:pt idx="5">
                  <c:v>Product 6</c:v>
                </c:pt>
                <c:pt idx="6">
                  <c:v>Product 7</c:v>
                </c:pt>
                <c:pt idx="7">
                  <c:v>Product 8</c:v>
                </c:pt>
                <c:pt idx="8">
                  <c:v>Product 9</c:v>
                </c:pt>
                <c:pt idx="9">
                  <c:v>Product 10</c:v>
                </c:pt>
                <c:pt idx="10">
                  <c:v>Product 11</c:v>
                </c:pt>
                <c:pt idx="11">
                  <c:v>Product 12</c:v>
                </c:pt>
              </c:strCache>
            </c:strRef>
          </c:cat>
          <c:val>
            <c:numRef>
              <c:f>TimeData!$D$6:$O$6</c:f>
              <c:numCache>
                <c:formatCode>#,##0</c:formatCode>
                <c:ptCount val="12"/>
                <c:pt idx="0">
                  <c:v>75</c:v>
                </c:pt>
                <c:pt idx="1">
                  <c:v>52</c:v>
                </c:pt>
                <c:pt idx="2">
                  <c:v>90</c:v>
                </c:pt>
                <c:pt idx="3">
                  <c:v>81</c:v>
                </c:pt>
                <c:pt idx="4">
                  <c:v>46</c:v>
                </c:pt>
                <c:pt idx="5">
                  <c:v>44</c:v>
                </c:pt>
                <c:pt idx="6">
                  <c:v>72</c:v>
                </c:pt>
                <c:pt idx="7">
                  <c:v>72</c:v>
                </c:pt>
                <c:pt idx="8">
                  <c:v>60</c:v>
                </c:pt>
                <c:pt idx="9">
                  <c:v>80</c:v>
                </c:pt>
                <c:pt idx="10">
                  <c:v>40</c:v>
                </c:pt>
                <c:pt idx="1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5-40CD-AC68-7058A8E21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TimeData!$C$7</c:f>
              <c:strCache>
                <c:ptCount val="1"/>
                <c:pt idx="0">
                  <c:v>Target Days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Product 1</c:v>
                </c:pt>
                <c:pt idx="1">
                  <c:v>Product 2</c:v>
                </c:pt>
                <c:pt idx="2">
                  <c:v>Product 3</c:v>
                </c:pt>
                <c:pt idx="3">
                  <c:v>Product 4</c:v>
                </c:pt>
                <c:pt idx="4">
                  <c:v>Product 5</c:v>
                </c:pt>
                <c:pt idx="5">
                  <c:v>Product 6</c:v>
                </c:pt>
                <c:pt idx="6">
                  <c:v>Product 7</c:v>
                </c:pt>
                <c:pt idx="7">
                  <c:v>Product 8</c:v>
                </c:pt>
                <c:pt idx="8">
                  <c:v>Product 9</c:v>
                </c:pt>
                <c:pt idx="9">
                  <c:v>Product 10</c:v>
                </c:pt>
                <c:pt idx="10">
                  <c:v>Product 11</c:v>
                </c:pt>
                <c:pt idx="11">
                  <c:v>Product 12</c:v>
                </c:pt>
              </c:strCache>
            </c:strRef>
          </c:cat>
          <c:val>
            <c:numRef>
              <c:f>TimeData!$D$7:$O$7</c:f>
              <c:numCache>
                <c:formatCode>#,##0</c:formatCode>
                <c:ptCount val="12"/>
                <c:pt idx="0">
                  <c:v>72</c:v>
                </c:pt>
                <c:pt idx="1">
                  <c:v>56</c:v>
                </c:pt>
                <c:pt idx="2">
                  <c:v>90</c:v>
                </c:pt>
                <c:pt idx="3">
                  <c:v>81</c:v>
                </c:pt>
                <c:pt idx="4">
                  <c:v>46</c:v>
                </c:pt>
                <c:pt idx="5">
                  <c:v>45</c:v>
                </c:pt>
                <c:pt idx="6">
                  <c:v>72</c:v>
                </c:pt>
                <c:pt idx="7">
                  <c:v>72</c:v>
                </c:pt>
                <c:pt idx="8">
                  <c:v>60</c:v>
                </c:pt>
                <c:pt idx="9">
                  <c:v>80</c:v>
                </c:pt>
                <c:pt idx="10">
                  <c:v>48</c:v>
                </c:pt>
                <c:pt idx="11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F5-40CD-AC68-7058A8E21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E6-48D6-BC69-BEC546E98964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E6-48D6-BC69-BEC546E98964}"/>
              </c:ext>
            </c:extLst>
          </c:dPt>
          <c:val>
            <c:numRef>
              <c:f>TimeData!$P$8:$Q$8</c:f>
              <c:numCache>
                <c:formatCode>0.0%</c:formatCode>
                <c:ptCount val="2"/>
                <c:pt idx="0">
                  <c:v>0.98081841432225059</c:v>
                </c:pt>
                <c:pt idx="1">
                  <c:v>1.9181585677749413E-2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E6-48D6-BC69-BEC546E98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TimeData!$C$12</c:f>
              <c:strCache>
                <c:ptCount val="1"/>
                <c:pt idx="0">
                  <c:v>Actual Days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Product 1</c:v>
                </c:pt>
                <c:pt idx="1">
                  <c:v>Product 2</c:v>
                </c:pt>
                <c:pt idx="2">
                  <c:v>Product 3</c:v>
                </c:pt>
                <c:pt idx="3">
                  <c:v>Product 4</c:v>
                </c:pt>
                <c:pt idx="4">
                  <c:v>Product 5</c:v>
                </c:pt>
                <c:pt idx="5">
                  <c:v>Product 6</c:v>
                </c:pt>
                <c:pt idx="6">
                  <c:v>Product 7</c:v>
                </c:pt>
                <c:pt idx="7">
                  <c:v>Product 8</c:v>
                </c:pt>
                <c:pt idx="8">
                  <c:v>Product 9</c:v>
                </c:pt>
                <c:pt idx="9">
                  <c:v>Product 10</c:v>
                </c:pt>
                <c:pt idx="10">
                  <c:v>Product 11</c:v>
                </c:pt>
                <c:pt idx="11">
                  <c:v>Product 12</c:v>
                </c:pt>
              </c:strCache>
            </c:strRef>
          </c:cat>
          <c:val>
            <c:numRef>
              <c:f>TimeData!$D$12:$O$12</c:f>
              <c:numCache>
                <c:formatCode>#,##0</c:formatCode>
                <c:ptCount val="12"/>
                <c:pt idx="0">
                  <c:v>102</c:v>
                </c:pt>
                <c:pt idx="1">
                  <c:v>92</c:v>
                </c:pt>
                <c:pt idx="2">
                  <c:v>99</c:v>
                </c:pt>
                <c:pt idx="3">
                  <c:v>98</c:v>
                </c:pt>
                <c:pt idx="4">
                  <c:v>102</c:v>
                </c:pt>
                <c:pt idx="5">
                  <c:v>102</c:v>
                </c:pt>
                <c:pt idx="6">
                  <c:v>86</c:v>
                </c:pt>
                <c:pt idx="7">
                  <c:v>86</c:v>
                </c:pt>
                <c:pt idx="8">
                  <c:v>89</c:v>
                </c:pt>
                <c:pt idx="9">
                  <c:v>108</c:v>
                </c:pt>
                <c:pt idx="10">
                  <c:v>107</c:v>
                </c:pt>
                <c:pt idx="1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5-4BD4-8015-65E20E39D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TimeData!$C$13</c:f>
              <c:strCache>
                <c:ptCount val="1"/>
                <c:pt idx="0">
                  <c:v>Target Days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Product 1</c:v>
                </c:pt>
                <c:pt idx="1">
                  <c:v>Product 2</c:v>
                </c:pt>
                <c:pt idx="2">
                  <c:v>Product 3</c:v>
                </c:pt>
                <c:pt idx="3">
                  <c:v>Product 4</c:v>
                </c:pt>
                <c:pt idx="4">
                  <c:v>Product 5</c:v>
                </c:pt>
                <c:pt idx="5">
                  <c:v>Product 6</c:v>
                </c:pt>
                <c:pt idx="6">
                  <c:v>Product 7</c:v>
                </c:pt>
                <c:pt idx="7">
                  <c:v>Product 8</c:v>
                </c:pt>
                <c:pt idx="8">
                  <c:v>Product 9</c:v>
                </c:pt>
                <c:pt idx="9">
                  <c:v>Product 10</c:v>
                </c:pt>
                <c:pt idx="10">
                  <c:v>Product 11</c:v>
                </c:pt>
                <c:pt idx="11">
                  <c:v>Product 12</c:v>
                </c:pt>
              </c:strCache>
            </c:strRef>
          </c:cat>
          <c:val>
            <c:numRef>
              <c:f>TimeData!$D$13:$O$13</c:f>
              <c:numCache>
                <c:formatCode>#,##0</c:formatCode>
                <c:ptCount val="12"/>
                <c:pt idx="0">
                  <c:v>102</c:v>
                </c:pt>
                <c:pt idx="1">
                  <c:v>102</c:v>
                </c:pt>
                <c:pt idx="2">
                  <c:v>102</c:v>
                </c:pt>
                <c:pt idx="3">
                  <c:v>106</c:v>
                </c:pt>
                <c:pt idx="4">
                  <c:v>109</c:v>
                </c:pt>
                <c:pt idx="5">
                  <c:v>102</c:v>
                </c:pt>
                <c:pt idx="6">
                  <c:v>102</c:v>
                </c:pt>
                <c:pt idx="7">
                  <c:v>110</c:v>
                </c:pt>
                <c:pt idx="8">
                  <c:v>95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E5-4BD4-8015-65E20E39D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2023'!$K$8:$V$8</c:f>
              <c:numCache>
                <c:formatCode>#,##0</c:formatCode>
                <c:ptCount val="12"/>
                <c:pt idx="0">
                  <c:v>377603.12639999983</c:v>
                </c:pt>
                <c:pt idx="1">
                  <c:v>369763.54560000001</c:v>
                </c:pt>
                <c:pt idx="2">
                  <c:v>380896.78540800011</c:v>
                </c:pt>
                <c:pt idx="3">
                  <c:v>391087.29119999986</c:v>
                </c:pt>
                <c:pt idx="4">
                  <c:v>413421.10896000004</c:v>
                </c:pt>
                <c:pt idx="5">
                  <c:v>431377.94735999999</c:v>
                </c:pt>
                <c:pt idx="6">
                  <c:v>441141.97823999997</c:v>
                </c:pt>
                <c:pt idx="7">
                  <c:v>457864.28399999999</c:v>
                </c:pt>
                <c:pt idx="8">
                  <c:v>475259.97119999991</c:v>
                </c:pt>
                <c:pt idx="9">
                  <c:v>506684.43840000016</c:v>
                </c:pt>
                <c:pt idx="10">
                  <c:v>520713.21840000001</c:v>
                </c:pt>
                <c:pt idx="11">
                  <c:v>571786.75840000017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F-4AD1-80AC-1E69F404F42C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2023'!$K$11:$V$11</c:f>
              <c:numCache>
                <c:formatCode>#,##0</c:formatCode>
                <c:ptCount val="12"/>
                <c:pt idx="0">
                  <c:v>450000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3F-4AD1-80AC-1E69F404F42C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2023'!$K$15:$V$15</c:f>
              <c:numCache>
                <c:formatCode>#,##0</c:formatCode>
                <c:ptCount val="12"/>
                <c:pt idx="0">
                  <c:v>0</c:v>
                </c:pt>
                <c:pt idx="1">
                  <c:v>-16818</c:v>
                </c:pt>
                <c:pt idx="2">
                  <c:v>-16818</c:v>
                </c:pt>
                <c:pt idx="3">
                  <c:v>-16818</c:v>
                </c:pt>
                <c:pt idx="4">
                  <c:v>-16818</c:v>
                </c:pt>
                <c:pt idx="5">
                  <c:v>-16818</c:v>
                </c:pt>
                <c:pt idx="6">
                  <c:v>-16818</c:v>
                </c:pt>
                <c:pt idx="7">
                  <c:v>-16818</c:v>
                </c:pt>
                <c:pt idx="8">
                  <c:v>-16818</c:v>
                </c:pt>
                <c:pt idx="9">
                  <c:v>-16818</c:v>
                </c:pt>
                <c:pt idx="10">
                  <c:v>-16818</c:v>
                </c:pt>
                <c:pt idx="11">
                  <c:v>-16818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3F-4AD1-80AC-1E69F404F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2023'!$K$16:$V$16</c:f>
              <c:numCache>
                <c:formatCode>#,##0</c:formatCode>
                <c:ptCount val="12"/>
                <c:pt idx="0">
                  <c:v>450000</c:v>
                </c:pt>
                <c:pt idx="1">
                  <c:v>369763.54560000001</c:v>
                </c:pt>
                <c:pt idx="2">
                  <c:v>380896.78540800011</c:v>
                </c:pt>
                <c:pt idx="3">
                  <c:v>391087.29119999986</c:v>
                </c:pt>
                <c:pt idx="4">
                  <c:v>413421.10896000004</c:v>
                </c:pt>
                <c:pt idx="5">
                  <c:v>431377.94735999999</c:v>
                </c:pt>
                <c:pt idx="6">
                  <c:v>441141.97823999997</c:v>
                </c:pt>
                <c:pt idx="7">
                  <c:v>457864.28399999999</c:v>
                </c:pt>
                <c:pt idx="8">
                  <c:v>475259.97119999991</c:v>
                </c:pt>
                <c:pt idx="9">
                  <c:v>506684.43840000016</c:v>
                </c:pt>
                <c:pt idx="10">
                  <c:v>520713.21840000001</c:v>
                </c:pt>
                <c:pt idx="11">
                  <c:v>571786.75840000017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3F-4AD1-80AC-1E69F404F42C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2023'!$K$17:$V$17</c:f>
              <c:numCache>
                <c:formatCode>#,##0</c:formatCode>
                <c:ptCount val="12"/>
                <c:pt idx="0">
                  <c:v>713820.25279999967</c:v>
                </c:pt>
                <c:pt idx="1">
                  <c:v>722197.6912</c:v>
                </c:pt>
                <c:pt idx="2">
                  <c:v>747827.77081600018</c:v>
                </c:pt>
                <c:pt idx="3">
                  <c:v>771572.38239999977</c:v>
                </c:pt>
                <c:pt idx="4">
                  <c:v>819603.61792000011</c:v>
                </c:pt>
                <c:pt idx="5">
                  <c:v>858880.89471999998</c:v>
                </c:pt>
                <c:pt idx="6">
                  <c:v>881772.55647999991</c:v>
                </c:pt>
                <c:pt idx="7">
                  <c:v>918580.76799999992</c:v>
                </c:pt>
                <c:pt idx="8">
                  <c:v>956735.74239999976</c:v>
                </c:pt>
                <c:pt idx="9">
                  <c:v>1022948.2768000002</c:v>
                </c:pt>
                <c:pt idx="10">
                  <c:v>1054369.4368000003</c:v>
                </c:pt>
                <c:pt idx="11">
                  <c:v>1148646.1168000004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3F-4AD1-80AC-1E69F404F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E8-449B-BF5F-DB3D5038FBE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E8-449B-BF5F-DB3D5038FBE5}"/>
              </c:ext>
            </c:extLst>
          </c:dPt>
          <c:val>
            <c:numRef>
              <c:f>TimeData!$P$14:$Q$14</c:f>
              <c:numCache>
                <c:formatCode>0.0%</c:formatCode>
                <c:ptCount val="2"/>
                <c:pt idx="0">
                  <c:v>0.94255663430420711</c:v>
                </c:pt>
                <c:pt idx="1">
                  <c:v>5.7443365695792892E-2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E8-449B-BF5F-DB3D5038F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TimeData!$C$15</c:f>
              <c:strCache>
                <c:ptCount val="1"/>
                <c:pt idx="0">
                  <c:v>Actual Days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Product 1</c:v>
                </c:pt>
                <c:pt idx="1">
                  <c:v>Product 2</c:v>
                </c:pt>
                <c:pt idx="2">
                  <c:v>Product 3</c:v>
                </c:pt>
                <c:pt idx="3">
                  <c:v>Product 4</c:v>
                </c:pt>
                <c:pt idx="4">
                  <c:v>Product 5</c:v>
                </c:pt>
                <c:pt idx="5">
                  <c:v>Product 6</c:v>
                </c:pt>
                <c:pt idx="6">
                  <c:v>Product 7</c:v>
                </c:pt>
                <c:pt idx="7">
                  <c:v>Product 8</c:v>
                </c:pt>
                <c:pt idx="8">
                  <c:v>Product 9</c:v>
                </c:pt>
                <c:pt idx="9">
                  <c:v>Product 10</c:v>
                </c:pt>
                <c:pt idx="10">
                  <c:v>Product 11</c:v>
                </c:pt>
                <c:pt idx="11">
                  <c:v>Product 12</c:v>
                </c:pt>
              </c:strCache>
            </c:strRef>
          </c:cat>
          <c:val>
            <c:numRef>
              <c:f>TimeData!$D$15:$O$15</c:f>
              <c:numCache>
                <c:formatCode>#,##0</c:formatCode>
                <c:ptCount val="12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50</c:v>
                </c:pt>
                <c:pt idx="5">
                  <c:v>60</c:v>
                </c:pt>
                <c:pt idx="6">
                  <c:v>30</c:v>
                </c:pt>
                <c:pt idx="7">
                  <c:v>23</c:v>
                </c:pt>
                <c:pt idx="8">
                  <c:v>90</c:v>
                </c:pt>
                <c:pt idx="9">
                  <c:v>66</c:v>
                </c:pt>
                <c:pt idx="10">
                  <c:v>45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F-401C-8366-9FA0C968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TimeData!$C$16</c:f>
              <c:strCache>
                <c:ptCount val="1"/>
                <c:pt idx="0">
                  <c:v>Target Days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Product 1</c:v>
                </c:pt>
                <c:pt idx="1">
                  <c:v>Product 2</c:v>
                </c:pt>
                <c:pt idx="2">
                  <c:v>Product 3</c:v>
                </c:pt>
                <c:pt idx="3">
                  <c:v>Product 4</c:v>
                </c:pt>
                <c:pt idx="4">
                  <c:v>Product 5</c:v>
                </c:pt>
                <c:pt idx="5">
                  <c:v>Product 6</c:v>
                </c:pt>
                <c:pt idx="6">
                  <c:v>Product 7</c:v>
                </c:pt>
                <c:pt idx="7">
                  <c:v>Product 8</c:v>
                </c:pt>
                <c:pt idx="8">
                  <c:v>Product 9</c:v>
                </c:pt>
                <c:pt idx="9">
                  <c:v>Product 10</c:v>
                </c:pt>
                <c:pt idx="10">
                  <c:v>Product 11</c:v>
                </c:pt>
                <c:pt idx="11">
                  <c:v>Product 12</c:v>
                </c:pt>
              </c:strCache>
            </c:strRef>
          </c:cat>
          <c:val>
            <c:numRef>
              <c:f>TimeData!$D$16:$O$16</c:f>
              <c:numCache>
                <c:formatCode>#,##0</c:formatCode>
                <c:ptCount val="12"/>
                <c:pt idx="0">
                  <c:v>48</c:v>
                </c:pt>
                <c:pt idx="1">
                  <c:v>48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67</c:v>
                </c:pt>
                <c:pt idx="6">
                  <c:v>32</c:v>
                </c:pt>
                <c:pt idx="7">
                  <c:v>24</c:v>
                </c:pt>
                <c:pt idx="8">
                  <c:v>90</c:v>
                </c:pt>
                <c:pt idx="9">
                  <c:v>66</c:v>
                </c:pt>
                <c:pt idx="10">
                  <c:v>48</c:v>
                </c:pt>
                <c:pt idx="1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FF-401C-8366-9FA0C968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9E-4004-BCC8-9CA0ADBC179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9E-4004-BCC8-9CA0ADBC179D}"/>
              </c:ext>
            </c:extLst>
          </c:dPt>
          <c:val>
            <c:numRef>
              <c:f>TimeData!$P$17:$Q$17</c:f>
              <c:numCache>
                <c:formatCode>0.0%</c:formatCode>
                <c:ptCount val="2"/>
                <c:pt idx="0">
                  <c:v>0.9889064976228209</c:v>
                </c:pt>
                <c:pt idx="1">
                  <c:v>1.1093502377179099E-2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9E-4004-BCC8-9CA0ADBC1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TimeData!$C$18</c:f>
              <c:strCache>
                <c:ptCount val="1"/>
                <c:pt idx="0">
                  <c:v>Actual Days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Product 1</c:v>
                </c:pt>
                <c:pt idx="1">
                  <c:v>Product 2</c:v>
                </c:pt>
                <c:pt idx="2">
                  <c:v>Product 3</c:v>
                </c:pt>
                <c:pt idx="3">
                  <c:v>Product 4</c:v>
                </c:pt>
                <c:pt idx="4">
                  <c:v>Product 5</c:v>
                </c:pt>
                <c:pt idx="5">
                  <c:v>Product 6</c:v>
                </c:pt>
                <c:pt idx="6">
                  <c:v>Product 7</c:v>
                </c:pt>
                <c:pt idx="7">
                  <c:v>Product 8</c:v>
                </c:pt>
                <c:pt idx="8">
                  <c:v>Product 9</c:v>
                </c:pt>
                <c:pt idx="9">
                  <c:v>Product 10</c:v>
                </c:pt>
                <c:pt idx="10">
                  <c:v>Product 11</c:v>
                </c:pt>
                <c:pt idx="11">
                  <c:v>Product 12</c:v>
                </c:pt>
              </c:strCache>
            </c:strRef>
          </c:cat>
          <c:val>
            <c:numRef>
              <c:f>TimeData!$D$18:$O$18</c:f>
              <c:numCache>
                <c:formatCode>#,##0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21</c:v>
                </c:pt>
                <c:pt idx="3">
                  <c:v>24</c:v>
                </c:pt>
                <c:pt idx="4">
                  <c:v>24</c:v>
                </c:pt>
                <c:pt idx="5">
                  <c:v>34</c:v>
                </c:pt>
                <c:pt idx="6">
                  <c:v>52</c:v>
                </c:pt>
                <c:pt idx="7">
                  <c:v>72</c:v>
                </c:pt>
                <c:pt idx="8">
                  <c:v>70</c:v>
                </c:pt>
                <c:pt idx="9">
                  <c:v>24</c:v>
                </c:pt>
                <c:pt idx="10">
                  <c:v>40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B-421B-B6B1-C4593FBAE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TimeData!$C$19</c:f>
              <c:strCache>
                <c:ptCount val="1"/>
                <c:pt idx="0">
                  <c:v>Target Days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Product 1</c:v>
                </c:pt>
                <c:pt idx="1">
                  <c:v>Product 2</c:v>
                </c:pt>
                <c:pt idx="2">
                  <c:v>Product 3</c:v>
                </c:pt>
                <c:pt idx="3">
                  <c:v>Product 4</c:v>
                </c:pt>
                <c:pt idx="4">
                  <c:v>Product 5</c:v>
                </c:pt>
                <c:pt idx="5">
                  <c:v>Product 6</c:v>
                </c:pt>
                <c:pt idx="6">
                  <c:v>Product 7</c:v>
                </c:pt>
                <c:pt idx="7">
                  <c:v>Product 8</c:v>
                </c:pt>
                <c:pt idx="8">
                  <c:v>Product 9</c:v>
                </c:pt>
                <c:pt idx="9">
                  <c:v>Product 10</c:v>
                </c:pt>
                <c:pt idx="10">
                  <c:v>Product 11</c:v>
                </c:pt>
                <c:pt idx="11">
                  <c:v>Product 12</c:v>
                </c:pt>
              </c:strCache>
            </c:strRef>
          </c:cat>
          <c:val>
            <c:numRef>
              <c:f>TimeData!$D$19:$O$19</c:f>
              <c:numCache>
                <c:formatCode>#,##0</c:formatCode>
                <c:ptCount val="12"/>
                <c:pt idx="0">
                  <c:v>16</c:v>
                </c:pt>
                <c:pt idx="1">
                  <c:v>10</c:v>
                </c:pt>
                <c:pt idx="2">
                  <c:v>21</c:v>
                </c:pt>
                <c:pt idx="3">
                  <c:v>24</c:v>
                </c:pt>
                <c:pt idx="4">
                  <c:v>26</c:v>
                </c:pt>
                <c:pt idx="5">
                  <c:v>32</c:v>
                </c:pt>
                <c:pt idx="6">
                  <c:v>48</c:v>
                </c:pt>
                <c:pt idx="7">
                  <c:v>72</c:v>
                </c:pt>
                <c:pt idx="8">
                  <c:v>72</c:v>
                </c:pt>
                <c:pt idx="9">
                  <c:v>24</c:v>
                </c:pt>
                <c:pt idx="10">
                  <c:v>48</c:v>
                </c:pt>
                <c:pt idx="1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B-421B-B6B1-C4593FBAE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B8-4AA2-9E38-967594D99AB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B8-4AA2-9E38-967594D99AB6}"/>
              </c:ext>
            </c:extLst>
          </c:dPt>
          <c:val>
            <c:numRef>
              <c:f>TimeData!$P$20:$Q$20</c:f>
              <c:numCache>
                <c:formatCode>0.0%</c:formatCode>
                <c:ptCount val="2"/>
                <c:pt idx="0">
                  <c:v>0.96926713947990539</c:v>
                </c:pt>
                <c:pt idx="1">
                  <c:v>3.0732860520094607E-2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B8-4AA2-9E38-967594D99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2023'!$B$86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2023'!$K$85:$V$85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2023'!$K$86:$V$86</c:f>
              <c:numCache>
                <c:formatCode>#,##0</c:formatCode>
                <c:ptCount val="12"/>
                <c:pt idx="0">
                  <c:v>356910.12639999983</c:v>
                </c:pt>
                <c:pt idx="1">
                  <c:v>709344.27199999988</c:v>
                </c:pt>
                <c:pt idx="2">
                  <c:v>1076275.2574080001</c:v>
                </c:pt>
                <c:pt idx="3">
                  <c:v>1456760.348608</c:v>
                </c:pt>
                <c:pt idx="4">
                  <c:v>1862942.857568</c:v>
                </c:pt>
                <c:pt idx="5">
                  <c:v>2290445.8049280001</c:v>
                </c:pt>
                <c:pt idx="6">
                  <c:v>2731076.3831679998</c:v>
                </c:pt>
                <c:pt idx="7">
                  <c:v>3191792.867168</c:v>
                </c:pt>
                <c:pt idx="8">
                  <c:v>3673268.6383679998</c:v>
                </c:pt>
                <c:pt idx="9">
                  <c:v>4189532.4767680001</c:v>
                </c:pt>
                <c:pt idx="10">
                  <c:v>4723188.6951679997</c:v>
                </c:pt>
                <c:pt idx="11">
                  <c:v>5300048.053568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C-4F68-99DB-1225325C85C7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2023'!$K$85:$V$85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2023'!$K$89:$V$89</c:f>
              <c:numCache>
                <c:formatCode>#,##0</c:formatCode>
                <c:ptCount val="12"/>
                <c:pt idx="1">
                  <c:v>-96645.386400000018</c:v>
                </c:pt>
                <c:pt idx="2">
                  <c:v>-99428.696352000028</c:v>
                </c:pt>
                <c:pt idx="3">
                  <c:v>-101976.32279999997</c:v>
                </c:pt>
                <c:pt idx="4">
                  <c:v>-107559.77724000002</c:v>
                </c:pt>
                <c:pt idx="5">
                  <c:v>-112048.98684000001</c:v>
                </c:pt>
                <c:pt idx="6">
                  <c:v>-114489.99456000001</c:v>
                </c:pt>
                <c:pt idx="7">
                  <c:v>-118670.571</c:v>
                </c:pt>
                <c:pt idx="8">
                  <c:v>-123019.49279999999</c:v>
                </c:pt>
                <c:pt idx="9">
                  <c:v>-130875.60960000004</c:v>
                </c:pt>
                <c:pt idx="10">
                  <c:v>-134382.8046</c:v>
                </c:pt>
                <c:pt idx="11">
                  <c:v>-147151.18960000004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5C-4F68-99DB-1225325C8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71135"/>
        <c:axId val="9127725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2023'!$K$88:$V$88</c:f>
              <c:numCache>
                <c:formatCode>#,##0</c:formatCode>
                <c:ptCount val="12"/>
                <c:pt idx="0">
                  <c:v>808621.12639999983</c:v>
                </c:pt>
                <c:pt idx="1">
                  <c:v>1162766.2719999999</c:v>
                </c:pt>
                <c:pt idx="2">
                  <c:v>1531408.2574080001</c:v>
                </c:pt>
                <c:pt idx="3">
                  <c:v>1913604.348608</c:v>
                </c:pt>
                <c:pt idx="4">
                  <c:v>2321497.857568</c:v>
                </c:pt>
                <c:pt idx="5">
                  <c:v>2750711.8049280001</c:v>
                </c:pt>
                <c:pt idx="6">
                  <c:v>3193053.3831679998</c:v>
                </c:pt>
                <c:pt idx="7">
                  <c:v>3655480.867168</c:v>
                </c:pt>
                <c:pt idx="8">
                  <c:v>4138667.6383679998</c:v>
                </c:pt>
                <c:pt idx="9">
                  <c:v>4656642.4767680001</c:v>
                </c:pt>
                <c:pt idx="10">
                  <c:v>5192009.6951679997</c:v>
                </c:pt>
                <c:pt idx="11">
                  <c:v>5770580.053568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C-4F68-99DB-1225325C85C7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2023'!$K$92:$V$92</c:f>
              <c:numCache>
                <c:formatCode>#,##0</c:formatCode>
                <c:ptCount val="12"/>
                <c:pt idx="0">
                  <c:v>264220.34479999985</c:v>
                </c:pt>
                <c:pt idx="1">
                  <c:v>632938.88559999992</c:v>
                </c:pt>
                <c:pt idx="2">
                  <c:v>1015615.5610560001</c:v>
                </c:pt>
                <c:pt idx="3">
                  <c:v>1412082.025808</c:v>
                </c:pt>
                <c:pt idx="4">
                  <c:v>1831210.080328</c:v>
                </c:pt>
                <c:pt idx="5">
                  <c:v>2272752.8180880002</c:v>
                </c:pt>
                <c:pt idx="6">
                  <c:v>2729471.3886079998</c:v>
                </c:pt>
                <c:pt idx="7">
                  <c:v>3204536.296168</c:v>
                </c:pt>
                <c:pt idx="8">
                  <c:v>3700192.1455679997</c:v>
                </c:pt>
                <c:pt idx="9">
                  <c:v>4227128.867168</c:v>
                </c:pt>
                <c:pt idx="10">
                  <c:v>4775806.8905679993</c:v>
                </c:pt>
                <c:pt idx="11">
                  <c:v>5358426.8639679998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5C-4F68-99DB-1225325C85C7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2023'!$K$93:$V$93</c:f>
              <c:numCache>
                <c:formatCode>#,##0</c:formatCode>
                <c:ptCount val="12"/>
                <c:pt idx="0">
                  <c:v>356910.12639999983</c:v>
                </c:pt>
                <c:pt idx="1">
                  <c:v>709344.27199999988</c:v>
                </c:pt>
                <c:pt idx="2">
                  <c:v>1076275.2574080001</c:v>
                </c:pt>
                <c:pt idx="3">
                  <c:v>1456760.348608</c:v>
                </c:pt>
                <c:pt idx="4">
                  <c:v>1862942.857568</c:v>
                </c:pt>
                <c:pt idx="5">
                  <c:v>2290445.8049280001</c:v>
                </c:pt>
                <c:pt idx="6">
                  <c:v>2731076.3831679998</c:v>
                </c:pt>
                <c:pt idx="7">
                  <c:v>3191792.867168</c:v>
                </c:pt>
                <c:pt idx="8">
                  <c:v>3673268.6383679998</c:v>
                </c:pt>
                <c:pt idx="9">
                  <c:v>4189532.4767680001</c:v>
                </c:pt>
                <c:pt idx="10">
                  <c:v>4723188.6951679997</c:v>
                </c:pt>
                <c:pt idx="11">
                  <c:v>5300048.053568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5C-4F68-99DB-1225325C8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71135"/>
        <c:axId val="912772575"/>
      </c:lineChart>
      <c:catAx>
        <c:axId val="91277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2575"/>
        <c:crosses val="autoZero"/>
        <c:auto val="1"/>
        <c:lblAlgn val="ctr"/>
        <c:lblOffset val="100"/>
        <c:noMultiLvlLbl val="0"/>
      </c:catAx>
      <c:valAx>
        <c:axId val="91277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1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2023'!$B$86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5300048.053568</c:v>
                </c:pt>
                <c:pt idx="1">
                  <c:v>12937033.168768</c:v>
                </c:pt>
                <c:pt idx="2">
                  <c:v>21347934.268282287</c:v>
                </c:pt>
                <c:pt idx="3">
                  <c:v>29790310.365282293</c:v>
                </c:pt>
                <c:pt idx="4">
                  <c:v>40151893.008882284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4-4576-85A4-AE9A296A7F3E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-147151.18960000004</c:v>
                </c:pt>
                <c:pt idx="1">
                  <c:v>-160478.53060000006</c:v>
                </c:pt>
                <c:pt idx="2">
                  <c:v>-164368.06735000003</c:v>
                </c:pt>
                <c:pt idx="3">
                  <c:v>-187280.97474999996</c:v>
                </c:pt>
                <c:pt idx="4">
                  <c:v>-210240.25050000005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B4-4576-85A4-AE9A296A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5770580.053568</c:v>
                </c:pt>
                <c:pt idx="1">
                  <c:v>13425365.168768</c:v>
                </c:pt>
                <c:pt idx="2">
                  <c:v>21857415.268282287</c:v>
                </c:pt>
                <c:pt idx="3">
                  <c:v>30321328.365282293</c:v>
                </c:pt>
                <c:pt idx="4">
                  <c:v>40704293.008882284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B4-4576-85A4-AE9A296A7F3E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5358426.8639679998</c:v>
                </c:pt>
                <c:pt idx="1">
                  <c:v>13201700.638168</c:v>
                </c:pt>
                <c:pt idx="2">
                  <c:v>21693047.200932287</c:v>
                </c:pt>
                <c:pt idx="3">
                  <c:v>30134047.390532292</c:v>
                </c:pt>
                <c:pt idx="4">
                  <c:v>40494052.758382283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B4-4576-85A4-AE9A296A7F3E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5300048.053568</c:v>
                </c:pt>
                <c:pt idx="1">
                  <c:v>12937033.168768</c:v>
                </c:pt>
                <c:pt idx="2">
                  <c:v>21347934.268282287</c:v>
                </c:pt>
                <c:pt idx="3">
                  <c:v>29790310.365282293</c:v>
                </c:pt>
                <c:pt idx="4">
                  <c:v>40151893.008882284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B4-4576-85A4-AE9A296A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4" Type="http://schemas.openxmlformats.org/officeDocument/2006/relationships/chart" Target="../charts/chart62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0.xml"/><Relationship Id="rId3" Type="http://schemas.openxmlformats.org/officeDocument/2006/relationships/chart" Target="../charts/chart65.xml"/><Relationship Id="rId7" Type="http://schemas.openxmlformats.org/officeDocument/2006/relationships/chart" Target="../charts/chart69.xml"/><Relationship Id="rId12" Type="http://schemas.openxmlformats.org/officeDocument/2006/relationships/chart" Target="../charts/chart74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6" Type="http://schemas.openxmlformats.org/officeDocument/2006/relationships/chart" Target="../charts/chart68.xml"/><Relationship Id="rId11" Type="http://schemas.openxmlformats.org/officeDocument/2006/relationships/chart" Target="../charts/chart73.xml"/><Relationship Id="rId5" Type="http://schemas.openxmlformats.org/officeDocument/2006/relationships/chart" Target="../charts/chart67.xml"/><Relationship Id="rId10" Type="http://schemas.openxmlformats.org/officeDocument/2006/relationships/chart" Target="../charts/chart72.xml"/><Relationship Id="rId4" Type="http://schemas.openxmlformats.org/officeDocument/2006/relationships/chart" Target="../charts/chart66.xml"/><Relationship Id="rId9" Type="http://schemas.openxmlformats.org/officeDocument/2006/relationships/chart" Target="../charts/chart7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39304</xdr:colOff>
      <xdr:row>63</xdr:row>
      <xdr:rowOff>116105</xdr:rowOff>
    </xdr:from>
    <xdr:to>
      <xdr:col>22</xdr:col>
      <xdr:colOff>8824</xdr:colOff>
      <xdr:row>87</xdr:row>
      <xdr:rowOff>14839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38902</xdr:colOff>
      <xdr:row>41</xdr:row>
      <xdr:rowOff>11831</xdr:rowOff>
    </xdr:from>
    <xdr:to>
      <xdr:col>21</xdr:col>
      <xdr:colOff>609599</xdr:colOff>
      <xdr:row>62</xdr:row>
      <xdr:rowOff>168442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224589</xdr:colOff>
      <xdr:row>41</xdr:row>
      <xdr:rowOff>8023</xdr:rowOff>
    </xdr:from>
    <xdr:to>
      <xdr:col>15</xdr:col>
      <xdr:colOff>689808</xdr:colOff>
      <xdr:row>62</xdr:row>
      <xdr:rowOff>184483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24</xdr:col>
      <xdr:colOff>593558</xdr:colOff>
      <xdr:row>22</xdr:row>
      <xdr:rowOff>154007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E6A6F1-24E6-49E1-A8CC-ABAFED169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8019</xdr:colOff>
      <xdr:row>23</xdr:row>
      <xdr:rowOff>75399</xdr:rowOff>
    </xdr:from>
    <xdr:to>
      <xdr:col>24</xdr:col>
      <xdr:colOff>601577</xdr:colOff>
      <xdr:row>42</xdr:row>
      <xdr:rowOff>137965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1EF6146-5BB5-4855-AD80-BDCBA0928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8020</xdr:colOff>
      <xdr:row>43</xdr:row>
      <xdr:rowOff>59358</xdr:rowOff>
    </xdr:from>
    <xdr:to>
      <xdr:col>25</xdr:col>
      <xdr:colOff>8019</xdr:colOff>
      <xdr:row>63</xdr:row>
      <xdr:rowOff>19253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B2280BE-025B-4F8B-94F2-819E9AB50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10426</xdr:colOff>
      <xdr:row>63</xdr:row>
      <xdr:rowOff>150798</xdr:rowOff>
    </xdr:from>
    <xdr:to>
      <xdr:col>24</xdr:col>
      <xdr:colOff>563878</xdr:colOff>
      <xdr:row>85</xdr:row>
      <xdr:rowOff>145986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9899E04-540C-4237-9740-3639ADE95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18046</xdr:colOff>
      <xdr:row>86</xdr:row>
      <xdr:rowOff>115506</xdr:rowOff>
    </xdr:from>
    <xdr:to>
      <xdr:col>24</xdr:col>
      <xdr:colOff>531393</xdr:colOff>
      <xdr:row>106</xdr:row>
      <xdr:rowOff>99464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EE0ACB1-D9BF-4BEE-896F-8064CCE89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601980</xdr:colOff>
      <xdr:row>5</xdr:row>
      <xdr:rowOff>7620</xdr:rowOff>
    </xdr:from>
    <xdr:to>
      <xdr:col>17</xdr:col>
      <xdr:colOff>0</xdr:colOff>
      <xdr:row>20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3810</xdr:rowOff>
    </xdr:from>
    <xdr:to>
      <xdr:col>9</xdr:col>
      <xdr:colOff>22860</xdr:colOff>
      <xdr:row>30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3810</xdr:rowOff>
    </xdr:from>
    <xdr:to>
      <xdr:col>20</xdr:col>
      <xdr:colOff>0</xdr:colOff>
      <xdr:row>30</xdr:row>
      <xdr:rowOff>3810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220245</xdr:colOff>
      <xdr:row>20</xdr:row>
      <xdr:rowOff>6620</xdr:rowOff>
    </xdr:from>
    <xdr:to>
      <xdr:col>23</xdr:col>
      <xdr:colOff>815473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222250</xdr:colOff>
      <xdr:row>5</xdr:row>
      <xdr:rowOff>0</xdr:rowOff>
    </xdr:from>
    <xdr:to>
      <xdr:col>23</xdr:col>
      <xdr:colOff>812800</xdr:colOff>
      <xdr:row>17</xdr:row>
      <xdr:rowOff>294105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219076</xdr:colOff>
      <xdr:row>23</xdr:row>
      <xdr:rowOff>1906</xdr:rowOff>
    </xdr:from>
    <xdr:to>
      <xdr:col>13</xdr:col>
      <xdr:colOff>30480</xdr:colOff>
      <xdr:row>44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121920</xdr:colOff>
      <xdr:row>92</xdr:row>
      <xdr:rowOff>80010</xdr:rowOff>
    </xdr:from>
    <xdr:to>
      <xdr:col>11</xdr:col>
      <xdr:colOff>236220</xdr:colOff>
      <xdr:row>107</xdr:row>
      <xdr:rowOff>80010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106680</xdr:colOff>
      <xdr:row>44</xdr:row>
      <xdr:rowOff>53340</xdr:rowOff>
    </xdr:from>
    <xdr:to>
      <xdr:col>12</xdr:col>
      <xdr:colOff>58287</xdr:colOff>
      <xdr:row>66</xdr:row>
      <xdr:rowOff>65548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102870</xdr:rowOff>
    </xdr:from>
    <xdr:to>
      <xdr:col>16</xdr:col>
      <xdr:colOff>0</xdr:colOff>
      <xdr:row>29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</xdr:colOff>
      <xdr:row>43</xdr:row>
      <xdr:rowOff>316230</xdr:rowOff>
    </xdr:from>
    <xdr:to>
      <xdr:col>8</xdr:col>
      <xdr:colOff>0</xdr:colOff>
      <xdr:row>63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1089660</xdr:colOff>
      <xdr:row>43</xdr:row>
      <xdr:rowOff>308610</xdr:rowOff>
    </xdr:from>
    <xdr:to>
      <xdr:col>15</xdr:col>
      <xdr:colOff>274320</xdr:colOff>
      <xdr:row>63</xdr:row>
      <xdr:rowOff>15240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160020</xdr:colOff>
      <xdr:row>62</xdr:row>
      <xdr:rowOff>163830</xdr:rowOff>
    </xdr:from>
    <xdr:to>
      <xdr:col>15</xdr:col>
      <xdr:colOff>281940</xdr:colOff>
      <xdr:row>77</xdr:row>
      <xdr:rowOff>163830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D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472440</xdr:colOff>
      <xdr:row>3</xdr:row>
      <xdr:rowOff>53340</xdr:rowOff>
    </xdr:from>
    <xdr:to>
      <xdr:col>11</xdr:col>
      <xdr:colOff>670560</xdr:colOff>
      <xdr:row>12</xdr:row>
      <xdr:rowOff>220980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91440</xdr:colOff>
      <xdr:row>4</xdr:row>
      <xdr:rowOff>68580</xdr:rowOff>
    </xdr:from>
    <xdr:to>
      <xdr:col>4</xdr:col>
      <xdr:colOff>488726</xdr:colOff>
      <xdr:row>12</xdr:row>
      <xdr:rowOff>83820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472440</xdr:colOff>
      <xdr:row>7</xdr:row>
      <xdr:rowOff>30480</xdr:rowOff>
    </xdr:from>
    <xdr:ext cx="1516380" cy="530658"/>
    <xdr:sp macro="" textlink="TimeData!P5">
      <xdr:nvSpPr>
        <xdr:cNvPr id="4" name="CaixaDeTexto 4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SpPr txBox="1"/>
      </xdr:nvSpPr>
      <xdr:spPr>
        <a:xfrm>
          <a:off x="594360" y="1623060"/>
          <a:ext cx="151638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111634CF-465E-473D-89A6-9B77C1258CAF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97.1%</a:t>
          </a:fld>
          <a:endParaRPr lang="fr-CA" sz="2800" b="0"/>
        </a:p>
      </xdr:txBody>
    </xdr:sp>
    <xdr:clientData/>
  </xdr:oneCellAnchor>
  <xdr:twoCellAnchor>
    <xdr:from>
      <xdr:col>4</xdr:col>
      <xdr:colOff>457200</xdr:colOff>
      <xdr:row>14</xdr:row>
      <xdr:rowOff>53340</xdr:rowOff>
    </xdr:from>
    <xdr:to>
      <xdr:col>11</xdr:col>
      <xdr:colOff>670560</xdr:colOff>
      <xdr:row>23</xdr:row>
      <xdr:rowOff>220980</xdr:rowOff>
    </xdr:to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91440</xdr:colOff>
      <xdr:row>15</xdr:row>
      <xdr:rowOff>68580</xdr:rowOff>
    </xdr:from>
    <xdr:to>
      <xdr:col>4</xdr:col>
      <xdr:colOff>488726</xdr:colOff>
      <xdr:row>23</xdr:row>
      <xdr:rowOff>83820</xdr:rowOff>
    </xdr:to>
    <xdr:graphicFrame macro="">
      <xdr:nvGraphicFramePr>
        <xdr:cNvPr id="6" name="Gráfico 6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</xdr:col>
      <xdr:colOff>441960</xdr:colOff>
      <xdr:row>18</xdr:row>
      <xdr:rowOff>0</xdr:rowOff>
    </xdr:from>
    <xdr:ext cx="1524000" cy="530658"/>
    <xdr:sp macro="" textlink="TimeData!P11">
      <xdr:nvSpPr>
        <xdr:cNvPr id="7" name="CaixaDeTexto 7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SpPr txBox="1"/>
      </xdr:nvSpPr>
      <xdr:spPr>
        <a:xfrm>
          <a:off x="563880" y="4366260"/>
          <a:ext cx="152400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0EFF5A92-6150-4641-824C-DD8696C95D78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93.9%</a:t>
          </a:fld>
          <a:endParaRPr lang="fr-CA" sz="2800" b="0"/>
        </a:p>
      </xdr:txBody>
    </xdr:sp>
    <xdr:clientData/>
  </xdr:oneCellAnchor>
  <xdr:twoCellAnchor>
    <xdr:from>
      <xdr:col>16</xdr:col>
      <xdr:colOff>495300</xdr:colOff>
      <xdr:row>3</xdr:row>
      <xdr:rowOff>53340</xdr:rowOff>
    </xdr:from>
    <xdr:to>
      <xdr:col>23</xdr:col>
      <xdr:colOff>662940</xdr:colOff>
      <xdr:row>12</xdr:row>
      <xdr:rowOff>220980</xdr:rowOff>
    </xdr:to>
    <xdr:graphicFrame macro="">
      <xdr:nvGraphicFramePr>
        <xdr:cNvPr id="8" name="Gráfico 8"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91440</xdr:colOff>
      <xdr:row>4</xdr:row>
      <xdr:rowOff>68580</xdr:rowOff>
    </xdr:from>
    <xdr:to>
      <xdr:col>16</xdr:col>
      <xdr:colOff>488726</xdr:colOff>
      <xdr:row>12</xdr:row>
      <xdr:rowOff>83820</xdr:rowOff>
    </xdr:to>
    <xdr:graphicFrame macro="">
      <xdr:nvGraphicFramePr>
        <xdr:cNvPr id="9" name="Gráfico 9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13</xdr:col>
      <xdr:colOff>396240</xdr:colOff>
      <xdr:row>7</xdr:row>
      <xdr:rowOff>0</xdr:rowOff>
    </xdr:from>
    <xdr:ext cx="1569720" cy="530658"/>
    <xdr:sp macro="" textlink="TimeData!P8">
      <xdr:nvSpPr>
        <xdr:cNvPr id="10" name="CaixaDeTexto 10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SpPr txBox="1"/>
      </xdr:nvSpPr>
      <xdr:spPr>
        <a:xfrm>
          <a:off x="7490460" y="1592580"/>
          <a:ext cx="156972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2AD00BC9-D633-42E1-B43C-C6BE88982D43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98.1%</a:t>
          </a:fld>
          <a:endParaRPr lang="fr-CA" sz="2800" b="0"/>
        </a:p>
      </xdr:txBody>
    </xdr:sp>
    <xdr:clientData/>
  </xdr:oneCellAnchor>
  <xdr:twoCellAnchor>
    <xdr:from>
      <xdr:col>16</xdr:col>
      <xdr:colOff>457200</xdr:colOff>
      <xdr:row>14</xdr:row>
      <xdr:rowOff>53340</xdr:rowOff>
    </xdr:from>
    <xdr:to>
      <xdr:col>23</xdr:col>
      <xdr:colOff>685800</xdr:colOff>
      <xdr:row>23</xdr:row>
      <xdr:rowOff>220980</xdr:rowOff>
    </xdr:to>
    <xdr:graphicFrame macro="">
      <xdr:nvGraphicFramePr>
        <xdr:cNvPr id="11" name="Gráfico 11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91440</xdr:colOff>
      <xdr:row>15</xdr:row>
      <xdr:rowOff>68580</xdr:rowOff>
    </xdr:from>
    <xdr:to>
      <xdr:col>16</xdr:col>
      <xdr:colOff>488726</xdr:colOff>
      <xdr:row>23</xdr:row>
      <xdr:rowOff>83820</xdr:rowOff>
    </xdr:to>
    <xdr:graphicFrame macro="">
      <xdr:nvGraphicFramePr>
        <xdr:cNvPr id="12" name="Gráfico 12">
          <a:extLst>
            <a:ext uri="{FF2B5EF4-FFF2-40B4-BE49-F238E27FC236}">
              <a16:creationId xmlns:a16="http://schemas.microsoft.com/office/drawing/2014/main" id="{00000000-0008-0000-1E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13</xdr:col>
      <xdr:colOff>441960</xdr:colOff>
      <xdr:row>18</xdr:row>
      <xdr:rowOff>45720</xdr:rowOff>
    </xdr:from>
    <xdr:ext cx="1531620" cy="530658"/>
    <xdr:sp macro="" textlink="TimeData!P14">
      <xdr:nvSpPr>
        <xdr:cNvPr id="13" name="CaixaDeTexto 13">
          <a:extLst>
            <a:ext uri="{FF2B5EF4-FFF2-40B4-BE49-F238E27FC236}">
              <a16:creationId xmlns:a16="http://schemas.microsoft.com/office/drawing/2014/main" id="{00000000-0008-0000-1E00-00000D000000}"/>
            </a:ext>
          </a:extLst>
        </xdr:cNvPr>
        <xdr:cNvSpPr txBox="1"/>
      </xdr:nvSpPr>
      <xdr:spPr>
        <a:xfrm>
          <a:off x="7536180" y="4411980"/>
          <a:ext cx="153162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B3DFBA9D-7221-4144-86D6-3770360B5339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94.3%</a:t>
          </a:fld>
          <a:endParaRPr lang="fr-CA" sz="2800" b="0"/>
        </a:p>
      </xdr:txBody>
    </xdr:sp>
    <xdr:clientData/>
  </xdr:oneCellAnchor>
  <xdr:twoCellAnchor>
    <xdr:from>
      <xdr:col>5</xdr:col>
      <xdr:colOff>45720</xdr:colOff>
      <xdr:row>25</xdr:row>
      <xdr:rowOff>53340</xdr:rowOff>
    </xdr:from>
    <xdr:to>
      <xdr:col>11</xdr:col>
      <xdr:colOff>571500</xdr:colOff>
      <xdr:row>34</xdr:row>
      <xdr:rowOff>220980</xdr:rowOff>
    </xdr:to>
    <xdr:graphicFrame macro="">
      <xdr:nvGraphicFramePr>
        <xdr:cNvPr id="14" name="Gráfico 5">
          <a:extLst>
            <a:ext uri="{FF2B5EF4-FFF2-40B4-BE49-F238E27FC236}">
              <a16:creationId xmlns:a16="http://schemas.microsoft.com/office/drawing/2014/main" id="{00000000-0008-0000-1E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91440</xdr:colOff>
      <xdr:row>26</xdr:row>
      <xdr:rowOff>68580</xdr:rowOff>
    </xdr:from>
    <xdr:to>
      <xdr:col>4</xdr:col>
      <xdr:colOff>488726</xdr:colOff>
      <xdr:row>34</xdr:row>
      <xdr:rowOff>83820</xdr:rowOff>
    </xdr:to>
    <xdr:graphicFrame macro="">
      <xdr:nvGraphicFramePr>
        <xdr:cNvPr id="15" name="Gráfico 6">
          <a:extLst>
            <a:ext uri="{FF2B5EF4-FFF2-40B4-BE49-F238E27FC236}">
              <a16:creationId xmlns:a16="http://schemas.microsoft.com/office/drawing/2014/main" id="{00000000-0008-0000-1E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1</xdr:col>
      <xdr:colOff>441960</xdr:colOff>
      <xdr:row>29</xdr:row>
      <xdr:rowOff>0</xdr:rowOff>
    </xdr:from>
    <xdr:ext cx="1524000" cy="530658"/>
    <xdr:sp macro="" textlink="TimeData!P17">
      <xdr:nvSpPr>
        <xdr:cNvPr id="16" name="CaixaDeTexto 7">
          <a:extLst>
            <a:ext uri="{FF2B5EF4-FFF2-40B4-BE49-F238E27FC236}">
              <a16:creationId xmlns:a16="http://schemas.microsoft.com/office/drawing/2014/main" id="{00000000-0008-0000-1E00-000010000000}"/>
            </a:ext>
          </a:extLst>
        </xdr:cNvPr>
        <xdr:cNvSpPr txBox="1"/>
      </xdr:nvSpPr>
      <xdr:spPr>
        <a:xfrm>
          <a:off x="563880" y="7299960"/>
          <a:ext cx="152400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C3C28BB5-0173-4B13-AEFC-30DE6C9CC4E4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98.9%</a:t>
          </a:fld>
          <a:endParaRPr lang="fr-CA" sz="2800" b="0"/>
        </a:p>
      </xdr:txBody>
    </xdr:sp>
    <xdr:clientData/>
  </xdr:oneCellAnchor>
  <xdr:twoCellAnchor>
    <xdr:from>
      <xdr:col>17</xdr:col>
      <xdr:colOff>45720</xdr:colOff>
      <xdr:row>25</xdr:row>
      <xdr:rowOff>53340</xdr:rowOff>
    </xdr:from>
    <xdr:to>
      <xdr:col>23</xdr:col>
      <xdr:colOff>571500</xdr:colOff>
      <xdr:row>34</xdr:row>
      <xdr:rowOff>220980</xdr:rowOff>
    </xdr:to>
    <xdr:graphicFrame macro="">
      <xdr:nvGraphicFramePr>
        <xdr:cNvPr id="17" name="Gráfico 11">
          <a:extLst>
            <a:ext uri="{FF2B5EF4-FFF2-40B4-BE49-F238E27FC236}">
              <a16:creationId xmlns:a16="http://schemas.microsoft.com/office/drawing/2014/main" id="{00000000-0008-0000-1E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91440</xdr:colOff>
      <xdr:row>26</xdr:row>
      <xdr:rowOff>68580</xdr:rowOff>
    </xdr:from>
    <xdr:to>
      <xdr:col>16</xdr:col>
      <xdr:colOff>488726</xdr:colOff>
      <xdr:row>34</xdr:row>
      <xdr:rowOff>83820</xdr:rowOff>
    </xdr:to>
    <xdr:graphicFrame macro="">
      <xdr:nvGraphicFramePr>
        <xdr:cNvPr id="18" name="Gráfico 12">
          <a:extLst>
            <a:ext uri="{FF2B5EF4-FFF2-40B4-BE49-F238E27FC236}">
              <a16:creationId xmlns:a16="http://schemas.microsoft.com/office/drawing/2014/main" id="{00000000-0008-0000-1E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13</xdr:col>
      <xdr:colOff>441960</xdr:colOff>
      <xdr:row>29</xdr:row>
      <xdr:rowOff>45720</xdr:rowOff>
    </xdr:from>
    <xdr:ext cx="1531620" cy="530658"/>
    <xdr:sp macro="" textlink="TimeData!P20">
      <xdr:nvSpPr>
        <xdr:cNvPr id="19" name="CaixaDeTexto 13">
          <a:extLst>
            <a:ext uri="{FF2B5EF4-FFF2-40B4-BE49-F238E27FC236}">
              <a16:creationId xmlns:a16="http://schemas.microsoft.com/office/drawing/2014/main" id="{00000000-0008-0000-1E00-000013000000}"/>
            </a:ext>
          </a:extLst>
        </xdr:cNvPr>
        <xdr:cNvSpPr txBox="1"/>
      </xdr:nvSpPr>
      <xdr:spPr>
        <a:xfrm>
          <a:off x="7536180" y="7284720"/>
          <a:ext cx="153162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285598F7-2DA9-4344-887A-87D8D498C8D5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96.9%</a:t>
          </a:fld>
          <a:endParaRPr lang="fr-CA" sz="2800" b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66</xdr:row>
      <xdr:rowOff>80010</xdr:rowOff>
    </xdr:from>
    <xdr:to>
      <xdr:col>9</xdr:col>
      <xdr:colOff>15240</xdr:colOff>
      <xdr:row>81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66</xdr:row>
      <xdr:rowOff>110490</xdr:rowOff>
    </xdr:from>
    <xdr:to>
      <xdr:col>22</xdr:col>
      <xdr:colOff>15240</xdr:colOff>
      <xdr:row>81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15875</xdr:colOff>
      <xdr:row>99</xdr:row>
      <xdr:rowOff>116681</xdr:rowOff>
    </xdr:from>
    <xdr:to>
      <xdr:col>21</xdr:col>
      <xdr:colOff>650875</xdr:colOff>
      <xdr:row>128</xdr:row>
      <xdr:rowOff>15875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158748</xdr:colOff>
      <xdr:row>99</xdr:row>
      <xdr:rowOff>100804</xdr:rowOff>
    </xdr:from>
    <xdr:to>
      <xdr:col>9</xdr:col>
      <xdr:colOff>23812</xdr:colOff>
      <xdr:row>128</xdr:row>
      <xdr:rowOff>23813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793282</xdr:colOff>
      <xdr:row>63</xdr:row>
      <xdr:rowOff>124126</xdr:rowOff>
    </xdr:from>
    <xdr:to>
      <xdr:col>22</xdr:col>
      <xdr:colOff>570297</xdr:colOff>
      <xdr:row>87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6AD96C-F19E-4130-B315-5AED79416A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784861</xdr:colOff>
      <xdr:row>41</xdr:row>
      <xdr:rowOff>43915</xdr:rowOff>
    </xdr:from>
    <xdr:to>
      <xdr:col>22</xdr:col>
      <xdr:colOff>553453</xdr:colOff>
      <xdr:row>62</xdr:row>
      <xdr:rowOff>152399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93D659B-93EA-4841-98F7-05E56F201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184484</xdr:colOff>
      <xdr:row>41</xdr:row>
      <xdr:rowOff>24064</xdr:rowOff>
    </xdr:from>
    <xdr:to>
      <xdr:col>16</xdr:col>
      <xdr:colOff>649703</xdr:colOff>
      <xdr:row>62</xdr:row>
      <xdr:rowOff>144379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9E2DD5D-FB3B-468C-84B0-B555E3B80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23261</xdr:colOff>
      <xdr:row>63</xdr:row>
      <xdr:rowOff>132147</xdr:rowOff>
    </xdr:from>
    <xdr:to>
      <xdr:col>21</xdr:col>
      <xdr:colOff>602381</xdr:colOff>
      <xdr:row>87</xdr:row>
      <xdr:rowOff>30881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A6D153-F213-4EDF-B875-88AAE3774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14839</xdr:colOff>
      <xdr:row>41</xdr:row>
      <xdr:rowOff>43915</xdr:rowOff>
    </xdr:from>
    <xdr:to>
      <xdr:col>21</xdr:col>
      <xdr:colOff>585536</xdr:colOff>
      <xdr:row>62</xdr:row>
      <xdr:rowOff>136357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EEA7829-153C-4994-859A-F958D5A66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176464</xdr:colOff>
      <xdr:row>41</xdr:row>
      <xdr:rowOff>24064</xdr:rowOff>
    </xdr:from>
    <xdr:to>
      <xdr:col>15</xdr:col>
      <xdr:colOff>641683</xdr:colOff>
      <xdr:row>62</xdr:row>
      <xdr:rowOff>144379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38EB294-B31B-4533-8E24-2FC390654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721093</xdr:colOff>
      <xdr:row>63</xdr:row>
      <xdr:rowOff>100062</xdr:rowOff>
    </xdr:from>
    <xdr:to>
      <xdr:col>21</xdr:col>
      <xdr:colOff>498108</xdr:colOff>
      <xdr:row>86</xdr:row>
      <xdr:rowOff>183280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68F36E-4B45-4DD9-9402-13F05F732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720692</xdr:colOff>
      <xdr:row>41</xdr:row>
      <xdr:rowOff>51936</xdr:rowOff>
    </xdr:from>
    <xdr:to>
      <xdr:col>21</xdr:col>
      <xdr:colOff>489284</xdr:colOff>
      <xdr:row>62</xdr:row>
      <xdr:rowOff>144378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86EF7F2-8E14-4B2A-A30E-59BAFA204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176464</xdr:colOff>
      <xdr:row>41</xdr:row>
      <xdr:rowOff>40106</xdr:rowOff>
    </xdr:from>
    <xdr:to>
      <xdr:col>15</xdr:col>
      <xdr:colOff>641683</xdr:colOff>
      <xdr:row>62</xdr:row>
      <xdr:rowOff>160421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AA4CE3E-0E77-49D8-966F-D39DA28E6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793282</xdr:colOff>
      <xdr:row>63</xdr:row>
      <xdr:rowOff>132147</xdr:rowOff>
    </xdr:from>
    <xdr:to>
      <xdr:col>21</xdr:col>
      <xdr:colOff>570297</xdr:colOff>
      <xdr:row>87</xdr:row>
      <xdr:rowOff>30881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BD0695-6B33-492B-80D9-076445988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784860</xdr:colOff>
      <xdr:row>41</xdr:row>
      <xdr:rowOff>27874</xdr:rowOff>
    </xdr:from>
    <xdr:to>
      <xdr:col>21</xdr:col>
      <xdr:colOff>553452</xdr:colOff>
      <xdr:row>62</xdr:row>
      <xdr:rowOff>144379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BF4168F-7DCA-43CF-8AB9-7EF91E00F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128338</xdr:colOff>
      <xdr:row>41</xdr:row>
      <xdr:rowOff>24062</xdr:rowOff>
    </xdr:from>
    <xdr:to>
      <xdr:col>15</xdr:col>
      <xdr:colOff>593557</xdr:colOff>
      <xdr:row>62</xdr:row>
      <xdr:rowOff>176462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DE7A5AF-9C87-416F-9BC7-6AE41E03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D21203-E486-4586-AFC9-6F592D61DFCC}" name="Table132" displayName="Table132" ref="C5:K21" totalsRowShown="0" headerRowDxfId="18" dataDxfId="16" headerRowBorderDxfId="17" tableBorderDxfId="15" totalsRowBorderDxfId="14">
  <autoFilter ref="C5:K21" xr:uid="{EBD21203-E486-4586-AFC9-6F592D61DFCC}"/>
  <tableColumns count="9">
    <tableColumn id="1" xr3:uid="{8D2D7101-D3FE-421B-87F9-C86C66773D49}" name="Run" dataDxfId="13"/>
    <tableColumn id="3" xr3:uid="{F55B9943-3B62-49D3-BB11-14993B0D270B}" name="Actual" dataDxfId="12"/>
    <tableColumn id="4" xr3:uid="{37E28A73-E2A0-4B9E-8787-FFF5B4E95B08}" name="Target" dataDxfId="11"/>
    <tableColumn id="6" xr3:uid="{234C9C82-D518-4D19-A7F8-EDB9AB63E9C9}" name="% Of Costs" dataDxfId="10">
      <calculatedColumnFormula>D6/E6</calculatedColumnFormula>
    </tableColumn>
    <tableColumn id="5" xr3:uid="{AC96A10F-40BF-4DA2-A0A3-46BA470C2E6E}" name="Variance" dataDxfId="9">
      <calculatedColumnFormula>IF(ISBLANK(D6-E6),"",(D6-E6))</calculatedColumnFormula>
    </tableColumn>
    <tableColumn id="2" xr3:uid="{7B3113D1-1BEE-4F14-857C-3D27E19F9EA9}" name="Average" dataDxfId="8"/>
    <tableColumn id="7" xr3:uid="{57424F22-F241-4C83-B318-02C72B2E4298}" name="Totals" dataDxfId="7"/>
    <tableColumn id="8" xr3:uid="{96BBA01E-6EAC-433D-9785-566FBAF9FC5E}" name="Overuns" dataDxfId="6"/>
    <tableColumn id="9" xr3:uid="{0E2464E4-875E-430F-91F2-506267071B3A}" name="Totals2" dataDxfId="5">
      <calculatedColumnFormula>SUM(Table132[[#This Row],[Totals]:[Overuns]])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5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378D9-1C2F-472A-B966-86CF9CD37F68}">
  <sheetPr codeName="Sheet2"/>
  <dimension ref="B2:W63"/>
  <sheetViews>
    <sheetView showGridLines="0" zoomScale="95" zoomScaleNormal="95" workbookViewId="0">
      <selection activeCell="K67" sqref="K67"/>
    </sheetView>
  </sheetViews>
  <sheetFormatPr defaultRowHeight="14.4" x14ac:dyDescent="0.3"/>
  <cols>
    <col min="1" max="1" width="1.77734375" customWidth="1"/>
    <col min="2" max="2" width="24.5546875" customWidth="1"/>
    <col min="3" max="3" width="8.21875" customWidth="1"/>
    <col min="5" max="5" width="3.6640625" customWidth="1"/>
    <col min="6" max="6" width="10.44140625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267</v>
      </c>
      <c r="C2" s="8"/>
    </row>
    <row r="3" spans="2:23" ht="13.8" customHeight="1" x14ac:dyDescent="0.35">
      <c r="B3" s="8"/>
      <c r="C3" s="8"/>
    </row>
    <row r="4" spans="2:23" s="13" customFormat="1" ht="15" customHeight="1" x14ac:dyDescent="0.3">
      <c r="B4" s="151"/>
      <c r="C4" s="151"/>
      <c r="D4" s="151"/>
      <c r="E4" s="151"/>
      <c r="F4" s="218">
        <v>2023</v>
      </c>
      <c r="G4" s="218">
        <v>2023</v>
      </c>
      <c r="H4" s="218">
        <v>2023</v>
      </c>
      <c r="I4" s="218">
        <v>2023</v>
      </c>
      <c r="J4" s="218">
        <v>2023</v>
      </c>
      <c r="K4" s="218">
        <v>2023</v>
      </c>
      <c r="L4" s="218">
        <v>2023</v>
      </c>
      <c r="M4" s="218">
        <v>2023</v>
      </c>
      <c r="N4" s="218">
        <v>2023</v>
      </c>
      <c r="O4" s="218">
        <v>2023</v>
      </c>
      <c r="P4" s="218">
        <v>2023</v>
      </c>
      <c r="Q4" s="218">
        <v>2023</v>
      </c>
      <c r="R4" s="218"/>
      <c r="S4" s="218"/>
      <c r="T4" s="218"/>
      <c r="U4" s="156"/>
      <c r="V4" s="156"/>
      <c r="W4" s="151"/>
    </row>
    <row r="5" spans="2:23" ht="15" customHeight="1" x14ac:dyDescent="0.3">
      <c r="B5" s="325" t="s">
        <v>0</v>
      </c>
      <c r="C5" s="168"/>
      <c r="D5" s="168"/>
      <c r="E5" s="168"/>
      <c r="F5" s="326" t="s">
        <v>32</v>
      </c>
      <c r="G5" s="326" t="s">
        <v>33</v>
      </c>
      <c r="H5" s="326" t="s">
        <v>34</v>
      </c>
      <c r="I5" s="326" t="s">
        <v>35</v>
      </c>
      <c r="J5" s="326" t="s">
        <v>36</v>
      </c>
      <c r="K5" s="326" t="s">
        <v>37</v>
      </c>
      <c r="L5" s="326" t="s">
        <v>38</v>
      </c>
      <c r="M5" s="326" t="s">
        <v>39</v>
      </c>
      <c r="N5" s="326" t="s">
        <v>40</v>
      </c>
      <c r="O5" s="326" t="s">
        <v>41</v>
      </c>
      <c r="P5" s="326" t="s">
        <v>42</v>
      </c>
      <c r="Q5" s="326" t="s">
        <v>43</v>
      </c>
      <c r="R5" s="168"/>
      <c r="S5" s="168"/>
      <c r="T5" s="168"/>
      <c r="U5" s="168"/>
      <c r="V5" s="168"/>
      <c r="W5" s="168"/>
    </row>
    <row r="6" spans="2:23" ht="15" customHeight="1" x14ac:dyDescent="0.3">
      <c r="B6" s="24"/>
      <c r="C6" s="330"/>
      <c r="D6" s="330"/>
      <c r="E6" s="330"/>
      <c r="F6" s="383" t="s">
        <v>266</v>
      </c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30"/>
      <c r="S6" s="330"/>
      <c r="T6" s="330"/>
      <c r="U6" s="330"/>
      <c r="V6" s="330"/>
    </row>
    <row r="7" spans="2:23" ht="14.4" customHeight="1" x14ac:dyDescent="0.3">
      <c r="B7" s="4" t="s">
        <v>288</v>
      </c>
      <c r="F7" s="222">
        <v>4000</v>
      </c>
      <c r="G7" s="222">
        <v>4100</v>
      </c>
      <c r="H7" s="222">
        <v>4200</v>
      </c>
      <c r="I7" s="222">
        <v>4300</v>
      </c>
      <c r="J7" s="222">
        <v>4650</v>
      </c>
      <c r="K7" s="222">
        <v>4850</v>
      </c>
      <c r="L7" s="222">
        <v>5000</v>
      </c>
      <c r="M7" s="222">
        <v>5250</v>
      </c>
      <c r="N7" s="222">
        <v>5500</v>
      </c>
      <c r="O7" s="222">
        <v>6000</v>
      </c>
      <c r="P7" s="222">
        <v>6250</v>
      </c>
      <c r="Q7" s="222">
        <v>7000</v>
      </c>
    </row>
    <row r="8" spans="2:23" x14ac:dyDescent="0.3">
      <c r="B8" s="4" t="s">
        <v>248</v>
      </c>
      <c r="F8" s="329">
        <v>3</v>
      </c>
      <c r="G8" s="329">
        <v>3</v>
      </c>
      <c r="H8" s="329">
        <v>3</v>
      </c>
      <c r="I8" s="329">
        <v>3</v>
      </c>
      <c r="J8" s="329">
        <v>3</v>
      </c>
      <c r="K8" s="329">
        <v>3</v>
      </c>
      <c r="L8" s="329">
        <v>3</v>
      </c>
      <c r="M8" s="329">
        <v>3</v>
      </c>
      <c r="N8" s="329">
        <v>3</v>
      </c>
      <c r="O8" s="329">
        <v>3</v>
      </c>
      <c r="P8" s="329">
        <v>3</v>
      </c>
      <c r="Q8" s="329">
        <v>3</v>
      </c>
    </row>
    <row r="9" spans="2:23" x14ac:dyDescent="0.3">
      <c r="B9" s="4" t="s">
        <v>251</v>
      </c>
      <c r="F9" s="319">
        <f t="shared" ref="F9:Q9" si="0">F7/F8</f>
        <v>1333.3333333333333</v>
      </c>
      <c r="G9" s="319">
        <f t="shared" si="0"/>
        <v>1366.6666666666667</v>
      </c>
      <c r="H9" s="319">
        <f t="shared" si="0"/>
        <v>1400</v>
      </c>
      <c r="I9" s="319">
        <f t="shared" si="0"/>
        <v>1433.3333333333333</v>
      </c>
      <c r="J9" s="319">
        <f t="shared" si="0"/>
        <v>1550</v>
      </c>
      <c r="K9" s="319">
        <f t="shared" si="0"/>
        <v>1616.6666666666667</v>
      </c>
      <c r="L9" s="319">
        <f t="shared" si="0"/>
        <v>1666.6666666666667</v>
      </c>
      <c r="M9" s="319">
        <f t="shared" si="0"/>
        <v>1750</v>
      </c>
      <c r="N9" s="319">
        <f t="shared" si="0"/>
        <v>1833.3333333333333</v>
      </c>
      <c r="O9" s="319">
        <f t="shared" si="0"/>
        <v>2000</v>
      </c>
      <c r="P9" s="319">
        <f t="shared" si="0"/>
        <v>2083.3333333333335</v>
      </c>
      <c r="Q9" s="319">
        <f t="shared" si="0"/>
        <v>2333.3333333333335</v>
      </c>
    </row>
    <row r="10" spans="2:23" x14ac:dyDescent="0.3">
      <c r="B10" s="4" t="s">
        <v>261</v>
      </c>
      <c r="F10" s="322">
        <v>800</v>
      </c>
      <c r="G10" s="322">
        <v>825</v>
      </c>
      <c r="H10" s="322">
        <v>866</v>
      </c>
      <c r="I10" s="322">
        <v>900</v>
      </c>
      <c r="J10" s="322">
        <v>920</v>
      </c>
      <c r="K10" s="322">
        <v>970</v>
      </c>
      <c r="L10" s="322">
        <v>980</v>
      </c>
      <c r="M10" s="322">
        <v>1000</v>
      </c>
      <c r="N10" s="322">
        <v>1025</v>
      </c>
      <c r="O10" s="322">
        <v>1050</v>
      </c>
      <c r="P10" s="322">
        <v>1050</v>
      </c>
      <c r="Q10" s="322">
        <v>1050</v>
      </c>
    </row>
    <row r="11" spans="2:23" x14ac:dyDescent="0.3">
      <c r="B11" s="4" t="s">
        <v>262</v>
      </c>
      <c r="F11" s="327">
        <v>0.8</v>
      </c>
      <c r="G11" s="327">
        <v>0.8</v>
      </c>
      <c r="H11" s="327">
        <v>0.8</v>
      </c>
      <c r="I11" s="327">
        <v>0.8</v>
      </c>
      <c r="J11" s="327">
        <v>0.8</v>
      </c>
      <c r="K11" s="327">
        <v>0.8</v>
      </c>
      <c r="L11" s="327">
        <v>0.8</v>
      </c>
      <c r="M11" s="327">
        <v>0.8</v>
      </c>
      <c r="N11" s="327">
        <v>0.8</v>
      </c>
      <c r="O11" s="327">
        <v>0.8</v>
      </c>
      <c r="P11" s="327">
        <v>0.8</v>
      </c>
      <c r="Q11" s="327">
        <v>0.8</v>
      </c>
    </row>
    <row r="12" spans="2:23" x14ac:dyDescent="0.3">
      <c r="B12" s="4" t="s">
        <v>263</v>
      </c>
      <c r="F12" s="328">
        <f t="shared" ref="F12:Q12" si="1">F10*F11</f>
        <v>640</v>
      </c>
      <c r="G12" s="328">
        <f t="shared" si="1"/>
        <v>660</v>
      </c>
      <c r="H12" s="328">
        <f t="shared" si="1"/>
        <v>692.80000000000007</v>
      </c>
      <c r="I12" s="328">
        <f t="shared" si="1"/>
        <v>720</v>
      </c>
      <c r="J12" s="328">
        <f t="shared" si="1"/>
        <v>736</v>
      </c>
      <c r="K12" s="328">
        <f t="shared" si="1"/>
        <v>776</v>
      </c>
      <c r="L12" s="328">
        <f t="shared" si="1"/>
        <v>784</v>
      </c>
      <c r="M12" s="328">
        <f t="shared" si="1"/>
        <v>800</v>
      </c>
      <c r="N12" s="328">
        <f t="shared" si="1"/>
        <v>820</v>
      </c>
      <c r="O12" s="328">
        <f t="shared" si="1"/>
        <v>840</v>
      </c>
      <c r="P12" s="328">
        <f t="shared" si="1"/>
        <v>840</v>
      </c>
      <c r="Q12" s="328">
        <f t="shared" si="1"/>
        <v>840</v>
      </c>
    </row>
    <row r="13" spans="2:23" x14ac:dyDescent="0.3">
      <c r="B13" s="4" t="s">
        <v>249</v>
      </c>
      <c r="F13" s="322">
        <v>7500</v>
      </c>
      <c r="G13" s="322">
        <v>7500</v>
      </c>
      <c r="H13" s="322">
        <v>7500</v>
      </c>
      <c r="I13" s="322">
        <v>7500</v>
      </c>
      <c r="J13" s="322">
        <v>7500</v>
      </c>
      <c r="K13" s="322">
        <v>7500</v>
      </c>
      <c r="L13" s="322">
        <v>7500</v>
      </c>
      <c r="M13" s="322">
        <v>7500</v>
      </c>
      <c r="N13" s="322">
        <v>7500</v>
      </c>
      <c r="O13" s="322">
        <v>7500</v>
      </c>
      <c r="P13" s="322">
        <v>7500</v>
      </c>
      <c r="Q13" s="322">
        <v>7500</v>
      </c>
    </row>
    <row r="14" spans="2:23" x14ac:dyDescent="0.3">
      <c r="B14" s="4" t="s">
        <v>252</v>
      </c>
      <c r="F14" s="323">
        <v>600</v>
      </c>
      <c r="G14" s="323">
        <v>600</v>
      </c>
      <c r="H14" s="323">
        <v>600</v>
      </c>
      <c r="I14" s="323">
        <v>600</v>
      </c>
      <c r="J14" s="323">
        <v>600</v>
      </c>
      <c r="K14" s="323">
        <v>600</v>
      </c>
      <c r="L14" s="323">
        <v>600</v>
      </c>
      <c r="M14" s="323">
        <v>600</v>
      </c>
      <c r="N14" s="323">
        <v>600</v>
      </c>
      <c r="O14" s="323">
        <v>600</v>
      </c>
      <c r="P14" s="323">
        <v>600</v>
      </c>
      <c r="Q14" s="323">
        <v>600</v>
      </c>
    </row>
    <row r="15" spans="2:23" x14ac:dyDescent="0.3">
      <c r="B15" s="4" t="s">
        <v>250</v>
      </c>
      <c r="F15" s="320">
        <f t="shared" ref="F15:Q15" si="2">F9+F12+F14</f>
        <v>2573.333333333333</v>
      </c>
      <c r="G15" s="320">
        <f t="shared" si="2"/>
        <v>2626.666666666667</v>
      </c>
      <c r="H15" s="320">
        <f t="shared" si="2"/>
        <v>2692.8</v>
      </c>
      <c r="I15" s="320">
        <f t="shared" si="2"/>
        <v>2753.333333333333</v>
      </c>
      <c r="J15" s="320">
        <f t="shared" si="2"/>
        <v>2886</v>
      </c>
      <c r="K15" s="320">
        <f t="shared" si="2"/>
        <v>2992.666666666667</v>
      </c>
      <c r="L15" s="320">
        <f t="shared" si="2"/>
        <v>3050.666666666667</v>
      </c>
      <c r="M15" s="320">
        <f t="shared" si="2"/>
        <v>3150</v>
      </c>
      <c r="N15" s="320">
        <f t="shared" si="2"/>
        <v>3253.333333333333</v>
      </c>
      <c r="O15" s="320">
        <f t="shared" si="2"/>
        <v>3440</v>
      </c>
      <c r="P15" s="320">
        <f t="shared" si="2"/>
        <v>3523.3333333333335</v>
      </c>
      <c r="Q15" s="320">
        <f t="shared" si="2"/>
        <v>3773.3333333333335</v>
      </c>
    </row>
    <row r="16" spans="2:23" x14ac:dyDescent="0.3">
      <c r="B16" s="24"/>
      <c r="C16" s="330"/>
      <c r="D16" s="330"/>
      <c r="E16" s="330"/>
      <c r="F16" s="384" t="s">
        <v>253</v>
      </c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30"/>
      <c r="S16" s="330"/>
      <c r="T16" s="330"/>
      <c r="U16" s="330"/>
      <c r="V16" s="330"/>
    </row>
    <row r="17" spans="2:22" x14ac:dyDescent="0.3">
      <c r="B17" s="4" t="s">
        <v>254</v>
      </c>
      <c r="F17" s="324">
        <v>0.61</v>
      </c>
      <c r="G17" s="324">
        <v>0.61</v>
      </c>
      <c r="H17" s="324">
        <v>0.61</v>
      </c>
      <c r="I17" s="324">
        <v>0.61</v>
      </c>
      <c r="J17" s="324">
        <v>0.61</v>
      </c>
      <c r="K17" s="324">
        <v>0.61</v>
      </c>
      <c r="L17" s="324">
        <v>0.61</v>
      </c>
      <c r="M17" s="324">
        <v>0.61</v>
      </c>
      <c r="N17" s="324">
        <v>0.61</v>
      </c>
      <c r="O17" s="324">
        <v>0.61</v>
      </c>
      <c r="P17" s="324">
        <v>0.61</v>
      </c>
      <c r="Q17" s="324">
        <v>0.61</v>
      </c>
    </row>
    <row r="18" spans="2:22" x14ac:dyDescent="0.3">
      <c r="B18" s="4" t="s">
        <v>255</v>
      </c>
      <c r="F18" s="222">
        <f t="shared" ref="F18:Q18" si="3">F15*F17</f>
        <v>1569.7333333333331</v>
      </c>
      <c r="G18" s="222">
        <f t="shared" si="3"/>
        <v>1602.2666666666669</v>
      </c>
      <c r="H18" s="222">
        <f t="shared" si="3"/>
        <v>1642.6080000000002</v>
      </c>
      <c r="I18" s="222">
        <f t="shared" si="3"/>
        <v>1679.5333333333331</v>
      </c>
      <c r="J18" s="222">
        <f t="shared" si="3"/>
        <v>1760.46</v>
      </c>
      <c r="K18" s="222">
        <f t="shared" si="3"/>
        <v>1825.5266666666669</v>
      </c>
      <c r="L18" s="222">
        <f t="shared" si="3"/>
        <v>1860.9066666666668</v>
      </c>
      <c r="M18" s="222">
        <f t="shared" si="3"/>
        <v>1921.5</v>
      </c>
      <c r="N18" s="222">
        <f t="shared" si="3"/>
        <v>1984.5333333333331</v>
      </c>
      <c r="O18" s="222">
        <f t="shared" si="3"/>
        <v>2098.4</v>
      </c>
      <c r="P18" s="222">
        <f t="shared" si="3"/>
        <v>2149.2333333333336</v>
      </c>
      <c r="Q18" s="222">
        <f t="shared" si="3"/>
        <v>2301.7333333333336</v>
      </c>
    </row>
    <row r="19" spans="2:22" x14ac:dyDescent="0.3">
      <c r="B19" s="4" t="s">
        <v>257</v>
      </c>
      <c r="F19" s="324">
        <v>0.1</v>
      </c>
      <c r="G19" s="324">
        <v>0.1</v>
      </c>
      <c r="H19" s="324">
        <v>0.1</v>
      </c>
      <c r="I19" s="324">
        <v>0.1</v>
      </c>
      <c r="J19" s="324">
        <v>0.1</v>
      </c>
      <c r="K19" s="324">
        <v>0.1</v>
      </c>
      <c r="L19" s="324">
        <v>0.1</v>
      </c>
      <c r="M19" s="324">
        <v>0.1</v>
      </c>
      <c r="N19" s="324">
        <v>0.1</v>
      </c>
      <c r="O19" s="324">
        <v>0.1</v>
      </c>
      <c r="P19" s="324">
        <v>0.1</v>
      </c>
      <c r="Q19" s="324">
        <v>0.1</v>
      </c>
    </row>
    <row r="20" spans="2:22" x14ac:dyDescent="0.3">
      <c r="B20" s="4" t="s">
        <v>258</v>
      </c>
      <c r="F20" s="222">
        <f t="shared" ref="F20:Q20" si="4">F18*F19</f>
        <v>156.97333333333333</v>
      </c>
      <c r="G20" s="222">
        <f t="shared" si="4"/>
        <v>160.22666666666669</v>
      </c>
      <c r="H20" s="222">
        <f t="shared" si="4"/>
        <v>164.26080000000002</v>
      </c>
      <c r="I20" s="222">
        <f t="shared" si="4"/>
        <v>167.95333333333332</v>
      </c>
      <c r="J20" s="222">
        <f t="shared" si="4"/>
        <v>176.04600000000002</v>
      </c>
      <c r="K20" s="222">
        <f t="shared" si="4"/>
        <v>182.55266666666671</v>
      </c>
      <c r="L20" s="222">
        <f t="shared" si="4"/>
        <v>186.09066666666669</v>
      </c>
      <c r="M20" s="222">
        <f t="shared" si="4"/>
        <v>192.15</v>
      </c>
      <c r="N20" s="222">
        <f t="shared" si="4"/>
        <v>198.45333333333332</v>
      </c>
      <c r="O20" s="222">
        <f t="shared" si="4"/>
        <v>209.84000000000003</v>
      </c>
      <c r="P20" s="222">
        <f t="shared" si="4"/>
        <v>214.92333333333337</v>
      </c>
      <c r="Q20" s="222">
        <f t="shared" si="4"/>
        <v>230.17333333333337</v>
      </c>
    </row>
    <row r="21" spans="2:22" x14ac:dyDescent="0.3">
      <c r="B21" s="4" t="s">
        <v>259</v>
      </c>
      <c r="F21" s="324">
        <f t="shared" ref="F21:Q21" si="5">1-F19</f>
        <v>0.9</v>
      </c>
      <c r="G21" s="324">
        <f t="shared" si="5"/>
        <v>0.9</v>
      </c>
      <c r="H21" s="324">
        <f t="shared" si="5"/>
        <v>0.9</v>
      </c>
      <c r="I21" s="324">
        <f t="shared" si="5"/>
        <v>0.9</v>
      </c>
      <c r="J21" s="324">
        <f t="shared" si="5"/>
        <v>0.9</v>
      </c>
      <c r="K21" s="324">
        <f t="shared" si="5"/>
        <v>0.9</v>
      </c>
      <c r="L21" s="324">
        <f t="shared" si="5"/>
        <v>0.9</v>
      </c>
      <c r="M21" s="324">
        <f t="shared" si="5"/>
        <v>0.9</v>
      </c>
      <c r="N21" s="324">
        <f t="shared" si="5"/>
        <v>0.9</v>
      </c>
      <c r="O21" s="324">
        <f t="shared" si="5"/>
        <v>0.9</v>
      </c>
      <c r="P21" s="324">
        <f t="shared" si="5"/>
        <v>0.9</v>
      </c>
      <c r="Q21" s="324">
        <f t="shared" si="5"/>
        <v>0.9</v>
      </c>
    </row>
    <row r="22" spans="2:22" x14ac:dyDescent="0.3">
      <c r="B22" s="4" t="s">
        <v>256</v>
      </c>
      <c r="F22" s="222">
        <f t="shared" ref="F22:Q22" si="6">F18*F21</f>
        <v>1412.7599999999998</v>
      </c>
      <c r="G22" s="222">
        <f t="shared" si="6"/>
        <v>1442.0400000000002</v>
      </c>
      <c r="H22" s="222">
        <f t="shared" si="6"/>
        <v>1478.3472000000002</v>
      </c>
      <c r="I22" s="222">
        <f t="shared" si="6"/>
        <v>1511.5799999999997</v>
      </c>
      <c r="J22" s="222">
        <f t="shared" si="6"/>
        <v>1584.414</v>
      </c>
      <c r="K22" s="222">
        <f t="shared" si="6"/>
        <v>1642.9740000000002</v>
      </c>
      <c r="L22" s="222">
        <f t="shared" si="6"/>
        <v>1674.816</v>
      </c>
      <c r="M22" s="222">
        <f t="shared" si="6"/>
        <v>1729.3500000000001</v>
      </c>
      <c r="N22" s="222">
        <f t="shared" si="6"/>
        <v>1786.0799999999997</v>
      </c>
      <c r="O22" s="222">
        <f t="shared" si="6"/>
        <v>1888.5600000000002</v>
      </c>
      <c r="P22" s="222">
        <f t="shared" si="6"/>
        <v>1934.3100000000002</v>
      </c>
      <c r="Q22" s="222">
        <f t="shared" si="6"/>
        <v>2071.5600000000004</v>
      </c>
    </row>
    <row r="23" spans="2:22" x14ac:dyDescent="0.3">
      <c r="B23" s="4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</row>
    <row r="24" spans="2:22" ht="15" customHeight="1" x14ac:dyDescent="0.3">
      <c r="B24" s="24"/>
      <c r="C24" s="330"/>
      <c r="D24" s="330"/>
      <c r="E24" s="330"/>
      <c r="F24" s="385" t="s">
        <v>260</v>
      </c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30"/>
      <c r="S24" s="330"/>
      <c r="T24" s="330"/>
      <c r="U24" s="330"/>
      <c r="V24" s="330"/>
    </row>
    <row r="25" spans="2:22" x14ac:dyDescent="0.3">
      <c r="B25" s="345" t="s">
        <v>290</v>
      </c>
      <c r="C25" s="343" t="s">
        <v>289</v>
      </c>
      <c r="D25" s="9">
        <v>135</v>
      </c>
      <c r="F25" s="324">
        <v>0.06</v>
      </c>
      <c r="G25" s="324">
        <v>0.06</v>
      </c>
      <c r="H25" s="324">
        <v>0.06</v>
      </c>
      <c r="I25" s="324">
        <v>0.06</v>
      </c>
      <c r="J25" s="324">
        <v>0.06</v>
      </c>
      <c r="K25" s="324">
        <v>0.06</v>
      </c>
      <c r="L25" s="324">
        <v>0.06</v>
      </c>
      <c r="M25" s="324">
        <v>0.06</v>
      </c>
      <c r="N25" s="324">
        <v>0.06</v>
      </c>
      <c r="O25" s="324">
        <v>0.06</v>
      </c>
      <c r="P25" s="324">
        <v>0.06</v>
      </c>
      <c r="Q25" s="324">
        <v>0.06</v>
      </c>
    </row>
    <row r="26" spans="2:22" x14ac:dyDescent="0.3">
      <c r="B26" s="345"/>
      <c r="C26" s="343"/>
      <c r="F26" s="331">
        <f t="shared" ref="F26:Q26" si="7">F22*F25</f>
        <v>84.765599999999978</v>
      </c>
      <c r="G26" s="331">
        <f t="shared" si="7"/>
        <v>86.522400000000005</v>
      </c>
      <c r="H26" s="331">
        <f t="shared" si="7"/>
        <v>88.700832000000005</v>
      </c>
      <c r="I26" s="331">
        <f t="shared" si="7"/>
        <v>90.694799999999972</v>
      </c>
      <c r="J26" s="331">
        <f t="shared" si="7"/>
        <v>95.06483999999999</v>
      </c>
      <c r="K26" s="331">
        <f t="shared" si="7"/>
        <v>98.578440000000001</v>
      </c>
      <c r="L26" s="331">
        <f t="shared" si="7"/>
        <v>100.48895999999999</v>
      </c>
      <c r="M26" s="331">
        <f t="shared" si="7"/>
        <v>103.76100000000001</v>
      </c>
      <c r="N26" s="331">
        <f t="shared" si="7"/>
        <v>107.16479999999997</v>
      </c>
      <c r="O26" s="331">
        <f t="shared" si="7"/>
        <v>113.31360000000001</v>
      </c>
      <c r="P26" s="331">
        <f t="shared" si="7"/>
        <v>116.05860000000001</v>
      </c>
      <c r="Q26" s="331">
        <f t="shared" si="7"/>
        <v>124.29360000000003</v>
      </c>
    </row>
    <row r="27" spans="2:22" x14ac:dyDescent="0.3">
      <c r="B27" s="345"/>
      <c r="C27" s="343"/>
      <c r="D27" s="386" t="s">
        <v>264</v>
      </c>
      <c r="E27" s="386"/>
      <c r="F27" s="321">
        <f t="shared" ref="F27:Q27" si="8">IF($B25&gt;" ", F26*$D25," ")</f>
        <v>11443.355999999996</v>
      </c>
      <c r="G27" s="321">
        <f t="shared" si="8"/>
        <v>11680.524000000001</v>
      </c>
      <c r="H27" s="321">
        <f t="shared" si="8"/>
        <v>11974.61232</v>
      </c>
      <c r="I27" s="321">
        <f t="shared" si="8"/>
        <v>12243.797999999997</v>
      </c>
      <c r="J27" s="321">
        <f t="shared" si="8"/>
        <v>12833.753399999998</v>
      </c>
      <c r="K27" s="321">
        <f t="shared" si="8"/>
        <v>13308.089400000001</v>
      </c>
      <c r="L27" s="321">
        <f t="shared" si="8"/>
        <v>13566.009599999999</v>
      </c>
      <c r="M27" s="321">
        <f t="shared" si="8"/>
        <v>14007.735000000001</v>
      </c>
      <c r="N27" s="321">
        <f t="shared" si="8"/>
        <v>14467.247999999996</v>
      </c>
      <c r="O27" s="321">
        <f t="shared" si="8"/>
        <v>15297.336000000001</v>
      </c>
      <c r="P27" s="321">
        <f t="shared" si="8"/>
        <v>15667.911000000002</v>
      </c>
      <c r="Q27" s="321">
        <f t="shared" si="8"/>
        <v>16779.636000000002</v>
      </c>
    </row>
    <row r="28" spans="2:22" x14ac:dyDescent="0.3">
      <c r="B28" s="345" t="s">
        <v>291</v>
      </c>
      <c r="C28" s="343" t="s">
        <v>289</v>
      </c>
      <c r="D28" s="9">
        <v>190</v>
      </c>
      <c r="F28" s="338">
        <v>0.06</v>
      </c>
      <c r="G28" s="338">
        <v>0.06</v>
      </c>
      <c r="H28" s="338">
        <v>0.06</v>
      </c>
      <c r="I28" s="338">
        <v>0.06</v>
      </c>
      <c r="J28" s="338">
        <v>0.06</v>
      </c>
      <c r="K28" s="338">
        <v>0.06</v>
      </c>
      <c r="L28" s="338">
        <v>0.06</v>
      </c>
      <c r="M28" s="338">
        <v>0.06</v>
      </c>
      <c r="N28" s="338">
        <v>0.06</v>
      </c>
      <c r="O28" s="338">
        <v>0.06</v>
      </c>
      <c r="P28" s="338">
        <v>0.06</v>
      </c>
      <c r="Q28" s="338">
        <v>0.06</v>
      </c>
    </row>
    <row r="29" spans="2:22" x14ac:dyDescent="0.3">
      <c r="B29" s="345"/>
      <c r="C29" s="343"/>
      <c r="F29" s="331">
        <f t="shared" ref="F29:Q29" si="9">F22*F28</f>
        <v>84.765599999999978</v>
      </c>
      <c r="G29" s="331">
        <f t="shared" si="9"/>
        <v>86.522400000000005</v>
      </c>
      <c r="H29" s="331">
        <f t="shared" si="9"/>
        <v>88.700832000000005</v>
      </c>
      <c r="I29" s="331">
        <f t="shared" si="9"/>
        <v>90.694799999999972</v>
      </c>
      <c r="J29" s="331">
        <f t="shared" si="9"/>
        <v>95.06483999999999</v>
      </c>
      <c r="K29" s="331">
        <f t="shared" si="9"/>
        <v>98.578440000000001</v>
      </c>
      <c r="L29" s="331">
        <f t="shared" si="9"/>
        <v>100.48895999999999</v>
      </c>
      <c r="M29" s="331">
        <f t="shared" si="9"/>
        <v>103.76100000000001</v>
      </c>
      <c r="N29" s="331">
        <f t="shared" si="9"/>
        <v>107.16479999999997</v>
      </c>
      <c r="O29" s="331">
        <f t="shared" si="9"/>
        <v>113.31360000000001</v>
      </c>
      <c r="P29" s="331">
        <f t="shared" si="9"/>
        <v>116.05860000000001</v>
      </c>
      <c r="Q29" s="331">
        <f t="shared" si="9"/>
        <v>124.29360000000003</v>
      </c>
    </row>
    <row r="30" spans="2:22" x14ac:dyDescent="0.3">
      <c r="B30" s="345"/>
      <c r="C30" s="343"/>
      <c r="D30" s="386" t="s">
        <v>264</v>
      </c>
      <c r="E30" s="386"/>
      <c r="F30" s="321">
        <f t="shared" ref="F30:Q30" si="10">IF($B28&gt;" ", F29*$D28," ")</f>
        <v>16105.463999999996</v>
      </c>
      <c r="G30" s="321">
        <f t="shared" si="10"/>
        <v>16439.256000000001</v>
      </c>
      <c r="H30" s="321">
        <f t="shared" si="10"/>
        <v>16853.158080000001</v>
      </c>
      <c r="I30" s="321">
        <f t="shared" si="10"/>
        <v>17232.011999999995</v>
      </c>
      <c r="J30" s="321">
        <f t="shared" si="10"/>
        <v>18062.319599999999</v>
      </c>
      <c r="K30" s="321">
        <f t="shared" si="10"/>
        <v>18729.903600000001</v>
      </c>
      <c r="L30" s="321">
        <f t="shared" si="10"/>
        <v>19092.902399999999</v>
      </c>
      <c r="M30" s="321">
        <f t="shared" si="10"/>
        <v>19714.59</v>
      </c>
      <c r="N30" s="321">
        <f t="shared" si="10"/>
        <v>20361.311999999994</v>
      </c>
      <c r="O30" s="321">
        <f t="shared" si="10"/>
        <v>21529.584000000003</v>
      </c>
      <c r="P30" s="321">
        <f t="shared" si="10"/>
        <v>22051.134000000002</v>
      </c>
      <c r="Q30" s="321">
        <f t="shared" si="10"/>
        <v>23615.784000000003</v>
      </c>
    </row>
    <row r="31" spans="2:22" x14ac:dyDescent="0.3">
      <c r="B31" s="345" t="s">
        <v>292</v>
      </c>
      <c r="C31" s="343" t="s">
        <v>289</v>
      </c>
      <c r="D31" s="9">
        <v>265</v>
      </c>
      <c r="F31" s="338">
        <v>0.12</v>
      </c>
      <c r="G31" s="338">
        <v>0.12</v>
      </c>
      <c r="H31" s="338">
        <v>0.12</v>
      </c>
      <c r="I31" s="338">
        <v>0.12</v>
      </c>
      <c r="J31" s="338">
        <v>0.12</v>
      </c>
      <c r="K31" s="338">
        <v>0.12</v>
      </c>
      <c r="L31" s="338">
        <v>0.12</v>
      </c>
      <c r="M31" s="338">
        <v>0.12</v>
      </c>
      <c r="N31" s="338">
        <v>0.12</v>
      </c>
      <c r="O31" s="338">
        <v>0.12</v>
      </c>
      <c r="P31" s="338">
        <v>0.12</v>
      </c>
      <c r="Q31" s="338">
        <v>0.12</v>
      </c>
    </row>
    <row r="32" spans="2:22" x14ac:dyDescent="0.3">
      <c r="B32" s="345"/>
      <c r="C32" s="343"/>
      <c r="F32" s="331">
        <f t="shared" ref="F32:Q32" si="11">F22*F31</f>
        <v>169.53119999999996</v>
      </c>
      <c r="G32" s="331">
        <f t="shared" si="11"/>
        <v>173.04480000000001</v>
      </c>
      <c r="H32" s="331">
        <f t="shared" si="11"/>
        <v>177.40166400000001</v>
      </c>
      <c r="I32" s="331">
        <f t="shared" si="11"/>
        <v>181.38959999999994</v>
      </c>
      <c r="J32" s="331">
        <f t="shared" si="11"/>
        <v>190.12967999999998</v>
      </c>
      <c r="K32" s="331">
        <f t="shared" si="11"/>
        <v>197.15688</v>
      </c>
      <c r="L32" s="331">
        <f t="shared" si="11"/>
        <v>200.97791999999998</v>
      </c>
      <c r="M32" s="331">
        <f t="shared" si="11"/>
        <v>207.52200000000002</v>
      </c>
      <c r="N32" s="331">
        <f t="shared" si="11"/>
        <v>214.32959999999994</v>
      </c>
      <c r="O32" s="331">
        <f t="shared" si="11"/>
        <v>226.62720000000002</v>
      </c>
      <c r="P32" s="331">
        <f t="shared" si="11"/>
        <v>232.11720000000003</v>
      </c>
      <c r="Q32" s="331">
        <f t="shared" si="11"/>
        <v>248.58720000000005</v>
      </c>
    </row>
    <row r="33" spans="2:23" x14ac:dyDescent="0.3">
      <c r="B33" s="345"/>
      <c r="C33" s="343"/>
      <c r="D33" s="386" t="s">
        <v>264</v>
      </c>
      <c r="E33" s="386"/>
      <c r="F33" s="321">
        <f t="shared" ref="F33:Q33" si="12">IF($B31&gt;" ", F32*$D31," ")</f>
        <v>44925.767999999989</v>
      </c>
      <c r="G33" s="321">
        <f t="shared" si="12"/>
        <v>45856.872000000003</v>
      </c>
      <c r="H33" s="321">
        <f t="shared" si="12"/>
        <v>47011.44096</v>
      </c>
      <c r="I33" s="321">
        <f t="shared" si="12"/>
        <v>48068.243999999984</v>
      </c>
      <c r="J33" s="321">
        <f t="shared" si="12"/>
        <v>50384.365199999993</v>
      </c>
      <c r="K33" s="321">
        <f t="shared" si="12"/>
        <v>52246.573199999999</v>
      </c>
      <c r="L33" s="321">
        <f t="shared" si="12"/>
        <v>53259.148799999995</v>
      </c>
      <c r="M33" s="321">
        <f t="shared" si="12"/>
        <v>54993.33</v>
      </c>
      <c r="N33" s="321">
        <f t="shared" si="12"/>
        <v>56797.343999999983</v>
      </c>
      <c r="O33" s="321">
        <f t="shared" si="12"/>
        <v>60056.208000000006</v>
      </c>
      <c r="P33" s="321">
        <f t="shared" si="12"/>
        <v>61511.058000000005</v>
      </c>
      <c r="Q33" s="321">
        <f t="shared" si="12"/>
        <v>65875.608000000007</v>
      </c>
    </row>
    <row r="34" spans="2:23" x14ac:dyDescent="0.3">
      <c r="B34" s="345" t="s">
        <v>294</v>
      </c>
      <c r="C34" s="343" t="s">
        <v>289</v>
      </c>
      <c r="D34" s="9">
        <v>380</v>
      </c>
      <c r="F34" s="338">
        <v>0.28000000000000003</v>
      </c>
      <c r="G34" s="338">
        <v>0.28000000000000003</v>
      </c>
      <c r="H34" s="338">
        <v>0.28000000000000003</v>
      </c>
      <c r="I34" s="338">
        <v>0.28000000000000003</v>
      </c>
      <c r="J34" s="338">
        <v>0.28000000000000003</v>
      </c>
      <c r="K34" s="338">
        <v>0.28000000000000003</v>
      </c>
      <c r="L34" s="338">
        <v>0.28000000000000003</v>
      </c>
      <c r="M34" s="338">
        <v>0.28000000000000003</v>
      </c>
      <c r="N34" s="338">
        <v>0.28000000000000003</v>
      </c>
      <c r="O34" s="338">
        <v>0.28000000000000003</v>
      </c>
      <c r="P34" s="338">
        <v>0.28000000000000003</v>
      </c>
      <c r="Q34" s="338">
        <v>0.28000000000000003</v>
      </c>
    </row>
    <row r="35" spans="2:23" ht="13.2" customHeight="1" x14ac:dyDescent="0.3">
      <c r="B35" s="345"/>
      <c r="C35" s="343"/>
      <c r="F35" s="331">
        <f t="shared" ref="F35:Q35" si="13">F22*F34</f>
        <v>395.57279999999997</v>
      </c>
      <c r="G35" s="331">
        <f t="shared" si="13"/>
        <v>403.77120000000008</v>
      </c>
      <c r="H35" s="331">
        <f t="shared" si="13"/>
        <v>413.93721600000009</v>
      </c>
      <c r="I35" s="331">
        <f t="shared" si="13"/>
        <v>423.24239999999998</v>
      </c>
      <c r="J35" s="331">
        <f t="shared" si="13"/>
        <v>443.63592000000006</v>
      </c>
      <c r="K35" s="331">
        <f t="shared" si="13"/>
        <v>460.0327200000001</v>
      </c>
      <c r="L35" s="331">
        <f t="shared" si="13"/>
        <v>468.94848000000007</v>
      </c>
      <c r="M35" s="331">
        <f t="shared" si="13"/>
        <v>484.21800000000007</v>
      </c>
      <c r="N35" s="331">
        <f t="shared" si="13"/>
        <v>500.10239999999999</v>
      </c>
      <c r="O35" s="331">
        <f t="shared" si="13"/>
        <v>528.79680000000008</v>
      </c>
      <c r="P35" s="331">
        <f t="shared" si="13"/>
        <v>541.60680000000013</v>
      </c>
      <c r="Q35" s="331">
        <f t="shared" si="13"/>
        <v>580.0368000000002</v>
      </c>
    </row>
    <row r="36" spans="2:23" ht="13.2" customHeight="1" x14ac:dyDescent="0.3">
      <c r="B36" s="345"/>
      <c r="C36" s="343"/>
      <c r="D36" s="386" t="s">
        <v>264</v>
      </c>
      <c r="E36" s="386"/>
      <c r="F36" s="140">
        <f t="shared" ref="F36:Q36" si="14">IF($B34&gt;" ", F35*$D34," ")</f>
        <v>150317.66399999999</v>
      </c>
      <c r="G36" s="140">
        <f t="shared" si="14"/>
        <v>153433.05600000004</v>
      </c>
      <c r="H36" s="140">
        <f t="shared" si="14"/>
        <v>157296.14208000005</v>
      </c>
      <c r="I36" s="140">
        <f t="shared" si="14"/>
        <v>160832.11199999999</v>
      </c>
      <c r="J36" s="140">
        <f t="shared" si="14"/>
        <v>168581.64960000003</v>
      </c>
      <c r="K36" s="140">
        <f t="shared" si="14"/>
        <v>174812.43360000005</v>
      </c>
      <c r="L36" s="140">
        <f t="shared" si="14"/>
        <v>178200.42240000004</v>
      </c>
      <c r="M36" s="140">
        <f t="shared" si="14"/>
        <v>184002.84000000003</v>
      </c>
      <c r="N36" s="140">
        <f t="shared" si="14"/>
        <v>190038.91199999998</v>
      </c>
      <c r="O36" s="140">
        <f t="shared" si="14"/>
        <v>200942.78400000004</v>
      </c>
      <c r="P36" s="140">
        <f t="shared" si="14"/>
        <v>205810.58400000006</v>
      </c>
      <c r="Q36" s="140">
        <f t="shared" si="14"/>
        <v>220413.98400000008</v>
      </c>
    </row>
    <row r="37" spans="2:23" x14ac:dyDescent="0.3">
      <c r="B37" s="345" t="s">
        <v>293</v>
      </c>
      <c r="C37" s="343" t="s">
        <v>289</v>
      </c>
      <c r="D37" s="9">
        <v>470</v>
      </c>
      <c r="F37" s="338">
        <v>0.48</v>
      </c>
      <c r="G37" s="338">
        <v>0.48</v>
      </c>
      <c r="H37" s="338">
        <v>0.48</v>
      </c>
      <c r="I37" s="338">
        <v>0.48</v>
      </c>
      <c r="J37" s="338">
        <v>0.48</v>
      </c>
      <c r="K37" s="338">
        <v>0.48</v>
      </c>
      <c r="L37" s="338">
        <v>0.48</v>
      </c>
      <c r="M37" s="338">
        <v>0.48</v>
      </c>
      <c r="N37" s="338">
        <v>0.48</v>
      </c>
      <c r="O37" s="338">
        <v>0.48</v>
      </c>
      <c r="P37" s="338">
        <v>0.48</v>
      </c>
      <c r="Q37" s="338">
        <v>0.48</v>
      </c>
    </row>
    <row r="38" spans="2:23" x14ac:dyDescent="0.3">
      <c r="B38" s="4"/>
      <c r="F38" s="331">
        <f t="shared" ref="F38:Q38" si="15">F22*F37</f>
        <v>678.12479999999982</v>
      </c>
      <c r="G38" s="331">
        <f t="shared" si="15"/>
        <v>692.17920000000004</v>
      </c>
      <c r="H38" s="331">
        <f t="shared" si="15"/>
        <v>709.60665600000004</v>
      </c>
      <c r="I38" s="331">
        <f t="shared" si="15"/>
        <v>725.55839999999978</v>
      </c>
      <c r="J38" s="331">
        <f t="shared" si="15"/>
        <v>760.51871999999992</v>
      </c>
      <c r="K38" s="331">
        <f t="shared" si="15"/>
        <v>788.62752</v>
      </c>
      <c r="L38" s="331">
        <f t="shared" si="15"/>
        <v>803.91167999999993</v>
      </c>
      <c r="M38" s="331">
        <f t="shared" si="15"/>
        <v>830.08800000000008</v>
      </c>
      <c r="N38" s="331">
        <f t="shared" si="15"/>
        <v>857.31839999999977</v>
      </c>
      <c r="O38" s="331">
        <f t="shared" si="15"/>
        <v>906.50880000000006</v>
      </c>
      <c r="P38" s="331">
        <f t="shared" si="15"/>
        <v>928.4688000000001</v>
      </c>
      <c r="Q38" s="331">
        <f t="shared" si="15"/>
        <v>994.34880000000021</v>
      </c>
    </row>
    <row r="39" spans="2:23" x14ac:dyDescent="0.3">
      <c r="B39" s="4"/>
      <c r="D39" s="386" t="s">
        <v>264</v>
      </c>
      <c r="E39" s="386"/>
      <c r="F39" s="321">
        <f t="shared" ref="F39:Q39" si="16">IF($B37&gt;" ", F38*$D37," ")</f>
        <v>318718.6559999999</v>
      </c>
      <c r="G39" s="321">
        <f t="shared" si="16"/>
        <v>325324.22400000005</v>
      </c>
      <c r="H39" s="321">
        <f t="shared" si="16"/>
        <v>333515.12832000002</v>
      </c>
      <c r="I39" s="321">
        <f t="shared" si="16"/>
        <v>341012.44799999992</v>
      </c>
      <c r="J39" s="321">
        <f t="shared" si="16"/>
        <v>357443.79839999997</v>
      </c>
      <c r="K39" s="321">
        <f t="shared" si="16"/>
        <v>370654.93440000003</v>
      </c>
      <c r="L39" s="321">
        <f t="shared" si="16"/>
        <v>377838.48959999997</v>
      </c>
      <c r="M39" s="321">
        <f t="shared" si="16"/>
        <v>390141.36000000004</v>
      </c>
      <c r="N39" s="321">
        <f t="shared" si="16"/>
        <v>402939.64799999987</v>
      </c>
      <c r="O39" s="321">
        <f t="shared" si="16"/>
        <v>426059.13600000006</v>
      </c>
      <c r="P39" s="321">
        <f t="shared" si="16"/>
        <v>436380.33600000007</v>
      </c>
      <c r="Q39" s="321">
        <f t="shared" si="16"/>
        <v>467343.9360000001</v>
      </c>
    </row>
    <row r="40" spans="2:23" ht="13.2" customHeight="1" x14ac:dyDescent="0.3">
      <c r="B40" s="339"/>
      <c r="C40" s="334"/>
      <c r="D40" s="334"/>
      <c r="E40" s="334"/>
      <c r="F40" s="335">
        <f>SUM(F25+F28+F31+F34+F37)</f>
        <v>1</v>
      </c>
      <c r="G40" s="335">
        <f t="shared" ref="G40:J40" si="17">SUM(G25+G28+G31+G34+G37)</f>
        <v>1</v>
      </c>
      <c r="H40" s="335">
        <f t="shared" si="17"/>
        <v>1</v>
      </c>
      <c r="I40" s="335">
        <f t="shared" si="17"/>
        <v>1</v>
      </c>
      <c r="J40" s="335">
        <f t="shared" si="17"/>
        <v>1</v>
      </c>
      <c r="K40" s="335">
        <f t="shared" ref="K40:Q40" si="18">SUM(K25+K28+K31+K34+K37)</f>
        <v>1</v>
      </c>
      <c r="L40" s="335">
        <f t="shared" si="18"/>
        <v>1</v>
      </c>
      <c r="M40" s="335">
        <f t="shared" si="18"/>
        <v>1</v>
      </c>
      <c r="N40" s="335">
        <f t="shared" si="18"/>
        <v>1</v>
      </c>
      <c r="O40" s="335">
        <f t="shared" si="18"/>
        <v>1</v>
      </c>
      <c r="P40" s="335">
        <f t="shared" si="18"/>
        <v>1</v>
      </c>
      <c r="Q40" s="335">
        <f t="shared" si="18"/>
        <v>1</v>
      </c>
      <c r="R40" s="216"/>
      <c r="S40" s="216"/>
      <c r="T40" s="216"/>
      <c r="U40" s="216"/>
      <c r="V40" s="216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40"/>
      <c r="C42" s="205"/>
      <c r="D42" s="341"/>
      <c r="F42" s="340" t="s">
        <v>19</v>
      </c>
      <c r="G42" s="205"/>
      <c r="H42" s="205"/>
      <c r="I42" s="205"/>
      <c r="J42" s="341"/>
      <c r="L42" s="382" t="s">
        <v>270</v>
      </c>
      <c r="M42" s="382"/>
      <c r="N42" s="382"/>
      <c r="O42" s="382"/>
      <c r="P42" s="382"/>
      <c r="Q42" s="382"/>
      <c r="R42" s="382" t="s">
        <v>271</v>
      </c>
      <c r="S42" s="382"/>
      <c r="T42" s="382"/>
      <c r="U42" s="382"/>
      <c r="V42" s="382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42"/>
      <c r="M43" s="342"/>
      <c r="N43" s="342"/>
      <c r="O43" s="342"/>
      <c r="P43" s="342"/>
      <c r="Q43" s="342"/>
      <c r="R43" s="342"/>
      <c r="S43" s="342"/>
      <c r="T43" s="342"/>
      <c r="U43" s="342"/>
      <c r="V43" s="342"/>
      <c r="W43" s="13"/>
    </row>
    <row r="44" spans="2:23" x14ac:dyDescent="0.3">
      <c r="B44" s="4" t="s">
        <v>125</v>
      </c>
      <c r="D44" s="5"/>
      <c r="F44" s="18">
        <f>'IS 2023'!U17</f>
        <v>7726098.0669600004</v>
      </c>
      <c r="G44" s="1">
        <f>'IS 2024'!U17</f>
        <v>10062843.894000001</v>
      </c>
      <c r="H44" s="1">
        <f>'IS 2025'!U17</f>
        <v>10310913.874392858</v>
      </c>
      <c r="I44" s="1">
        <f>'IS 2026'!U17</f>
        <v>11289186.37125</v>
      </c>
      <c r="J44" s="196">
        <f>'IS 2027'!U17</f>
        <v>12734515.804499999</v>
      </c>
      <c r="K44" s="1"/>
    </row>
    <row r="45" spans="2:23" x14ac:dyDescent="0.3">
      <c r="B45" s="4" t="s">
        <v>3</v>
      </c>
      <c r="D45" s="5"/>
      <c r="F45" s="18">
        <f>'IS 2023'!U18</f>
        <v>-390528</v>
      </c>
      <c r="G45" s="1">
        <f>'IS 2024'!U18</f>
        <v>-390528</v>
      </c>
      <c r="H45" s="1">
        <f>'IS 2025'!U18</f>
        <v>-390528</v>
      </c>
      <c r="I45" s="1">
        <f>'IS 2026'!U18</f>
        <v>-390528</v>
      </c>
      <c r="J45" s="196">
        <f>'IS 2027'!U18</f>
        <v>-449528</v>
      </c>
      <c r="K45" s="1"/>
    </row>
    <row r="46" spans="2:23" x14ac:dyDescent="0.3">
      <c r="B46" s="4" t="s">
        <v>4</v>
      </c>
      <c r="D46" s="5"/>
      <c r="F46" s="18">
        <f>F44-F45-F48-F49-F50</f>
        <v>9089704.0669599995</v>
      </c>
      <c r="G46" s="1">
        <f>G44-G45-G48-G49-G50</f>
        <v>11426449.894000001</v>
      </c>
      <c r="H46" s="1">
        <f>H44-H45-H48-H49-H50</f>
        <v>11674519.874392858</v>
      </c>
      <c r="I46" s="1">
        <f>I44-I45-I48-I49-I50</f>
        <v>12652792.37125</v>
      </c>
      <c r="J46" s="196">
        <f>J44-J45-J48-J49-J50</f>
        <v>14157121.804499999</v>
      </c>
      <c r="K46" s="1"/>
    </row>
    <row r="47" spans="2:23" x14ac:dyDescent="0.3">
      <c r="B47" s="4" t="s">
        <v>30</v>
      </c>
      <c r="D47" s="5"/>
      <c r="F47" s="197">
        <f>F46/F44</f>
        <v>1.1764934884571741</v>
      </c>
      <c r="G47" s="19">
        <f>G46/G44</f>
        <v>1.1355090086226076</v>
      </c>
      <c r="H47" s="19">
        <f>H46/H44</f>
        <v>1.1322488012809915</v>
      </c>
      <c r="I47" s="19">
        <f>I46/I44</f>
        <v>1.1207886870813537</v>
      </c>
      <c r="J47" s="198">
        <f>J46/J44</f>
        <v>1.1117126101879189</v>
      </c>
      <c r="K47" s="19"/>
    </row>
    <row r="48" spans="2:23" x14ac:dyDescent="0.3">
      <c r="B48" s="4" t="s">
        <v>5</v>
      </c>
      <c r="D48" s="5"/>
      <c r="F48" s="18">
        <f>'IS 2023'!U39</f>
        <v>-540756</v>
      </c>
      <c r="G48" s="1">
        <f>'IS 2024'!U40</f>
        <v>-540756</v>
      </c>
      <c r="H48" s="1">
        <f>'IS 2025'!U39</f>
        <v>-540756</v>
      </c>
      <c r="I48" s="1">
        <f>'IS 2026'!U38</f>
        <v>-540756</v>
      </c>
      <c r="J48" s="196">
        <f>'IS 2027'!U38</f>
        <v>-540756</v>
      </c>
      <c r="K48" s="1"/>
    </row>
    <row r="49" spans="2:11" x14ac:dyDescent="0.3">
      <c r="B49" s="4" t="s">
        <v>6</v>
      </c>
      <c r="D49" s="5"/>
      <c r="F49" s="18">
        <f>'IS 2023'!U38</f>
        <v>-333322</v>
      </c>
      <c r="G49" s="1">
        <f>'IS 2024'!U39</f>
        <v>-333322</v>
      </c>
      <c r="H49" s="1">
        <f>'IS 2025'!U38</f>
        <v>-333322</v>
      </c>
      <c r="I49" s="1">
        <f>'IS 2026'!U37</f>
        <v>-333322</v>
      </c>
      <c r="J49" s="196">
        <f>'IS 2027'!U37</f>
        <v>-333322</v>
      </c>
      <c r="K49" s="1"/>
    </row>
    <row r="50" spans="2:11" x14ac:dyDescent="0.3">
      <c r="B50" s="4" t="s">
        <v>7</v>
      </c>
      <c r="D50" s="5"/>
      <c r="F50" s="18">
        <f>'IS 2023'!U58</f>
        <v>-99000</v>
      </c>
      <c r="G50" s="1">
        <f>'IS 2024'!U59</f>
        <v>-99000</v>
      </c>
      <c r="H50" s="1">
        <f>'IS 2025'!U58</f>
        <v>-99000</v>
      </c>
      <c r="I50" s="1">
        <f>'IS 2026'!U56</f>
        <v>-99000</v>
      </c>
      <c r="J50" s="196">
        <f>'IS 2027'!U56</f>
        <v>-99000</v>
      </c>
      <c r="K50" s="1"/>
    </row>
    <row r="51" spans="2:11" x14ac:dyDescent="0.3">
      <c r="B51" s="4" t="s">
        <v>8</v>
      </c>
      <c r="D51" s="5"/>
      <c r="F51" s="18">
        <f>F60/F44*100</f>
        <v>71.47978715394413</v>
      </c>
      <c r="G51" s="1">
        <f>F60/F44*100</f>
        <v>71.47978715394413</v>
      </c>
      <c r="H51" s="1">
        <f>F60/F44*100</f>
        <v>71.47978715394413</v>
      </c>
      <c r="I51" s="1">
        <f>I60/I44*100</f>
        <v>74.168933186571948</v>
      </c>
      <c r="J51" s="196">
        <f>J60/J44*100</f>
        <v>74.460095610775383</v>
      </c>
      <c r="K51" s="1"/>
    </row>
    <row r="52" spans="2:11" x14ac:dyDescent="0.3">
      <c r="B52" s="4" t="s">
        <v>9</v>
      </c>
      <c r="D52" s="5"/>
      <c r="F52" s="197">
        <f>F60/F44</f>
        <v>0.7147978715394413</v>
      </c>
      <c r="G52" s="19">
        <f>G60/G44</f>
        <v>0.73458310524001058</v>
      </c>
      <c r="H52" s="19">
        <f>H60/H44</f>
        <v>0.73615696842984624</v>
      </c>
      <c r="I52" s="19">
        <f>I60/I44</f>
        <v>0.7416893318657195</v>
      </c>
      <c r="J52" s="198">
        <f>J60/J44</f>
        <v>0.74460095610775379</v>
      </c>
      <c r="K52" s="19"/>
    </row>
    <row r="53" spans="2:11" x14ac:dyDescent="0.3">
      <c r="B53" s="4" t="s">
        <v>10</v>
      </c>
      <c r="D53" s="5"/>
      <c r="F53" s="18">
        <f>'IS 2023'!U59</f>
        <v>6903248.0669600004</v>
      </c>
      <c r="G53" s="1">
        <f>'IS 2024'!U60</f>
        <v>9239993.8940000013</v>
      </c>
      <c r="H53" s="1">
        <f>'IS 2025'!U59</f>
        <v>9488063.8743928578</v>
      </c>
      <c r="I53" s="1">
        <f>'IS 2025'!U59</f>
        <v>9488063.8743928578</v>
      </c>
      <c r="J53" s="196">
        <f>'IS 2027'!U57</f>
        <v>11852665.804499999</v>
      </c>
      <c r="K53" s="1"/>
    </row>
    <row r="54" spans="2:11" x14ac:dyDescent="0.3">
      <c r="B54" s="4" t="s">
        <v>22</v>
      </c>
      <c r="D54" s="5"/>
      <c r="F54" s="197">
        <f>F53/F44</f>
        <v>0.89349733942430165</v>
      </c>
      <c r="G54" s="19">
        <f>F53/F44</f>
        <v>0.89349733942430165</v>
      </c>
      <c r="H54" s="19">
        <f>F53/F44</f>
        <v>0.89349733942430165</v>
      </c>
      <c r="I54" s="19">
        <f>I53/I44</f>
        <v>0.840455951595942</v>
      </c>
      <c r="J54" s="198">
        <f>J53/J44</f>
        <v>0.93075119513469207</v>
      </c>
      <c r="K54" s="19"/>
    </row>
    <row r="55" spans="2:11" x14ac:dyDescent="0.3">
      <c r="B55" s="4" t="s">
        <v>11</v>
      </c>
      <c r="D55" s="5"/>
      <c r="F55" s="18">
        <f>'IS 2023'!U60</f>
        <v>-20532</v>
      </c>
      <c r="G55" s="1">
        <f>'IS 2024'!U61</f>
        <v>-17800</v>
      </c>
      <c r="H55" s="1">
        <f>'IS 2025'!U60</f>
        <v>-21149</v>
      </c>
      <c r="I55" s="1">
        <f>'IS 2026'!U58</f>
        <v>-21537</v>
      </c>
      <c r="J55" s="196">
        <f>'IS 2027'!U58</f>
        <v>-21292</v>
      </c>
      <c r="K55" s="1"/>
    </row>
    <row r="56" spans="2:11" x14ac:dyDescent="0.3">
      <c r="B56" s="4" t="s">
        <v>12</v>
      </c>
      <c r="D56" s="5"/>
      <c r="F56" s="18">
        <f>'IS 2023'!U61</f>
        <v>6882716.0669600004</v>
      </c>
      <c r="G56" s="1">
        <f>'IS 2024'!U62</f>
        <v>9222193.8940000013</v>
      </c>
      <c r="H56" s="1">
        <f>'IS 2025'!U61</f>
        <v>9498112.8743928578</v>
      </c>
      <c r="I56" s="1">
        <f>'IS 2026'!U59</f>
        <v>10444799.371249998</v>
      </c>
      <c r="J56" s="196">
        <f>'IS 2027'!U59</f>
        <v>11831373.804499999</v>
      </c>
      <c r="K56" s="1"/>
    </row>
    <row r="57" spans="2:11" x14ac:dyDescent="0.3">
      <c r="B57" s="4" t="s">
        <v>13</v>
      </c>
      <c r="D57" s="5"/>
      <c r="F57" s="18">
        <f>'IS 2023'!U62</f>
        <v>-858002.4</v>
      </c>
      <c r="G57" s="1">
        <f>'IS 2024'!U63</f>
        <v>-373644</v>
      </c>
      <c r="H57" s="1">
        <f>'IS 2025'!U62</f>
        <v>0</v>
      </c>
      <c r="I57" s="1">
        <f>'IS 2026'!U60</f>
        <v>0</v>
      </c>
      <c r="J57" s="196">
        <f>'IS 2027'!U60</f>
        <v>0</v>
      </c>
      <c r="K57" s="1"/>
    </row>
    <row r="58" spans="2:11" x14ac:dyDescent="0.3">
      <c r="B58" s="4" t="s">
        <v>14</v>
      </c>
      <c r="D58" s="5"/>
      <c r="F58" s="18">
        <f>'IS 2023'!U63</f>
        <v>6903248.0669600004</v>
      </c>
      <c r="G58" s="1">
        <f>'IS 2024'!U64</f>
        <v>9239993.8940000013</v>
      </c>
      <c r="H58" s="1">
        <f>'IS 2025'!U63</f>
        <v>9488063.8743928578</v>
      </c>
      <c r="I58" s="1">
        <f>'IS 2026'!U61</f>
        <v>10466336.371249998</v>
      </c>
      <c r="J58" s="196">
        <f>'IS 2027'!U61</f>
        <v>11852665.804499999</v>
      </c>
      <c r="K58" s="1"/>
    </row>
    <row r="59" spans="2:11" x14ac:dyDescent="0.3">
      <c r="B59" s="4" t="s">
        <v>15</v>
      </c>
      <c r="D59" s="5"/>
      <c r="F59" s="18">
        <f>'IS 2023'!U64</f>
        <v>-1380649.6133920001</v>
      </c>
      <c r="G59" s="1">
        <f>'IS 2024'!U65</f>
        <v>-1847998.7788000004</v>
      </c>
      <c r="H59" s="1">
        <f>'IS 2025'!U64</f>
        <v>-1897612.7748785717</v>
      </c>
      <c r="I59" s="1">
        <f>'IS 2026'!U62</f>
        <v>-2093267.27425</v>
      </c>
      <c r="J59" s="196">
        <f>'IS 2027'!U62</f>
        <v>-2370533.1609</v>
      </c>
      <c r="K59" s="1"/>
    </row>
    <row r="60" spans="2:11" x14ac:dyDescent="0.3">
      <c r="B60" s="4" t="s">
        <v>16</v>
      </c>
      <c r="D60" s="5"/>
      <c r="F60" s="18">
        <f>'IS 2023'!U65</f>
        <v>5522598.4535680003</v>
      </c>
      <c r="G60" s="1">
        <f>'IS 2024'!U66</f>
        <v>7391995.1152000008</v>
      </c>
      <c r="H60" s="1">
        <f>'IS 2025'!U65</f>
        <v>7590451.099514286</v>
      </c>
      <c r="I60" s="1">
        <f>'IS 2026'!U63</f>
        <v>8373069.0969999991</v>
      </c>
      <c r="J60" s="196">
        <f>'IS 2027'!U63</f>
        <v>9482132.6436000001</v>
      </c>
      <c r="K60" s="1"/>
    </row>
    <row r="61" spans="2:11" x14ac:dyDescent="0.3">
      <c r="B61" s="4" t="s">
        <v>17</v>
      </c>
      <c r="D61" s="5"/>
      <c r="F61" s="197">
        <f>F60/F44</f>
        <v>0.7147978715394413</v>
      </c>
      <c r="G61" s="19">
        <f>G60/G44</f>
        <v>0.73458310524001058</v>
      </c>
      <c r="H61" s="19">
        <f>H60/H44</f>
        <v>0.73615696842984624</v>
      </c>
      <c r="I61" s="19">
        <f>I60/I44</f>
        <v>0.7416893318657195</v>
      </c>
      <c r="J61" s="198">
        <f>J60/J44</f>
        <v>0.74460095610775379</v>
      </c>
      <c r="K61" s="19"/>
    </row>
    <row r="62" spans="2:11" x14ac:dyDescent="0.3">
      <c r="B62" s="4" t="s">
        <v>156</v>
      </c>
      <c r="D62" s="5"/>
      <c r="F62" s="18">
        <f>F60-F50-F55</f>
        <v>5642130.4535680003</v>
      </c>
      <c r="G62" s="1">
        <f>G60-G50-G55</f>
        <v>7508795.1152000008</v>
      </c>
      <c r="H62" s="1">
        <f>H60-H50-H55</f>
        <v>7710600.099514286</v>
      </c>
      <c r="I62" s="1">
        <f>I60-I50-I55</f>
        <v>8493606.0969999991</v>
      </c>
      <c r="J62" s="196">
        <f>J60-J50-J55</f>
        <v>9602424.6436000001</v>
      </c>
      <c r="K62" s="1"/>
    </row>
    <row r="63" spans="2:11" x14ac:dyDescent="0.3">
      <c r="B63" s="6" t="s">
        <v>155</v>
      </c>
      <c r="C63" s="344"/>
      <c r="D63" s="7"/>
      <c r="F63" s="199">
        <f>F62-F48-F49-F50</f>
        <v>6615208.4535680003</v>
      </c>
      <c r="G63" s="20">
        <f>G62-G48-G49-G50</f>
        <v>8481873.1152000017</v>
      </c>
      <c r="H63" s="20">
        <f>H62-H48-H49-H50</f>
        <v>8683678.099514287</v>
      </c>
      <c r="I63" s="20">
        <f>I62-I48-I49-I50</f>
        <v>9466684.0969999991</v>
      </c>
      <c r="J63" s="200">
        <f>J62-J48-J49-J50</f>
        <v>10575502.6436</v>
      </c>
      <c r="K63" s="1"/>
    </row>
  </sheetData>
  <mergeCells count="10">
    <mergeCell ref="D27:E27"/>
    <mergeCell ref="D30:E30"/>
    <mergeCell ref="D33:E33"/>
    <mergeCell ref="D36:E36"/>
    <mergeCell ref="D39:E39"/>
    <mergeCell ref="L42:Q42"/>
    <mergeCell ref="R42:V42"/>
    <mergeCell ref="F6:Q6"/>
    <mergeCell ref="F16:Q16"/>
    <mergeCell ref="F24:Q24"/>
  </mergeCells>
  <phoneticPr fontId="7" type="noConversion"/>
  <conditionalFormatting sqref="F40:Q40">
    <cfRule type="cellIs" dxfId="4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ignoredErrors>
    <ignoredError sqref="F21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7915F-497A-4FE1-ACBC-C8FD0309DFA3}">
  <sheetPr codeName="Sheet4"/>
  <dimension ref="B2:V101"/>
  <sheetViews>
    <sheetView showGridLines="0" topLeftCell="A43" zoomScale="95" zoomScaleNormal="95" workbookViewId="0">
      <selection activeCell="K49" sqref="K49"/>
    </sheetView>
  </sheetViews>
  <sheetFormatPr defaultRowHeight="14.4" x14ac:dyDescent="0.3"/>
  <cols>
    <col min="1" max="1" width="4.5546875" customWidth="1"/>
    <col min="5" max="5" width="11.109375" customWidth="1"/>
    <col min="6" max="6" width="11.6640625" bestFit="1" customWidth="1"/>
    <col min="7" max="9" width="11.21875" customWidth="1"/>
    <col min="10" max="10" width="4.33203125" customWidth="1"/>
    <col min="11" max="11" width="10.109375" customWidth="1"/>
    <col min="12" max="14" width="10.5546875" bestFit="1" customWidth="1"/>
    <col min="15" max="15" width="10.33203125" customWidth="1"/>
    <col min="16" max="22" width="10.5546875" bestFit="1" customWidth="1"/>
  </cols>
  <sheetData>
    <row r="2" spans="2:22" x14ac:dyDescent="0.3">
      <c r="B2" s="183" t="s">
        <v>275</v>
      </c>
      <c r="C2" s="183"/>
      <c r="D2" s="183"/>
      <c r="E2" s="183"/>
      <c r="F2" s="156"/>
      <c r="G2" s="156"/>
      <c r="H2" s="156"/>
      <c r="I2" s="156"/>
      <c r="J2" s="156"/>
      <c r="K2" s="387" t="s">
        <v>213</v>
      </c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</row>
    <row r="4" spans="2:22" x14ac:dyDescent="0.3">
      <c r="B4" s="201" t="s">
        <v>27</v>
      </c>
      <c r="C4" s="201"/>
      <c r="D4" s="201"/>
      <c r="E4" s="202">
        <v>2023</v>
      </c>
      <c r="F4" s="202">
        <v>2024</v>
      </c>
      <c r="G4" s="202">
        <v>2025</v>
      </c>
      <c r="H4" s="202">
        <v>2026</v>
      </c>
      <c r="I4" s="202">
        <v>2027</v>
      </c>
      <c r="J4" s="201"/>
      <c r="K4" s="202" t="s">
        <v>32</v>
      </c>
      <c r="L4" s="202" t="s">
        <v>33</v>
      </c>
      <c r="M4" s="202" t="s">
        <v>34</v>
      </c>
      <c r="N4" s="202" t="s">
        <v>35</v>
      </c>
      <c r="O4" s="202" t="s">
        <v>36</v>
      </c>
      <c r="P4" s="202" t="s">
        <v>37</v>
      </c>
      <c r="Q4" s="202" t="s">
        <v>38</v>
      </c>
      <c r="R4" s="202" t="s">
        <v>39</v>
      </c>
      <c r="S4" s="202" t="s">
        <v>40</v>
      </c>
      <c r="T4" s="202" t="s">
        <v>41</v>
      </c>
      <c r="U4" s="202" t="s">
        <v>42</v>
      </c>
      <c r="V4" s="202" t="s">
        <v>43</v>
      </c>
    </row>
    <row r="5" spans="2:22" x14ac:dyDescent="0.3">
      <c r="B5" t="s">
        <v>44</v>
      </c>
      <c r="E5" s="213">
        <f>'Statements Summary 2023'!V5</f>
        <v>794028.94800000021</v>
      </c>
      <c r="F5" s="213">
        <f t="shared" ref="F5:F17" si="0">V5</f>
        <v>860665.65300000017</v>
      </c>
      <c r="G5" s="213">
        <f>'Statements Summary 2025'!V5</f>
        <v>880113.33675000002</v>
      </c>
      <c r="H5" s="213">
        <f>'Statements Summary 2026'!V5</f>
        <v>994677.8737499998</v>
      </c>
      <c r="I5" s="213">
        <f>'Statements Summary 2027'!V5</f>
        <v>1115374.2525000002</v>
      </c>
      <c r="K5" s="213">
        <f>'CF 2024'!G11</f>
        <v>794028.94800000021</v>
      </c>
      <c r="L5" s="213">
        <f>'CF 2024'!H11</f>
        <v>805251.97199999995</v>
      </c>
      <c r="M5" s="213">
        <f>'CF 2024'!I11</f>
        <v>816474.99600000004</v>
      </c>
      <c r="N5" s="213">
        <f>'CF 2024'!J11</f>
        <v>827698.02</v>
      </c>
      <c r="O5" s="213">
        <f>'CF 2024'!K11</f>
        <v>822086.50800000015</v>
      </c>
      <c r="P5" s="213">
        <f>'CF 2024'!L11</f>
        <v>829100.89799999993</v>
      </c>
      <c r="Q5" s="213">
        <f>'CF 2024'!M11</f>
        <v>852949.82400000014</v>
      </c>
      <c r="R5" s="213">
        <f>'CF 2024'!N11</f>
        <v>843129.67799999984</v>
      </c>
      <c r="S5" s="213">
        <f>'CF 2024'!O11</f>
        <v>875395.87200000009</v>
      </c>
      <c r="T5" s="213">
        <f>'CF 2024'!P11</f>
        <v>878903.06700000004</v>
      </c>
      <c r="U5" s="213">
        <f>'CF 2024'!Q11</f>
        <v>857158.4580000001</v>
      </c>
      <c r="V5" s="213">
        <f>'CF 2024'!R11</f>
        <v>860665.65300000017</v>
      </c>
    </row>
    <row r="6" spans="2:22" x14ac:dyDescent="0.3">
      <c r="B6" t="s">
        <v>45</v>
      </c>
      <c r="E6" s="213">
        <f>'Statements Summary 2023'!V6</f>
        <v>-200</v>
      </c>
      <c r="F6" s="213">
        <f t="shared" si="0"/>
        <v>-200</v>
      </c>
      <c r="G6" s="213">
        <f>'Statements Summary 2025'!V6</f>
        <v>-200</v>
      </c>
      <c r="H6" s="213">
        <f>'Statements Summary 2026'!V6</f>
        <v>-200</v>
      </c>
      <c r="I6" s="213">
        <f>'Statements Summary 2027'!V6</f>
        <v>-200</v>
      </c>
      <c r="K6" s="213">
        <f>'CF 2024'!G19</f>
        <v>-200</v>
      </c>
      <c r="L6" s="213">
        <f>'CF 2024'!H19</f>
        <v>-200</v>
      </c>
      <c r="M6" s="213">
        <f>'CF 2024'!I19</f>
        <v>-200</v>
      </c>
      <c r="N6" s="213">
        <f>'CF 2024'!J19</f>
        <v>-200</v>
      </c>
      <c r="O6" s="213">
        <f>'CF 2024'!K19</f>
        <v>-200</v>
      </c>
      <c r="P6" s="213">
        <f>'CF 2024'!L19</f>
        <v>-200</v>
      </c>
      <c r="Q6" s="213">
        <f>'CF 2024'!M19</f>
        <v>-200</v>
      </c>
      <c r="R6" s="213">
        <f>'CF 2024'!N19</f>
        <v>-200</v>
      </c>
      <c r="S6" s="213">
        <f>'CF 2024'!O19</f>
        <v>-200</v>
      </c>
      <c r="T6" s="213">
        <f>'CF 2024'!P19</f>
        <v>-200</v>
      </c>
      <c r="U6" s="213">
        <f>'CF 2024'!Q19</f>
        <v>-200</v>
      </c>
      <c r="V6" s="213">
        <f>'CF 2024'!R19</f>
        <v>-200</v>
      </c>
    </row>
    <row r="7" spans="2:22" x14ac:dyDescent="0.3">
      <c r="B7" t="s">
        <v>46</v>
      </c>
      <c r="E7" s="213">
        <f>'Statements Summary 2023'!V7</f>
        <v>-16818</v>
      </c>
      <c r="F7" s="213">
        <f t="shared" si="0"/>
        <v>-16818</v>
      </c>
      <c r="G7" s="213">
        <f>'Statements Summary 2025'!V7</f>
        <v>0</v>
      </c>
      <c r="H7" s="213">
        <f>'Statements Summary 2026'!V7</f>
        <v>0</v>
      </c>
      <c r="I7" s="213">
        <f>'Statements Summary 2027'!V7</f>
        <v>0</v>
      </c>
      <c r="K7" s="213" t="s">
        <v>205</v>
      </c>
      <c r="L7" s="213">
        <f>'CF 2024'!H35</f>
        <v>-16818</v>
      </c>
      <c r="M7" s="213">
        <f>'CF 2024'!I35</f>
        <v>-16818</v>
      </c>
      <c r="N7" s="213">
        <f>'CF 2024'!J35</f>
        <v>-16818</v>
      </c>
      <c r="O7" s="213">
        <f>'CF 2024'!K35</f>
        <v>-16818</v>
      </c>
      <c r="P7" s="213">
        <f>'CF 2024'!L35</f>
        <v>-16818</v>
      </c>
      <c r="Q7" s="213">
        <f>'CF 2024'!M35</f>
        <v>-16818</v>
      </c>
      <c r="R7" s="213">
        <f>'CF 2024'!N35</f>
        <v>-16818</v>
      </c>
      <c r="S7" s="213">
        <f>'CF 2024'!O35</f>
        <v>-16818</v>
      </c>
      <c r="T7" s="213">
        <f>'CF 2024'!P35</f>
        <v>-16818</v>
      </c>
      <c r="U7" s="213">
        <f>'CF 2024'!Q35</f>
        <v>-16818</v>
      </c>
      <c r="V7" s="213">
        <f>'CF 2024'!R35</f>
        <v>-16818</v>
      </c>
    </row>
    <row r="8" spans="2:22" x14ac:dyDescent="0.3">
      <c r="B8" t="s">
        <v>18</v>
      </c>
      <c r="E8" s="213">
        <f>'Statements Summary 2023'!V8</f>
        <v>571786.75840000017</v>
      </c>
      <c r="F8" s="213">
        <f t="shared" si="0"/>
        <v>625096.12240000011</v>
      </c>
      <c r="G8" s="213">
        <f>'Statements Summary 2025'!V8</f>
        <v>715545.26939999999</v>
      </c>
      <c r="H8" s="213">
        <f>'Statements Summary 2026'!V8</f>
        <v>749123.89899999986</v>
      </c>
      <c r="I8" s="213">
        <f>'Statements Summary 2027'!V8</f>
        <v>840961.00200000009</v>
      </c>
      <c r="K8" s="213">
        <f>'CF 2024'!G24</f>
        <v>562799.55840000021</v>
      </c>
      <c r="L8" s="213">
        <f>'CF 2024'!H24</f>
        <v>571777.97759999998</v>
      </c>
      <c r="M8" s="213">
        <f>'CF 2024'!I24</f>
        <v>580756.39679999999</v>
      </c>
      <c r="N8" s="213">
        <f>'CF 2024'!J24</f>
        <v>589734.81599999999</v>
      </c>
      <c r="O8" s="213">
        <f>'CF 2024'!K24</f>
        <v>585245.60640000016</v>
      </c>
      <c r="P8" s="213">
        <f>'CF 2024'!L24</f>
        <v>590857.11839999992</v>
      </c>
      <c r="Q8" s="213">
        <f>'CF 2024'!M24</f>
        <v>609936.25920000009</v>
      </c>
      <c r="R8" s="213">
        <f>'CF 2024'!N24</f>
        <v>602080.1423999999</v>
      </c>
      <c r="S8" s="213">
        <f>'CF 2024'!O24</f>
        <v>627893.0976000001</v>
      </c>
      <c r="T8" s="213">
        <f>'CF 2024'!P24</f>
        <v>630698.85360000003</v>
      </c>
      <c r="U8" s="213">
        <f>'CF 2024'!Q24</f>
        <v>613303.1664000001</v>
      </c>
      <c r="V8" s="213">
        <f>'CF 2024'!R24</f>
        <v>625096.12240000011</v>
      </c>
    </row>
    <row r="9" spans="2:22" x14ac:dyDescent="0.3">
      <c r="B9" t="s">
        <v>47</v>
      </c>
      <c r="E9" s="213" t="str">
        <f>'Statements Summary 2023'!V9</f>
        <v>-</v>
      </c>
      <c r="F9" s="213" t="str">
        <f t="shared" si="0"/>
        <v>-</v>
      </c>
      <c r="G9" s="213">
        <f>'Statements Summary 2025'!V9</f>
        <v>0</v>
      </c>
      <c r="H9" s="213">
        <f>'Statements Summary 2026'!V9</f>
        <v>0</v>
      </c>
      <c r="I9" s="213">
        <f>'Statements Summary 2027'!V9</f>
        <v>0</v>
      </c>
      <c r="K9" s="213">
        <f>'CF 2024'!G29</f>
        <v>0</v>
      </c>
      <c r="L9" s="213" t="s">
        <v>205</v>
      </c>
      <c r="M9" s="213" t="s">
        <v>205</v>
      </c>
      <c r="N9" s="213" t="s">
        <v>205</v>
      </c>
      <c r="O9" s="213" t="s">
        <v>205</v>
      </c>
      <c r="P9" s="213" t="s">
        <v>205</v>
      </c>
      <c r="Q9" s="213" t="s">
        <v>205</v>
      </c>
      <c r="R9" s="213" t="s">
        <v>205</v>
      </c>
      <c r="S9" s="213" t="s">
        <v>205</v>
      </c>
      <c r="T9" s="213" t="s">
        <v>205</v>
      </c>
      <c r="U9" s="213" t="s">
        <v>205</v>
      </c>
      <c r="V9" s="213" t="s">
        <v>205</v>
      </c>
    </row>
    <row r="10" spans="2:22" x14ac:dyDescent="0.3">
      <c r="B10" t="s">
        <v>48</v>
      </c>
      <c r="E10" s="213" t="str">
        <f>'Statements Summary 2023'!V10</f>
        <v>-</v>
      </c>
      <c r="F10" s="213" t="str">
        <f t="shared" si="0"/>
        <v>-</v>
      </c>
      <c r="G10" s="213" t="str">
        <f>'Statements Summary 2025'!V10</f>
        <v>-</v>
      </c>
      <c r="H10" s="213" t="str">
        <f>'Statements Summary 2026'!V10</f>
        <v>-</v>
      </c>
      <c r="I10" s="213" t="str">
        <f>'Statements Summary 2027'!V10</f>
        <v>-</v>
      </c>
      <c r="K10" s="213" t="s">
        <v>205</v>
      </c>
      <c r="L10" s="213" t="s">
        <v>205</v>
      </c>
      <c r="M10" s="213" t="s">
        <v>205</v>
      </c>
      <c r="N10" s="213" t="s">
        <v>205</v>
      </c>
      <c r="O10" s="213" t="s">
        <v>205</v>
      </c>
      <c r="P10" s="213" t="s">
        <v>205</v>
      </c>
      <c r="Q10" s="213" t="s">
        <v>205</v>
      </c>
      <c r="R10" s="213" t="s">
        <v>205</v>
      </c>
      <c r="S10" s="213" t="s">
        <v>205</v>
      </c>
      <c r="T10" s="213" t="s">
        <v>205</v>
      </c>
      <c r="U10" s="213" t="s">
        <v>205</v>
      </c>
      <c r="V10" s="213" t="s">
        <v>205</v>
      </c>
    </row>
    <row r="11" spans="2:22" x14ac:dyDescent="0.3">
      <c r="B11" t="s">
        <v>49</v>
      </c>
      <c r="E11" s="213" t="str">
        <f>'Statements Summary 2023'!V11</f>
        <v>-</v>
      </c>
      <c r="F11" s="213" t="str">
        <f t="shared" si="0"/>
        <v>-</v>
      </c>
      <c r="G11" s="213" t="str">
        <f>'Statements Summary 2025'!V11</f>
        <v>-</v>
      </c>
      <c r="H11" s="213" t="str">
        <f>'Statements Summary 2026'!V11</f>
        <v>-</v>
      </c>
      <c r="I11" s="213" t="str">
        <f>'Statements Summary 2027'!V11</f>
        <v>-</v>
      </c>
      <c r="K11" s="213">
        <f>'CF 2024'!G29</f>
        <v>0</v>
      </c>
      <c r="L11" s="213" t="s">
        <v>205</v>
      </c>
      <c r="M11" s="213" t="s">
        <v>205</v>
      </c>
      <c r="N11" s="213" t="s">
        <v>205</v>
      </c>
      <c r="O11" s="213" t="s">
        <v>205</v>
      </c>
      <c r="P11" s="213" t="s">
        <v>205</v>
      </c>
      <c r="Q11" s="213" t="s">
        <v>205</v>
      </c>
      <c r="R11" s="213" t="s">
        <v>205</v>
      </c>
      <c r="S11" s="213" t="s">
        <v>205</v>
      </c>
      <c r="T11" s="213" t="s">
        <v>205</v>
      </c>
      <c r="U11" s="213" t="s">
        <v>205</v>
      </c>
      <c r="V11" s="213" t="s">
        <v>205</v>
      </c>
    </row>
    <row r="12" spans="2:22" x14ac:dyDescent="0.3">
      <c r="B12" t="s">
        <v>50</v>
      </c>
      <c r="E12" s="213">
        <f>'Statements Summary 2023'!V12</f>
        <v>-16818</v>
      </c>
      <c r="F12" s="213">
        <f t="shared" si="0"/>
        <v>-16818</v>
      </c>
      <c r="G12" s="213">
        <f>'Statements Summary 2025'!V12</f>
        <v>0</v>
      </c>
      <c r="H12" s="213">
        <f>'Statements Summary 2026'!V12</f>
        <v>0</v>
      </c>
      <c r="I12" s="213">
        <f>'Statements Summary 2027'!V12</f>
        <v>0</v>
      </c>
      <c r="K12" s="213" t="s">
        <v>205</v>
      </c>
      <c r="L12" s="213">
        <f>'CF 2024'!H35</f>
        <v>-16818</v>
      </c>
      <c r="M12" s="213">
        <f>'CF 2024'!I35</f>
        <v>-16818</v>
      </c>
      <c r="N12" s="213">
        <f>'CF 2024'!J35</f>
        <v>-16818</v>
      </c>
      <c r="O12" s="213">
        <f>'CF 2024'!K35</f>
        <v>-16818</v>
      </c>
      <c r="P12" s="213">
        <f>'CF 2024'!L35</f>
        <v>-16818</v>
      </c>
      <c r="Q12" s="213">
        <f>'CF 2024'!M35</f>
        <v>-16818</v>
      </c>
      <c r="R12" s="213">
        <f>'CF 2024'!N35</f>
        <v>-16818</v>
      </c>
      <c r="S12" s="213">
        <f>'CF 2024'!O35</f>
        <v>-16818</v>
      </c>
      <c r="T12" s="213">
        <f>'CF 2024'!P35</f>
        <v>-16818</v>
      </c>
      <c r="U12" s="213">
        <f>'CF 2024'!Q35</f>
        <v>-16818</v>
      </c>
      <c r="V12" s="213">
        <f>'CF 2024'!R35</f>
        <v>-16818</v>
      </c>
    </row>
    <row r="13" spans="2:22" x14ac:dyDescent="0.3">
      <c r="B13" t="s">
        <v>51</v>
      </c>
      <c r="E13" s="213" t="str">
        <f>'Statements Summary 2023'!V13</f>
        <v>-</v>
      </c>
      <c r="F13" s="213" t="str">
        <f t="shared" si="0"/>
        <v>-</v>
      </c>
      <c r="G13" s="213" t="str">
        <f>'Statements Summary 2025'!V13</f>
        <v>-</v>
      </c>
      <c r="H13" s="213" t="str">
        <f>'Statements Summary 2026'!V13</f>
        <v>-</v>
      </c>
      <c r="I13" s="213" t="str">
        <f>'Statements Summary 2027'!V13</f>
        <v>-</v>
      </c>
      <c r="K13" s="213" t="s">
        <v>205</v>
      </c>
      <c r="L13" s="213" t="s">
        <v>205</v>
      </c>
      <c r="M13" s="213" t="s">
        <v>205</v>
      </c>
      <c r="N13" s="213" t="s">
        <v>205</v>
      </c>
      <c r="O13" s="213" t="s">
        <v>205</v>
      </c>
      <c r="P13" s="213" t="s">
        <v>205</v>
      </c>
      <c r="Q13" s="213" t="s">
        <v>205</v>
      </c>
      <c r="R13" s="213" t="s">
        <v>205</v>
      </c>
      <c r="S13" s="213" t="s">
        <v>205</v>
      </c>
      <c r="T13" s="213" t="s">
        <v>205</v>
      </c>
      <c r="U13" s="213" t="s">
        <v>205</v>
      </c>
      <c r="V13" s="213" t="s">
        <v>205</v>
      </c>
    </row>
    <row r="14" spans="2:22" x14ac:dyDescent="0.3">
      <c r="B14" t="s">
        <v>52</v>
      </c>
      <c r="E14" s="213" t="str">
        <f>'Statements Summary 2023'!V14</f>
        <v>-</v>
      </c>
      <c r="F14" s="213" t="str">
        <f t="shared" si="0"/>
        <v>-</v>
      </c>
      <c r="G14" s="213" t="str">
        <f>'Statements Summary 2025'!V14</f>
        <v>-</v>
      </c>
      <c r="H14" s="213" t="str">
        <f>'Statements Summary 2026'!V14</f>
        <v>-</v>
      </c>
      <c r="I14" s="213" t="str">
        <f>'Statements Summary 2027'!V14</f>
        <v>-</v>
      </c>
      <c r="K14" s="213" t="s">
        <v>205</v>
      </c>
      <c r="L14" s="213" t="s">
        <v>205</v>
      </c>
      <c r="M14" s="213" t="s">
        <v>205</v>
      </c>
      <c r="N14" s="213" t="s">
        <v>205</v>
      </c>
      <c r="O14" s="213" t="s">
        <v>205</v>
      </c>
      <c r="P14" s="213" t="s">
        <v>205</v>
      </c>
      <c r="Q14" s="213" t="s">
        <v>205</v>
      </c>
      <c r="R14" s="213" t="s">
        <v>205</v>
      </c>
      <c r="S14" s="213" t="s">
        <v>205</v>
      </c>
      <c r="T14" s="213" t="s">
        <v>205</v>
      </c>
      <c r="U14" s="213" t="s">
        <v>205</v>
      </c>
      <c r="V14" s="213" t="s">
        <v>205</v>
      </c>
    </row>
    <row r="15" spans="2:22" x14ac:dyDescent="0.3">
      <c r="B15" t="s">
        <v>53</v>
      </c>
      <c r="E15" s="213">
        <f>'Statements Summary 2023'!V15</f>
        <v>-16818</v>
      </c>
      <c r="F15" s="213">
        <f t="shared" si="0"/>
        <v>-16818</v>
      </c>
      <c r="G15" s="213">
        <f>'Statements Summary 2025'!V15</f>
        <v>0</v>
      </c>
      <c r="H15" s="213">
        <f>'Statements Summary 2026'!V15</f>
        <v>0</v>
      </c>
      <c r="I15" s="213">
        <f>'Statements Summary 2027'!V15</f>
        <v>0</v>
      </c>
      <c r="K15" s="213" t="s">
        <v>205</v>
      </c>
      <c r="L15" s="213">
        <f>'CF 2024'!H35</f>
        <v>-16818</v>
      </c>
      <c r="M15" s="213">
        <f>'CF 2024'!I35</f>
        <v>-16818</v>
      </c>
      <c r="N15" s="213">
        <f>'CF 2024'!J35</f>
        <v>-16818</v>
      </c>
      <c r="O15" s="213">
        <f>'CF 2024'!K35</f>
        <v>-16818</v>
      </c>
      <c r="P15" s="213">
        <f>'CF 2024'!L35</f>
        <v>-16818</v>
      </c>
      <c r="Q15" s="213">
        <f>'CF 2024'!M35</f>
        <v>-16818</v>
      </c>
      <c r="R15" s="213">
        <f>'CF 2024'!N35</f>
        <v>-16818</v>
      </c>
      <c r="S15" s="213">
        <f>'CF 2024'!O35</f>
        <v>-16818</v>
      </c>
      <c r="T15" s="213">
        <f>'CF 2024'!P35</f>
        <v>-16818</v>
      </c>
      <c r="U15" s="213">
        <f>'CF 2024'!Q35</f>
        <v>-16818</v>
      </c>
      <c r="V15" s="213">
        <f>'CF 2024'!R35</f>
        <v>-16818</v>
      </c>
    </row>
    <row r="16" spans="2:22" x14ac:dyDescent="0.3">
      <c r="B16" t="s">
        <v>210</v>
      </c>
      <c r="E16" s="213">
        <f>'Statements Summary 2023'!V16</f>
        <v>571786.75840000017</v>
      </c>
      <c r="F16" s="213">
        <f t="shared" si="0"/>
        <v>625096.12240000011</v>
      </c>
      <c r="G16" s="213">
        <f>'Statements Summary 2025'!V16</f>
        <v>715545.26939999999</v>
      </c>
      <c r="H16" s="213">
        <f>'Statements Summary 2026'!V16</f>
        <v>749123.89899999986</v>
      </c>
      <c r="I16" s="213">
        <f>'Statements Summary 2027'!V16</f>
        <v>840961.00200000009</v>
      </c>
      <c r="K16" s="213">
        <f>'CF 2024'!G24</f>
        <v>562799.55840000021</v>
      </c>
      <c r="L16" s="213">
        <f>'CF 2024'!H24</f>
        <v>571777.97759999998</v>
      </c>
      <c r="M16" s="213">
        <f>'CF 2024'!I24</f>
        <v>580756.39679999999</v>
      </c>
      <c r="N16" s="213">
        <f>'CF 2024'!J24</f>
        <v>589734.81599999999</v>
      </c>
      <c r="O16" s="213">
        <f>'CF 2024'!K24</f>
        <v>585245.60640000016</v>
      </c>
      <c r="P16" s="213">
        <f>'CF 2024'!L24</f>
        <v>590857.11839999992</v>
      </c>
      <c r="Q16" s="213">
        <f>'CF 2024'!M24</f>
        <v>609936.25920000009</v>
      </c>
      <c r="R16" s="213">
        <f>'CF 2024'!N24</f>
        <v>602080.1423999999</v>
      </c>
      <c r="S16" s="213">
        <f>'CF 2024'!O24</f>
        <v>627893.0976000001</v>
      </c>
      <c r="T16" s="213">
        <f>'CF 2024'!P24</f>
        <v>630698.85360000003</v>
      </c>
      <c r="U16" s="213">
        <f>'CF 2024'!Q24</f>
        <v>613303.1664000001</v>
      </c>
      <c r="V16" s="213">
        <f>'CF 2024'!R24</f>
        <v>625096.12240000011</v>
      </c>
    </row>
    <row r="17" spans="2:22" x14ac:dyDescent="0.3">
      <c r="B17" t="s">
        <v>54</v>
      </c>
      <c r="E17" s="213">
        <f>'Statements Summary 2023'!V17</f>
        <v>1148646.1168000004</v>
      </c>
      <c r="F17" s="213">
        <f t="shared" si="0"/>
        <v>1295628.0448</v>
      </c>
      <c r="G17" s="213">
        <f>'Statements Summary 2025'!V17</f>
        <v>1431090.5387999997</v>
      </c>
      <c r="H17" s="213">
        <f>'Statements Summary 2026'!V17</f>
        <v>1556320.7979999995</v>
      </c>
      <c r="I17" s="213">
        <f>'Statements Summary 2027'!V17</f>
        <v>1745895.0040000002</v>
      </c>
      <c r="K17" s="213">
        <f>'CF 2024'!G45+'CF 2024'!G22+'CF 2024'!G23</f>
        <v>1145269.3168000001</v>
      </c>
      <c r="L17" s="213">
        <f>'CF 2024'!H45+'CF 2024'!H22+'CF 2024'!H23</f>
        <v>1166589.7552</v>
      </c>
      <c r="M17" s="213">
        <f>'CF 2024'!I45+'CF 2024'!I22+'CF 2024'!I23</f>
        <v>1187910.1935999999</v>
      </c>
      <c r="N17" s="213">
        <f>'CF 2024'!J45+'CF 2024'!J22+'CF 2024'!J23</f>
        <v>1209230.6320000002</v>
      </c>
      <c r="O17" s="213">
        <f>'CF 2024'!K45+'CF 2024'!K22+'CF 2024'!K23</f>
        <v>1203615.8128000002</v>
      </c>
      <c r="P17" s="213">
        <f>'CF 2024'!L45+'CF 2024'!L22+'CF 2024'!L23</f>
        <v>1218202.4367999998</v>
      </c>
      <c r="Q17" s="213">
        <f>'CF 2024'!M45+'CF 2024'!M22+'CF 2024'!M23</f>
        <v>1259724.3184000002</v>
      </c>
      <c r="R17" s="213">
        <f>'CF 2024'!N45+'CF 2024'!N22+'CF 2024'!N23</f>
        <v>1247375.6847999997</v>
      </c>
      <c r="S17" s="213">
        <f>'CF 2024'!O45+'CF 2024'!O22+'CF 2024'!O23</f>
        <v>1302365.1952000002</v>
      </c>
      <c r="T17" s="213">
        <f>'CF 2024'!P45+'CF 2024'!P22+'CF 2024'!P23</f>
        <v>1311340.3072000002</v>
      </c>
      <c r="U17" s="213">
        <f>'CF 2024'!Q45+'CF 2024'!Q22+'CF 2024'!Q23</f>
        <v>1279912.5328000002</v>
      </c>
      <c r="V17" s="213">
        <f>'CF 2024'!R45+'CF 2024'!R22+'CF 2024'!R23</f>
        <v>1295628.0448</v>
      </c>
    </row>
    <row r="19" spans="2:22" x14ac:dyDescent="0.3">
      <c r="B19" s="183" t="s">
        <v>275</v>
      </c>
      <c r="C19" s="156"/>
      <c r="D19" s="156"/>
      <c r="E19" s="156"/>
      <c r="F19" s="156"/>
      <c r="G19" s="156"/>
      <c r="H19" s="156"/>
      <c r="I19" s="156"/>
      <c r="K19" s="387" t="s">
        <v>213</v>
      </c>
      <c r="L19" s="387"/>
      <c r="M19" s="387"/>
      <c r="N19" s="387"/>
      <c r="O19" s="387"/>
      <c r="P19" s="387"/>
      <c r="Q19" s="387"/>
      <c r="R19" s="387"/>
      <c r="S19" s="387"/>
      <c r="T19" s="387"/>
      <c r="U19" s="387"/>
      <c r="V19" s="387"/>
    </row>
    <row r="42" spans="2:22" x14ac:dyDescent="0.3">
      <c r="B42" s="183" t="s">
        <v>276</v>
      </c>
      <c r="C42" s="183"/>
      <c r="D42" s="183"/>
      <c r="E42" s="183"/>
      <c r="F42" s="156"/>
      <c r="G42" s="156"/>
      <c r="H42" s="156"/>
      <c r="I42" s="156"/>
      <c r="J42" s="156"/>
      <c r="K42" s="387" t="s">
        <v>214</v>
      </c>
      <c r="L42" s="387"/>
      <c r="M42" s="387"/>
      <c r="N42" s="387"/>
      <c r="O42" s="387"/>
      <c r="P42" s="387"/>
      <c r="Q42" s="387"/>
      <c r="R42" s="387"/>
      <c r="S42" s="387"/>
      <c r="T42" s="387"/>
      <c r="U42" s="387"/>
      <c r="V42" s="387"/>
    </row>
    <row r="44" spans="2:22" x14ac:dyDescent="0.3">
      <c r="B44" s="201" t="s">
        <v>27</v>
      </c>
      <c r="C44" s="201"/>
      <c r="D44" s="201"/>
      <c r="E44" s="202">
        <v>2023</v>
      </c>
      <c r="F44" s="202">
        <v>2024</v>
      </c>
      <c r="G44" s="202">
        <v>2025</v>
      </c>
      <c r="H44" s="202">
        <v>2026</v>
      </c>
      <c r="I44" s="202">
        <v>2027</v>
      </c>
      <c r="J44" s="201"/>
      <c r="K44" s="201" t="s">
        <v>32</v>
      </c>
      <c r="L44" s="201" t="s">
        <v>33</v>
      </c>
      <c r="M44" s="201" t="s">
        <v>34</v>
      </c>
      <c r="N44" s="201" t="s">
        <v>35</v>
      </c>
      <c r="O44" s="201" t="s">
        <v>36</v>
      </c>
      <c r="P44" s="201" t="s">
        <v>37</v>
      </c>
      <c r="Q44" s="201" t="s">
        <v>38</v>
      </c>
      <c r="R44" s="201" t="s">
        <v>39</v>
      </c>
      <c r="S44" s="201" t="s">
        <v>40</v>
      </c>
      <c r="T44" s="201" t="s">
        <v>41</v>
      </c>
      <c r="U44" s="201" t="s">
        <v>42</v>
      </c>
      <c r="V44" s="201" t="s">
        <v>43</v>
      </c>
    </row>
    <row r="45" spans="2:22" x14ac:dyDescent="0.3">
      <c r="B45" s="23" t="s">
        <v>2</v>
      </c>
      <c r="C45" s="23"/>
      <c r="D45" s="23"/>
      <c r="E45" s="203">
        <f>'Statements Summary 2023'!V44</f>
        <v>794028.94800000021</v>
      </c>
      <c r="F45" s="203">
        <f t="shared" ref="F45:F65" si="1">V45</f>
        <v>860665.65300000017</v>
      </c>
      <c r="G45" s="203">
        <f>'Statements Summary 2025'!V45</f>
        <v>880113.33675000002</v>
      </c>
      <c r="H45" s="203">
        <f>'Statements Summary 2026'!V45</f>
        <v>994677.8737499998</v>
      </c>
      <c r="I45" s="203">
        <f>'Statements Summary 2027'!V45</f>
        <v>1115374.2525000002</v>
      </c>
      <c r="K45" s="203">
        <f>'IS 2024'!F17</f>
        <v>794028.94800000021</v>
      </c>
      <c r="L45" s="203">
        <f>'IS 2024'!G17</f>
        <v>805251.97199999995</v>
      </c>
      <c r="M45" s="203">
        <f>'IS 2024'!H17</f>
        <v>816474.99600000004</v>
      </c>
      <c r="N45" s="203">
        <f>'IS 2024'!I17</f>
        <v>827698.02</v>
      </c>
      <c r="O45" s="203">
        <f>'IS 2024'!J17</f>
        <v>822086.50800000015</v>
      </c>
      <c r="P45" s="203">
        <f>'IS 2024'!K17</f>
        <v>829100.89799999993</v>
      </c>
      <c r="Q45" s="203">
        <f>'IS 2024'!L17</f>
        <v>852949.82400000014</v>
      </c>
      <c r="R45" s="203">
        <f>'IS 2024'!M17</f>
        <v>843129.67799999984</v>
      </c>
      <c r="S45" s="203">
        <f>'IS 2024'!N17</f>
        <v>875395.87200000009</v>
      </c>
      <c r="T45" s="203">
        <f>'IS 2024'!O17</f>
        <v>878903.06700000004</v>
      </c>
      <c r="U45" s="203">
        <f>'IS 2024'!P17</f>
        <v>857158.4580000001</v>
      </c>
      <c r="V45" s="203">
        <f>'IS 2024'!Q17</f>
        <v>860665.65300000017</v>
      </c>
    </row>
    <row r="46" spans="2:22" x14ac:dyDescent="0.3">
      <c r="B46" t="s">
        <v>28</v>
      </c>
      <c r="E46" s="1">
        <f>'Statements Summary 2023'!V45</f>
        <v>7.095553453169369E-2</v>
      </c>
      <c r="F46" s="2">
        <f t="shared" si="1"/>
        <v>4.0916530278233164E-3</v>
      </c>
      <c r="G46" s="2">
        <f>'Statements Summary 2025'!V46</f>
        <v>3.5401362952473458E-3</v>
      </c>
      <c r="H46" s="2">
        <f>'Statements Summary 2026'!V46</f>
        <v>6.2819002748327451E-3</v>
      </c>
      <c r="I46" s="2">
        <f>'Statements Summary 2027'!V46</f>
        <v>5.5983205038490219E-3</v>
      </c>
      <c r="K46" s="2"/>
      <c r="L46" s="2">
        <f t="shared" ref="L46" si="2">(L45-K45)/K45</f>
        <v>1.413427561837423E-2</v>
      </c>
      <c r="M46" s="2">
        <f>(M45-L45)/L45</f>
        <v>1.3937282229965273E-2</v>
      </c>
      <c r="N46" s="2">
        <f>(N45-M45)/M45</f>
        <v>1.3745704467353922E-2</v>
      </c>
      <c r="O46" s="2">
        <f t="shared" ref="O46:T46" si="3">(O45-N45)/N45</f>
        <v>-6.7796610169489971E-3</v>
      </c>
      <c r="P46" s="2">
        <f t="shared" si="3"/>
        <v>8.5324232081908577E-3</v>
      </c>
      <c r="Q46" s="2">
        <f t="shared" si="3"/>
        <v>2.8764805414551863E-2</v>
      </c>
      <c r="R46" s="2">
        <f t="shared" si="3"/>
        <v>-1.151315789473719E-2</v>
      </c>
      <c r="S46" s="2">
        <f t="shared" si="3"/>
        <v>3.8269550748752386E-2</v>
      </c>
      <c r="T46" s="2">
        <f t="shared" si="3"/>
        <v>4.0064102564101971E-3</v>
      </c>
      <c r="U46" s="2">
        <f>(U45-T45)/T45</f>
        <v>-2.4740622505985563E-2</v>
      </c>
      <c r="V46" s="2">
        <f t="shared" ref="V46" si="4">(V45-U45)/U45</f>
        <v>4.0916530278233164E-3</v>
      </c>
    </row>
    <row r="47" spans="2:22" x14ac:dyDescent="0.3">
      <c r="B47" t="s">
        <v>3</v>
      </c>
      <c r="E47" s="1">
        <f>'Statements Summary 2023'!V46</f>
        <v>-32544</v>
      </c>
      <c r="F47" s="1">
        <f t="shared" si="1"/>
        <v>-32544</v>
      </c>
      <c r="G47" s="1">
        <f>'Statements Summary 2025'!V47</f>
        <v>-32544</v>
      </c>
      <c r="H47" s="1">
        <f>'Statements Summary 2026'!V47</f>
        <v>-32544</v>
      </c>
      <c r="I47" s="1">
        <f>'Statements Summary 2027'!V47</f>
        <v>-38444</v>
      </c>
      <c r="K47" s="1">
        <f>'IS 2024'!F18</f>
        <v>-32544</v>
      </c>
      <c r="L47" s="1">
        <f>'IS 2024'!G18</f>
        <v>-32544</v>
      </c>
      <c r="M47" s="1">
        <f>'IS 2024'!H18</f>
        <v>-32544</v>
      </c>
      <c r="N47" s="1">
        <f>'IS 2024'!I18</f>
        <v>-32544</v>
      </c>
      <c r="O47" s="1">
        <f>'IS 2024'!J18</f>
        <v>-32544</v>
      </c>
      <c r="P47" s="1">
        <f>'IS 2024'!K18</f>
        <v>-32544</v>
      </c>
      <c r="Q47" s="1">
        <f>'IS 2024'!L18</f>
        <v>-32544</v>
      </c>
      <c r="R47" s="1">
        <f>'IS 2024'!M18</f>
        <v>-32544</v>
      </c>
      <c r="S47" s="1">
        <f>'IS 2024'!N18</f>
        <v>-32544</v>
      </c>
      <c r="T47" s="1">
        <f>'IS 2024'!O18</f>
        <v>-32544</v>
      </c>
      <c r="U47" s="1">
        <f>'IS 2024'!P18</f>
        <v>-32544</v>
      </c>
      <c r="V47" s="1">
        <f>'IS 2024'!Q18</f>
        <v>-32544</v>
      </c>
    </row>
    <row r="48" spans="2:22" x14ac:dyDescent="0.3">
      <c r="B48" t="s">
        <v>29</v>
      </c>
      <c r="E48" s="2">
        <f>'Statements Summary 2023'!V47</f>
        <v>-4.0985911259245417E-2</v>
      </c>
      <c r="F48" s="2">
        <f t="shared" si="1"/>
        <v>-3.7812592946589903E-2</v>
      </c>
      <c r="G48" s="2">
        <f>'Statements Summary 2025'!V48</f>
        <v>-3.6977055841666294E-2</v>
      </c>
      <c r="H48" s="2">
        <f>'Statements Summary 2026'!V48</f>
        <v>-3.2718130018623032E-2</v>
      </c>
      <c r="I48" s="2">
        <f>'Statements Summary 2027'!V48</f>
        <v>-3.4467354714197145E-2</v>
      </c>
      <c r="K48" s="2">
        <f>K47/K45</f>
        <v>-4.0985911259245417E-2</v>
      </c>
      <c r="L48" s="2">
        <f t="shared" ref="L48:V48" si="5">L47/L45</f>
        <v>-4.0414679046573018E-2</v>
      </c>
      <c r="M48" s="2">
        <f t="shared" si="5"/>
        <v>-3.9859150812255856E-2</v>
      </c>
      <c r="N48" s="2">
        <f t="shared" si="5"/>
        <v>-3.9318687750394765E-2</v>
      </c>
      <c r="O48" s="2">
        <f t="shared" si="5"/>
        <v>-3.9587074697496429E-2</v>
      </c>
      <c r="P48" s="2">
        <f t="shared" si="5"/>
        <v>-3.9252158667906788E-2</v>
      </c>
      <c r="Q48" s="2">
        <f t="shared" si="5"/>
        <v>-3.8154647652521231E-2</v>
      </c>
      <c r="R48" s="2">
        <f t="shared" si="5"/>
        <v>-3.8599044546976567E-2</v>
      </c>
      <c r="S48" s="2">
        <f t="shared" si="5"/>
        <v>-3.7176323353738633E-2</v>
      </c>
      <c r="T48" s="2">
        <f t="shared" si="5"/>
        <v>-3.702797409853617E-2</v>
      </c>
      <c r="U48" s="2">
        <f t="shared" si="5"/>
        <v>-3.7967308957009671E-2</v>
      </c>
      <c r="V48" s="2">
        <f t="shared" si="5"/>
        <v>-3.7812592946589903E-2</v>
      </c>
    </row>
    <row r="49" spans="2:22" x14ac:dyDescent="0.3">
      <c r="B49" t="s">
        <v>4</v>
      </c>
      <c r="E49" s="1">
        <f>'Statements Summary 2023'!V48</f>
        <v>761484.94800000021</v>
      </c>
      <c r="F49" s="1">
        <f t="shared" si="1"/>
        <v>828121.65300000017</v>
      </c>
      <c r="G49" s="1">
        <f>'Statements Summary 2025'!V49</f>
        <v>847569.33675000002</v>
      </c>
      <c r="H49" s="1">
        <f>'Statements Summary 2026'!V49</f>
        <v>962133.8737499998</v>
      </c>
      <c r="I49" s="1">
        <f>'Statements Summary 2027'!V49</f>
        <v>1076930.2525000002</v>
      </c>
      <c r="K49" s="1">
        <f>'IS 2024'!F27</f>
        <v>761484.94800000021</v>
      </c>
      <c r="L49" s="1">
        <f>'IS 2024'!G27</f>
        <v>772707.97199999995</v>
      </c>
      <c r="M49" s="1">
        <f>'IS 2024'!H27</f>
        <v>783930.99600000004</v>
      </c>
      <c r="N49" s="1">
        <f>'IS 2024'!I27</f>
        <v>795154.02</v>
      </c>
      <c r="O49" s="1">
        <f>'IS 2024'!J27</f>
        <v>789542.50800000015</v>
      </c>
      <c r="P49" s="1">
        <f>'IS 2024'!K27</f>
        <v>796556.89799999993</v>
      </c>
      <c r="Q49" s="1">
        <f>'IS 2024'!L27</f>
        <v>820405.82400000014</v>
      </c>
      <c r="R49" s="1">
        <f>'IS 2024'!M27</f>
        <v>810585.67799999984</v>
      </c>
      <c r="S49" s="1">
        <f>'IS 2024'!N27</f>
        <v>842851.87200000009</v>
      </c>
      <c r="T49" s="1">
        <f>'IS 2024'!O27</f>
        <v>846359.06700000004</v>
      </c>
      <c r="U49" s="1">
        <f>'IS 2024'!P27</f>
        <v>824614.4580000001</v>
      </c>
      <c r="V49" s="1">
        <f>'IS 2024'!Q27</f>
        <v>828121.65300000017</v>
      </c>
    </row>
    <row r="50" spans="2:22" x14ac:dyDescent="0.3">
      <c r="B50" t="s">
        <v>30</v>
      </c>
      <c r="E50" s="2">
        <f>'Statements Summary 2023'!V49</f>
        <v>0.95901408874075456</v>
      </c>
      <c r="F50" s="2">
        <f t="shared" si="1"/>
        <v>0.9621874070534101</v>
      </c>
      <c r="G50" s="2">
        <f>'Statements Summary 2025'!V50</f>
        <v>0.96302294415833367</v>
      </c>
      <c r="H50" s="2">
        <f>'Statements Summary 2026'!V50</f>
        <v>0.967281869981377</v>
      </c>
      <c r="I50" s="2">
        <f>'Statements Summary 2027'!V50</f>
        <v>0.96553264528580285</v>
      </c>
      <c r="K50" s="2">
        <f>K49/K45</f>
        <v>0.95901408874075456</v>
      </c>
      <c r="L50" s="2">
        <f t="shared" ref="L50:V50" si="6">L49/L45</f>
        <v>0.95958532095342697</v>
      </c>
      <c r="M50" s="2">
        <f t="shared" si="6"/>
        <v>0.96014084918774412</v>
      </c>
      <c r="N50" s="2">
        <f t="shared" si="6"/>
        <v>0.96068131224960529</v>
      </c>
      <c r="O50" s="2">
        <f t="shared" si="6"/>
        <v>0.96041292530250355</v>
      </c>
      <c r="P50" s="2">
        <f t="shared" si="6"/>
        <v>0.96074784133209323</v>
      </c>
      <c r="Q50" s="2">
        <f t="shared" si="6"/>
        <v>0.96184535234747881</v>
      </c>
      <c r="R50" s="2">
        <f t="shared" si="6"/>
        <v>0.9614009554530234</v>
      </c>
      <c r="S50" s="2">
        <f t="shared" si="6"/>
        <v>0.96282367664626134</v>
      </c>
      <c r="T50" s="2">
        <f t="shared" si="6"/>
        <v>0.9629720259014638</v>
      </c>
      <c r="U50" s="2">
        <f t="shared" si="6"/>
        <v>0.96203269104299038</v>
      </c>
      <c r="V50" s="2">
        <f t="shared" si="6"/>
        <v>0.9621874070534101</v>
      </c>
    </row>
    <row r="51" spans="2:22" x14ac:dyDescent="0.3">
      <c r="B51" t="s">
        <v>6</v>
      </c>
      <c r="E51" s="1">
        <f>'Statements Summary 2023'!V50</f>
        <v>-17479</v>
      </c>
      <c r="F51" s="1">
        <f t="shared" si="1"/>
        <v>-17479</v>
      </c>
      <c r="G51" s="1">
        <f>'Statements Summary 2025'!V51</f>
        <v>-17479</v>
      </c>
      <c r="H51" s="1">
        <f>'Statements Summary 2026'!V51</f>
        <v>-17479</v>
      </c>
      <c r="I51" s="1">
        <f>'Statements Summary 2027'!V51</f>
        <v>-17479</v>
      </c>
      <c r="K51" s="1">
        <f>'IS 2024'!F39</f>
        <v>-28713</v>
      </c>
      <c r="L51" s="1">
        <f>'IS 2024'!G39</f>
        <v>-28713</v>
      </c>
      <c r="M51" s="1">
        <f>'IS 2024'!H39</f>
        <v>-28713</v>
      </c>
      <c r="N51" s="1">
        <f>'IS 2024'!I39</f>
        <v>-28713</v>
      </c>
      <c r="O51" s="1">
        <f>'IS 2024'!J39</f>
        <v>-28713</v>
      </c>
      <c r="P51" s="1">
        <f>'IS 2024'!K39</f>
        <v>-28713</v>
      </c>
      <c r="Q51" s="1">
        <f>'IS 2024'!L39</f>
        <v>-28713</v>
      </c>
      <c r="R51" s="1">
        <f>'IS 2024'!M39</f>
        <v>-28713</v>
      </c>
      <c r="S51" s="1">
        <f>'IS 2024'!N39</f>
        <v>-28713</v>
      </c>
      <c r="T51" s="1">
        <f>'IS 2024'!O39</f>
        <v>-28713</v>
      </c>
      <c r="U51" s="1">
        <f>'IS 2024'!P39</f>
        <v>-28713</v>
      </c>
      <c r="V51" s="1">
        <f>'IS 2024'!Q39</f>
        <v>-17479</v>
      </c>
    </row>
    <row r="52" spans="2:22" x14ac:dyDescent="0.3">
      <c r="B52" t="s">
        <v>29</v>
      </c>
      <c r="E52" s="2">
        <f>'Statements Summary 2023'!V51</f>
        <v>-2.2013051342808218E-2</v>
      </c>
      <c r="F52" s="2">
        <f t="shared" si="1"/>
        <v>-2.0308699364351184E-2</v>
      </c>
      <c r="G52" s="2">
        <f>'Statements Summary 2025'!V52</f>
        <v>-1.9859942203063086E-2</v>
      </c>
      <c r="H52" s="2">
        <f>'Statements Summary 2026'!V52</f>
        <v>-1.7572523186931907E-2</v>
      </c>
      <c r="I52" s="2">
        <f>'Statements Summary 2027'!V52</f>
        <v>-1.5670973183057223E-2</v>
      </c>
      <c r="K52" s="2">
        <f>K51/K45</f>
        <v>-3.6161150134793311E-2</v>
      </c>
      <c r="L52" s="2">
        <f t="shared" ref="L52:V52" si="7">L51/L45</f>
        <v>-3.5657161979604571E-2</v>
      </c>
      <c r="M52" s="2">
        <f t="shared" si="7"/>
        <v>-3.516702916888835E-2</v>
      </c>
      <c r="N52" s="2">
        <f t="shared" si="7"/>
        <v>-3.4690188095411897E-2</v>
      </c>
      <c r="O52" s="2">
        <f t="shared" si="7"/>
        <v>-3.4926981188213337E-2</v>
      </c>
      <c r="P52" s="2">
        <f t="shared" si="7"/>
        <v>-3.4631490653626099E-2</v>
      </c>
      <c r="Q52" s="2">
        <f t="shared" si="7"/>
        <v>-3.3663175947850357E-2</v>
      </c>
      <c r="R52" s="2">
        <f t="shared" si="7"/>
        <v>-3.4055259527941806E-2</v>
      </c>
      <c r="S52" s="2">
        <f t="shared" si="7"/>
        <v>-3.2800017590213171E-2</v>
      </c>
      <c r="T52" s="2">
        <f t="shared" si="7"/>
        <v>-3.2669131646118149E-2</v>
      </c>
      <c r="U52" s="2">
        <f t="shared" si="7"/>
        <v>-3.3497890304898553E-2</v>
      </c>
      <c r="V52" s="2">
        <f t="shared" si="7"/>
        <v>-2.0308699364351184E-2</v>
      </c>
    </row>
    <row r="53" spans="2:22" x14ac:dyDescent="0.3">
      <c r="B53" t="s">
        <v>206</v>
      </c>
      <c r="E53" s="1">
        <f>'Statements Summary 2023'!V52</f>
        <v>-45063</v>
      </c>
      <c r="F53" s="1">
        <f t="shared" si="1"/>
        <v>-45063</v>
      </c>
      <c r="G53" s="1">
        <f>'Statements Summary 2025'!V53</f>
        <v>-45063</v>
      </c>
      <c r="H53" s="1">
        <f>'Statements Summary 2026'!V53</f>
        <v>-45063</v>
      </c>
      <c r="I53" s="1">
        <f>'Statements Summary 2027'!V53</f>
        <v>-45063</v>
      </c>
      <c r="K53" s="1">
        <f>'IS 2024'!F40</f>
        <v>-45063</v>
      </c>
      <c r="L53" s="1">
        <f>'IS 2024'!G40</f>
        <v>-45063</v>
      </c>
      <c r="M53" s="1">
        <f>'IS 2024'!H40</f>
        <v>-45063</v>
      </c>
      <c r="N53" s="1">
        <f>'IS 2024'!I40</f>
        <v>-45063</v>
      </c>
      <c r="O53" s="1">
        <f>'IS 2024'!J40</f>
        <v>-45063</v>
      </c>
      <c r="P53" s="1">
        <f>'IS 2024'!K40</f>
        <v>-45063</v>
      </c>
      <c r="Q53" s="1">
        <f>'IS 2024'!L40</f>
        <v>-45063</v>
      </c>
      <c r="R53" s="1">
        <f>'IS 2024'!M40</f>
        <v>-45063</v>
      </c>
      <c r="S53" s="1">
        <f>'IS 2024'!N40</f>
        <v>-45063</v>
      </c>
      <c r="T53" s="1">
        <f>'IS 2024'!O40</f>
        <v>-45063</v>
      </c>
      <c r="U53" s="1">
        <f>'IS 2024'!P40</f>
        <v>-45063</v>
      </c>
      <c r="V53" s="1">
        <f>'IS 2024'!Q40</f>
        <v>-45063</v>
      </c>
    </row>
    <row r="54" spans="2:22" x14ac:dyDescent="0.3">
      <c r="B54" t="s">
        <v>29</v>
      </c>
      <c r="E54" s="2">
        <f>'Statements Summary 2023'!V53</f>
        <v>-5.6752338958805805E-2</v>
      </c>
      <c r="F54" s="2">
        <f t="shared" si="1"/>
        <v>-5.2358311085059638E-2</v>
      </c>
      <c r="G54" s="2">
        <f>'Statements Summary 2025'!V54</f>
        <v>-5.1201360232086039E-2</v>
      </c>
      <c r="H54" s="2">
        <f>'Statements Summary 2026'!V54</f>
        <v>-4.5304114215499319E-2</v>
      </c>
      <c r="I54" s="2">
        <f>'Statements Summary 2027'!V54</f>
        <v>-4.040168571131688E-2</v>
      </c>
      <c r="K54" s="2">
        <f>K53/K45</f>
        <v>-5.6752338958805805E-2</v>
      </c>
      <c r="L54" s="2">
        <f t="shared" ref="L54:V54" si="8">L53/L45</f>
        <v>-5.5961365593526297E-2</v>
      </c>
      <c r="M54" s="2">
        <f t="shared" si="8"/>
        <v>-5.5192137200488128E-2</v>
      </c>
      <c r="N54" s="2">
        <f t="shared" si="8"/>
        <v>-5.4443769238447612E-2</v>
      </c>
      <c r="O54" s="2">
        <f t="shared" si="8"/>
        <v>-5.4815399062600835E-2</v>
      </c>
      <c r="P54" s="2">
        <f t="shared" si="8"/>
        <v>-5.4351647801495935E-2</v>
      </c>
      <c r="Q54" s="2">
        <f t="shared" si="8"/>
        <v>-5.2831947122835669E-2</v>
      </c>
      <c r="R54" s="2">
        <f t="shared" si="8"/>
        <v>-5.3447294260705658E-2</v>
      </c>
      <c r="S54" s="2">
        <f t="shared" si="8"/>
        <v>-5.1477281811993736E-2</v>
      </c>
      <c r="T54" s="2">
        <f t="shared" si="8"/>
        <v>-5.1271865683454258E-2</v>
      </c>
      <c r="U54" s="2">
        <f t="shared" si="8"/>
        <v>-5.2572543127142539E-2</v>
      </c>
      <c r="V54" s="2">
        <f t="shared" si="8"/>
        <v>-5.2358311085059638E-2</v>
      </c>
    </row>
    <row r="55" spans="2:22" x14ac:dyDescent="0.3">
      <c r="B55" t="s">
        <v>31</v>
      </c>
      <c r="E55" s="1">
        <f>'Statements Summary 2023'!V54</f>
        <v>-8250</v>
      </c>
      <c r="F55" s="1">
        <f t="shared" si="1"/>
        <v>-8250</v>
      </c>
      <c r="G55" s="1">
        <f>'Statements Summary 2025'!V55</f>
        <v>-8250</v>
      </c>
      <c r="H55" s="1">
        <f>'Statements Summary 2026'!V55</f>
        <v>-8250</v>
      </c>
      <c r="I55" s="1">
        <f>'Statements Summary 2027'!V55</f>
        <v>-8250</v>
      </c>
      <c r="K55" s="1">
        <f>'IS 2024'!F59</f>
        <v>-8250</v>
      </c>
      <c r="L55" s="1">
        <f>'IS 2024'!G59</f>
        <v>-8250</v>
      </c>
      <c r="M55" s="1">
        <f>'IS 2024'!H59</f>
        <v>-8250</v>
      </c>
      <c r="N55" s="1">
        <f>'IS 2024'!I59</f>
        <v>-8250</v>
      </c>
      <c r="O55" s="1">
        <f>'IS 2024'!J59</f>
        <v>-8250</v>
      </c>
      <c r="P55" s="1">
        <f>'IS 2024'!K59</f>
        <v>-8250</v>
      </c>
      <c r="Q55" s="1">
        <f>'IS 2024'!L59</f>
        <v>-8250</v>
      </c>
      <c r="R55" s="1">
        <f>'IS 2024'!M59</f>
        <v>-8250</v>
      </c>
      <c r="S55" s="1">
        <f>'IS 2024'!N59</f>
        <v>-8250</v>
      </c>
      <c r="T55" s="1">
        <f>'IS 2024'!O59</f>
        <v>-8250</v>
      </c>
      <c r="U55" s="1">
        <f>'IS 2024'!P59</f>
        <v>-8250</v>
      </c>
      <c r="V55" s="1">
        <f>'IS 2024'!Q59</f>
        <v>-8250</v>
      </c>
    </row>
    <row r="56" spans="2:22" x14ac:dyDescent="0.3">
      <c r="B56" t="s">
        <v>29</v>
      </c>
      <c r="E56" s="2">
        <f>'Statements Summary 2023'!V55</f>
        <v>-1.0390049406611807E-2</v>
      </c>
      <c r="F56" s="2">
        <f t="shared" si="1"/>
        <v>-9.5856038535326541E-3</v>
      </c>
      <c r="G56" s="2">
        <f>'Statements Summary 2025'!V56</f>
        <v>-9.3737927327232941E-3</v>
      </c>
      <c r="H56" s="2">
        <f>'Statements Summary 2026'!V56</f>
        <v>-8.294142473378811E-3</v>
      </c>
      <c r="I56" s="2">
        <f>'Statements Summary 2027'!V56</f>
        <v>-7.3966204451182621E-3</v>
      </c>
      <c r="K56" s="2">
        <f>K55/K45</f>
        <v>-1.0390049406611807E-2</v>
      </c>
      <c r="L56" s="2">
        <f t="shared" ref="L56:V56" si="9">L55/L45</f>
        <v>-1.0245240355648581E-2</v>
      </c>
      <c r="M56" s="2">
        <f t="shared" si="9"/>
        <v>-1.0104412309522826E-2</v>
      </c>
      <c r="N56" s="2">
        <f t="shared" si="9"/>
        <v>-9.9674033290547189E-3</v>
      </c>
      <c r="O56" s="2">
        <f t="shared" si="9"/>
        <v>-1.0035440211846901E-2</v>
      </c>
      <c r="P56" s="2">
        <f t="shared" si="9"/>
        <v>-9.9505380103930372E-3</v>
      </c>
      <c r="Q56" s="2">
        <f t="shared" si="9"/>
        <v>-9.6723157304971774E-3</v>
      </c>
      <c r="R56" s="2">
        <f t="shared" si="9"/>
        <v>-9.7849716541468981E-3</v>
      </c>
      <c r="S56" s="2">
        <f t="shared" si="9"/>
        <v>-9.4243076348434034E-3</v>
      </c>
      <c r="T56" s="2">
        <f t="shared" si="9"/>
        <v>-9.3867006610411554E-3</v>
      </c>
      <c r="U56" s="2">
        <f t="shared" si="9"/>
        <v>-9.6248248185634763E-3</v>
      </c>
      <c r="V56" s="2">
        <f t="shared" si="9"/>
        <v>-9.5856038535326541E-3</v>
      </c>
    </row>
    <row r="57" spans="2:22" x14ac:dyDescent="0.3">
      <c r="B57" s="23" t="s">
        <v>10</v>
      </c>
      <c r="C57" s="23"/>
      <c r="D57" s="23"/>
      <c r="E57" s="203">
        <f>'Statements Summary 2023'!V56</f>
        <v>735755.94800000021</v>
      </c>
      <c r="F57" s="203">
        <f t="shared" si="1"/>
        <v>802392.65300000017</v>
      </c>
      <c r="G57" s="203">
        <f>'Statements Summary 2025'!V57</f>
        <v>821840.33675000002</v>
      </c>
      <c r="H57" s="203">
        <f>'Statements Summary 2026'!V57</f>
        <v>936404.8737499998</v>
      </c>
      <c r="I57" s="203">
        <f>'Statements Summary 2027'!V57</f>
        <v>1051201.2525000002</v>
      </c>
      <c r="K57" s="203">
        <f>'IS 2024'!F60</f>
        <v>724521.94800000021</v>
      </c>
      <c r="L57" s="203">
        <f>'IS 2024'!G60</f>
        <v>735744.97199999995</v>
      </c>
      <c r="M57" s="203">
        <f>'IS 2024'!H60</f>
        <v>746967.99600000004</v>
      </c>
      <c r="N57" s="203">
        <f>'IS 2024'!I60</f>
        <v>758191.02</v>
      </c>
      <c r="O57" s="203">
        <f>'IS 2024'!J60</f>
        <v>752579.50800000015</v>
      </c>
      <c r="P57" s="203">
        <f>'IS 2024'!K60</f>
        <v>759593.89799999993</v>
      </c>
      <c r="Q57" s="203">
        <f>'IS 2024'!L60</f>
        <v>783442.82400000014</v>
      </c>
      <c r="R57" s="203">
        <f>'IS 2024'!M60</f>
        <v>773622.67799999984</v>
      </c>
      <c r="S57" s="203">
        <f>'IS 2024'!N60</f>
        <v>805888.87200000009</v>
      </c>
      <c r="T57" s="203">
        <f>'IS 2024'!O60</f>
        <v>809396.06700000004</v>
      </c>
      <c r="U57" s="203">
        <f>'IS 2024'!P60</f>
        <v>787651.4580000001</v>
      </c>
      <c r="V57" s="203">
        <f>'IS 2024'!Q60</f>
        <v>802392.65300000017</v>
      </c>
    </row>
    <row r="58" spans="2:22" x14ac:dyDescent="0.3">
      <c r="B58" t="s">
        <v>22</v>
      </c>
      <c r="E58" s="2">
        <f>'Statements Summary 2023'!V57</f>
        <v>0.92661098799133457</v>
      </c>
      <c r="F58" s="2">
        <f t="shared" si="1"/>
        <v>0.93229310383552622</v>
      </c>
      <c r="G58" s="2">
        <f>'Statements Summary 2025'!V58</f>
        <v>0.93378920922254738</v>
      </c>
      <c r="H58" s="2">
        <f>'Statements Summary 2026'!V58</f>
        <v>0.94141520432106629</v>
      </c>
      <c r="I58" s="2">
        <f>'Statements Summary 2027'!V58</f>
        <v>0.9424650516576274</v>
      </c>
      <c r="K58" s="2">
        <f>K57/K45</f>
        <v>0.91246288919934948</v>
      </c>
      <c r="L58" s="2">
        <f t="shared" ref="L58:V58" si="10">L57/L45</f>
        <v>0.91368291861817386</v>
      </c>
      <c r="M58" s="2">
        <f t="shared" si="10"/>
        <v>0.914869407709333</v>
      </c>
      <c r="N58" s="2">
        <f t="shared" si="10"/>
        <v>0.91602372082513861</v>
      </c>
      <c r="O58" s="2">
        <f t="shared" si="10"/>
        <v>0.91545050390244331</v>
      </c>
      <c r="P58" s="2">
        <f t="shared" si="10"/>
        <v>0.91616581266807406</v>
      </c>
      <c r="Q58" s="2">
        <f t="shared" si="10"/>
        <v>0.91850986066913121</v>
      </c>
      <c r="R58" s="2">
        <f t="shared" si="10"/>
        <v>0.91756072427093471</v>
      </c>
      <c r="S58" s="2">
        <f t="shared" si="10"/>
        <v>0.92059935142120475</v>
      </c>
      <c r="T58" s="2">
        <f t="shared" si="10"/>
        <v>0.92091619359430454</v>
      </c>
      <c r="U58" s="2">
        <f t="shared" si="10"/>
        <v>0.91890997591952828</v>
      </c>
      <c r="V58" s="2">
        <f t="shared" si="10"/>
        <v>0.93229310383552622</v>
      </c>
    </row>
    <row r="59" spans="2:22" x14ac:dyDescent="0.3">
      <c r="B59" t="s">
        <v>11</v>
      </c>
      <c r="E59" s="1">
        <f>'Statements Summary 2023'!V58</f>
        <v>-1711</v>
      </c>
      <c r="F59" s="1">
        <f t="shared" si="1"/>
        <v>-1850</v>
      </c>
      <c r="G59" s="1">
        <f>'Statements Summary 2025'!V59</f>
        <v>-1911</v>
      </c>
      <c r="H59" s="1">
        <f>'Statements Summary 2026'!V59</f>
        <v>-1756</v>
      </c>
      <c r="I59" s="1">
        <f>'Statements Summary 2027'!V59</f>
        <v>-1800</v>
      </c>
      <c r="K59">
        <f>'IS 2024'!F61</f>
        <v>-1450</v>
      </c>
      <c r="L59">
        <f>'IS 2024'!G61</f>
        <v>-1450</v>
      </c>
      <c r="M59">
        <f>'IS 2024'!H61</f>
        <v>-1450</v>
      </c>
      <c r="N59">
        <f>'IS 2024'!I61</f>
        <v>-1450</v>
      </c>
      <c r="O59">
        <f>'IS 2024'!J61</f>
        <v>-1450</v>
      </c>
      <c r="P59">
        <f>'IS 2024'!K61</f>
        <v>-1450</v>
      </c>
      <c r="Q59">
        <f>'IS 2024'!L61</f>
        <v>-1450</v>
      </c>
      <c r="R59">
        <f>'IS 2024'!M61</f>
        <v>-1450</v>
      </c>
      <c r="S59">
        <f>'IS 2024'!N61</f>
        <v>-1450</v>
      </c>
      <c r="T59">
        <f>'IS 2024'!O61</f>
        <v>-1450</v>
      </c>
      <c r="U59">
        <f>'IS 2024'!P61</f>
        <v>-1450</v>
      </c>
      <c r="V59">
        <f>'IS 2024'!Q61</f>
        <v>-1850</v>
      </c>
    </row>
    <row r="60" spans="2:22" x14ac:dyDescent="0.3">
      <c r="B60" t="s">
        <v>12</v>
      </c>
      <c r="E60" s="1">
        <f>'Statements Summary 2023'!V59</f>
        <v>734044.94800000021</v>
      </c>
      <c r="F60" s="1">
        <f t="shared" si="1"/>
        <v>800542.65300000017</v>
      </c>
      <c r="G60" s="1">
        <f>'Statements Summary 2025'!V60</f>
        <v>823751.33675000002</v>
      </c>
      <c r="H60" s="1">
        <f>'Statements Summary 2026'!V60</f>
        <v>934648.8737499998</v>
      </c>
      <c r="I60" s="1">
        <f>'Statements Summary 2027'!V60</f>
        <v>1049401.2525000002</v>
      </c>
      <c r="K60" s="1">
        <f>'IS 2024'!F62</f>
        <v>723071.94800000021</v>
      </c>
      <c r="L60" s="1">
        <f>'IS 2024'!G62</f>
        <v>734294.97199999995</v>
      </c>
      <c r="M60" s="1">
        <f>'IS 2024'!H62</f>
        <v>745517.99600000004</v>
      </c>
      <c r="N60" s="1">
        <f>'IS 2024'!I62</f>
        <v>756741.02</v>
      </c>
      <c r="O60" s="1">
        <f>'IS 2024'!J62</f>
        <v>751129.50800000015</v>
      </c>
      <c r="P60" s="1">
        <f>'IS 2024'!K62</f>
        <v>758143.89799999993</v>
      </c>
      <c r="Q60" s="1">
        <f>'IS 2024'!L62</f>
        <v>781992.82400000014</v>
      </c>
      <c r="R60" s="1">
        <f>'IS 2024'!M62</f>
        <v>772172.67799999984</v>
      </c>
      <c r="S60" s="1">
        <f>'IS 2024'!N62</f>
        <v>804438.87200000009</v>
      </c>
      <c r="T60" s="1">
        <f>'IS 2024'!O62</f>
        <v>807946.06700000004</v>
      </c>
      <c r="U60" s="1">
        <f>'IS 2024'!P62</f>
        <v>786201.4580000001</v>
      </c>
      <c r="V60" s="1">
        <f>'IS 2024'!Q62</f>
        <v>800542.65300000017</v>
      </c>
    </row>
    <row r="61" spans="2:22" x14ac:dyDescent="0.3">
      <c r="B61" t="s">
        <v>13</v>
      </c>
      <c r="E61" s="1">
        <f>'Statements Summary 2023'!V60</f>
        <v>-53000.4</v>
      </c>
      <c r="F61" s="1">
        <f t="shared" si="1"/>
        <v>-12637.2</v>
      </c>
      <c r="G61" s="1">
        <f>'Statements Summary 2025'!V61</f>
        <v>0</v>
      </c>
      <c r="H61" s="1">
        <f>'Statements Summary 2026'!V61</f>
        <v>0</v>
      </c>
      <c r="I61" s="1">
        <f>'Statements Summary 2027'!V61</f>
        <v>0</v>
      </c>
      <c r="K61" s="3">
        <f>'IS 2024'!F63</f>
        <v>-49636.800000000003</v>
      </c>
      <c r="L61" s="3">
        <f>'IS 2024'!G63</f>
        <v>-46273.200000000004</v>
      </c>
      <c r="M61" s="3">
        <f>'IS 2024'!H63</f>
        <v>-42909.600000000006</v>
      </c>
      <c r="N61" s="3">
        <f>'IS 2024'!I63</f>
        <v>-39546</v>
      </c>
      <c r="O61" s="3">
        <f>'IS 2024'!J63</f>
        <v>-36182.400000000001</v>
      </c>
      <c r="P61" s="3">
        <f>'IS 2024'!K63</f>
        <v>-32818.800000000003</v>
      </c>
      <c r="Q61" s="3">
        <f>'IS 2024'!L63</f>
        <v>-29455.200000000001</v>
      </c>
      <c r="R61" s="3">
        <f>'IS 2024'!M63</f>
        <v>-26091.600000000002</v>
      </c>
      <c r="S61" s="3">
        <f>'IS 2024'!N63</f>
        <v>-22728</v>
      </c>
      <c r="T61" s="3">
        <f>'IS 2024'!O63</f>
        <v>-19364.400000000001</v>
      </c>
      <c r="U61" s="3">
        <f>'IS 2024'!P63</f>
        <v>-16000.800000000001</v>
      </c>
      <c r="V61" s="3">
        <f>'IS 2024'!Q63</f>
        <v>-12637.2</v>
      </c>
    </row>
    <row r="62" spans="2:22" x14ac:dyDescent="0.3">
      <c r="B62" t="s">
        <v>14</v>
      </c>
      <c r="E62" s="1">
        <f>'Statements Summary 2023'!V61</f>
        <v>735755.94800000021</v>
      </c>
      <c r="F62" s="1">
        <f t="shared" si="1"/>
        <v>802392.65300000017</v>
      </c>
      <c r="G62" s="1">
        <f>'Statements Summary 2025'!V62</f>
        <v>821840.33675000002</v>
      </c>
      <c r="H62" s="1">
        <f>'Statements Summary 2026'!V62</f>
        <v>936404.8737499998</v>
      </c>
      <c r="I62" s="1">
        <f>'Statements Summary 2027'!V62</f>
        <v>1051201.2525000002</v>
      </c>
      <c r="K62" s="1">
        <f>'IS 2024'!F64</f>
        <v>724521.94800000021</v>
      </c>
      <c r="L62" s="1">
        <f>'IS 2024'!G64</f>
        <v>735744.97199999995</v>
      </c>
      <c r="M62" s="1">
        <f>'IS 2024'!H64</f>
        <v>746967.99600000004</v>
      </c>
      <c r="N62" s="1">
        <f>'IS 2024'!I64</f>
        <v>758191.02</v>
      </c>
      <c r="O62" s="1">
        <f>'IS 2024'!J64</f>
        <v>752579.50800000015</v>
      </c>
      <c r="P62" s="1">
        <f>'IS 2024'!K64</f>
        <v>759593.89799999993</v>
      </c>
      <c r="Q62" s="1">
        <f>'IS 2024'!L64</f>
        <v>783442.82400000014</v>
      </c>
      <c r="R62" s="1">
        <f>'IS 2024'!M64</f>
        <v>773622.67799999984</v>
      </c>
      <c r="S62" s="1">
        <f>'IS 2024'!N64</f>
        <v>805888.87200000009</v>
      </c>
      <c r="T62" s="1">
        <f>'IS 2024'!O64</f>
        <v>809396.06700000004</v>
      </c>
      <c r="U62" s="1">
        <f>'IS 2024'!P64</f>
        <v>787651.4580000001</v>
      </c>
      <c r="V62" s="1">
        <f>'IS 2024'!Q64</f>
        <v>802392.65300000017</v>
      </c>
    </row>
    <row r="63" spans="2:22" x14ac:dyDescent="0.3">
      <c r="B63" t="s">
        <v>15</v>
      </c>
      <c r="E63" s="1">
        <f>'Statements Summary 2023'!V62</f>
        <v>-147151.18960000004</v>
      </c>
      <c r="F63" s="1">
        <f t="shared" si="1"/>
        <v>-160478.53060000006</v>
      </c>
      <c r="G63" s="1">
        <f>'Statements Summary 2025'!V63</f>
        <v>-164368.06735000003</v>
      </c>
      <c r="H63" s="1">
        <f>'Statements Summary 2026'!V63</f>
        <v>-187280.97474999996</v>
      </c>
      <c r="I63" s="1">
        <f>'Statements Summary 2027'!V63</f>
        <v>-187280.97474999996</v>
      </c>
      <c r="K63" s="1">
        <f>'IS 2024'!F65</f>
        <v>-144904.38960000005</v>
      </c>
      <c r="L63" s="1">
        <f>'IS 2024'!G65</f>
        <v>-147148.9944</v>
      </c>
      <c r="M63" s="1">
        <f>'IS 2024'!H65</f>
        <v>-149393.59920000003</v>
      </c>
      <c r="N63" s="1">
        <f>'IS 2024'!I65</f>
        <v>-151638.204</v>
      </c>
      <c r="O63" s="1">
        <f>'IS 2024'!J65</f>
        <v>-150515.90160000004</v>
      </c>
      <c r="P63" s="1">
        <f>'IS 2024'!K65</f>
        <v>-151918.77959999998</v>
      </c>
      <c r="Q63" s="1">
        <f>'IS 2024'!L65</f>
        <v>-156688.56480000002</v>
      </c>
      <c r="R63" s="1">
        <f>'IS 2024'!M65</f>
        <v>-154724.53559999997</v>
      </c>
      <c r="S63" s="1">
        <f>'IS 2024'!N65</f>
        <v>-161177.77440000002</v>
      </c>
      <c r="T63" s="1">
        <f>'IS 2024'!O65</f>
        <v>-161879.21340000001</v>
      </c>
      <c r="U63" s="1">
        <f>'IS 2024'!P65</f>
        <v>-157530.29160000003</v>
      </c>
      <c r="V63" s="1">
        <f>'IS 2024'!Q65</f>
        <v>-160478.53060000006</v>
      </c>
    </row>
    <row r="64" spans="2:22" x14ac:dyDescent="0.3">
      <c r="B64" s="23" t="s">
        <v>16</v>
      </c>
      <c r="C64" s="23"/>
      <c r="D64" s="23"/>
      <c r="E64" s="203">
        <f>'Statements Summary 2023'!V63</f>
        <v>588604.75840000017</v>
      </c>
      <c r="F64" s="203">
        <f t="shared" si="1"/>
        <v>641914.12240000011</v>
      </c>
      <c r="G64" s="203">
        <f>'Statements Summary 2025'!V64</f>
        <v>657472.26939999999</v>
      </c>
      <c r="H64" s="203">
        <f>'Statements Summary 2026'!V64</f>
        <v>749123.89899999986</v>
      </c>
      <c r="I64" s="203">
        <f>'Statements Summary 2027'!V64</f>
        <v>840961.00200000009</v>
      </c>
      <c r="K64" s="203">
        <f>'IS 2024'!F66</f>
        <v>579617.55840000021</v>
      </c>
      <c r="L64" s="203">
        <f>'IS 2024'!G66</f>
        <v>588595.97759999998</v>
      </c>
      <c r="M64" s="203">
        <f>'IS 2024'!H66</f>
        <v>597574.39679999999</v>
      </c>
      <c r="N64" s="203">
        <f>'IS 2024'!I66</f>
        <v>606552.81599999999</v>
      </c>
      <c r="O64" s="203">
        <f>'IS 2024'!J66</f>
        <v>602063.60640000016</v>
      </c>
      <c r="P64" s="203">
        <f>'IS 2024'!K66</f>
        <v>607675.11839999992</v>
      </c>
      <c r="Q64" s="203">
        <f>'IS 2024'!L66</f>
        <v>626754.25920000009</v>
      </c>
      <c r="R64" s="203">
        <f>'IS 2024'!M66</f>
        <v>618898.1423999999</v>
      </c>
      <c r="S64" s="203">
        <f>'IS 2024'!N66</f>
        <v>644711.0976000001</v>
      </c>
      <c r="T64" s="203">
        <f>'IS 2024'!O66</f>
        <v>647516.85360000003</v>
      </c>
      <c r="U64" s="203">
        <f>'IS 2024'!P66</f>
        <v>630121.1664000001</v>
      </c>
      <c r="V64" s="203">
        <f>'IS 2024'!Q66</f>
        <v>641914.12240000011</v>
      </c>
    </row>
    <row r="65" spans="2:22" x14ac:dyDescent="0.3">
      <c r="B65" t="s">
        <v>17</v>
      </c>
      <c r="E65" s="2">
        <f>'Statements Summary 2023'!V64</f>
        <v>0.74128879039306761</v>
      </c>
      <c r="F65" s="2">
        <f t="shared" si="1"/>
        <v>0.74583448306842093</v>
      </c>
      <c r="G65" s="2">
        <f>'Statements Summary 2025'!V65</f>
        <v>0.74703136737803788</v>
      </c>
      <c r="H65" s="2">
        <f>'Statements Summary 2026'!V65</f>
        <v>0.75313216345685308</v>
      </c>
      <c r="I65" s="2">
        <f>'Statements Summary 2027'!V65</f>
        <v>0.75397204132610185</v>
      </c>
      <c r="K65" s="2">
        <f>K64/K45</f>
        <v>0.72997031135947965</v>
      </c>
      <c r="L65" s="2">
        <f t="shared" ref="L65:V65" si="11">L64/L45</f>
        <v>0.73094633489453908</v>
      </c>
      <c r="M65" s="2">
        <f t="shared" si="11"/>
        <v>0.73189552616746634</v>
      </c>
      <c r="N65" s="2">
        <f t="shared" si="11"/>
        <v>0.73281897666011087</v>
      </c>
      <c r="O65" s="2">
        <f t="shared" si="11"/>
        <v>0.73236040312195472</v>
      </c>
      <c r="P65" s="2">
        <f t="shared" si="11"/>
        <v>0.73293265013445918</v>
      </c>
      <c r="Q65" s="2">
        <f t="shared" si="11"/>
        <v>0.73480788853530499</v>
      </c>
      <c r="R65" s="2">
        <f t="shared" si="11"/>
        <v>0.73404857941674784</v>
      </c>
      <c r="S65" s="2">
        <f t="shared" si="11"/>
        <v>0.73647948113696382</v>
      </c>
      <c r="T65" s="2">
        <f t="shared" si="11"/>
        <v>0.73673295487544366</v>
      </c>
      <c r="U65" s="2">
        <f t="shared" si="11"/>
        <v>0.73512798073562269</v>
      </c>
      <c r="V65" s="2">
        <f t="shared" si="11"/>
        <v>0.74583448306842093</v>
      </c>
    </row>
    <row r="67" spans="2:22" x14ac:dyDescent="0.3">
      <c r="B67" s="183" t="s">
        <v>276</v>
      </c>
      <c r="C67" s="156"/>
      <c r="D67" s="156"/>
      <c r="E67" s="156"/>
      <c r="F67" s="156"/>
      <c r="G67" s="156"/>
      <c r="H67" s="156"/>
      <c r="I67" s="156"/>
      <c r="K67" s="387" t="s">
        <v>214</v>
      </c>
      <c r="L67" s="387"/>
      <c r="M67" s="387"/>
      <c r="N67" s="387"/>
      <c r="O67" s="387"/>
      <c r="P67" s="387"/>
      <c r="Q67" s="387"/>
      <c r="R67" s="387"/>
      <c r="S67" s="387"/>
      <c r="T67" s="387"/>
      <c r="U67" s="387"/>
      <c r="V67" s="387"/>
    </row>
    <row r="85" spans="2:22" x14ac:dyDescent="0.3">
      <c r="B85" s="183" t="s">
        <v>277</v>
      </c>
      <c r="C85" s="183"/>
      <c r="D85" s="183"/>
      <c r="E85" s="183"/>
      <c r="F85" s="156"/>
      <c r="G85" s="156"/>
      <c r="H85" s="156"/>
      <c r="I85" s="156"/>
      <c r="J85" s="156"/>
      <c r="K85" s="387" t="s">
        <v>215</v>
      </c>
      <c r="L85" s="387"/>
      <c r="M85" s="387"/>
      <c r="N85" s="387"/>
      <c r="O85" s="387"/>
      <c r="P85" s="387"/>
      <c r="Q85" s="387"/>
      <c r="R85" s="387"/>
      <c r="S85" s="387"/>
      <c r="T85" s="387"/>
      <c r="U85" s="387"/>
      <c r="V85" s="387"/>
    </row>
    <row r="87" spans="2:22" x14ac:dyDescent="0.3">
      <c r="B87" s="201" t="s">
        <v>27</v>
      </c>
      <c r="C87" s="201"/>
      <c r="D87" s="201"/>
      <c r="E87" s="202">
        <v>2023</v>
      </c>
      <c r="F87" s="202">
        <v>2024</v>
      </c>
      <c r="G87" s="202">
        <v>2025</v>
      </c>
      <c r="H87" s="202">
        <v>2026</v>
      </c>
      <c r="I87" s="202">
        <v>2027</v>
      </c>
      <c r="J87" s="201"/>
      <c r="K87" s="202" t="s">
        <v>32</v>
      </c>
      <c r="L87" s="202" t="s">
        <v>33</v>
      </c>
      <c r="M87" s="202" t="s">
        <v>34</v>
      </c>
      <c r="N87" s="202" t="s">
        <v>35</v>
      </c>
      <c r="O87" s="202" t="s">
        <v>36</v>
      </c>
      <c r="P87" s="202" t="s">
        <v>37</v>
      </c>
      <c r="Q87" s="202" t="s">
        <v>38</v>
      </c>
      <c r="R87" s="202" t="s">
        <v>39</v>
      </c>
      <c r="S87" s="202" t="s">
        <v>40</v>
      </c>
      <c r="T87" s="202" t="s">
        <v>41</v>
      </c>
      <c r="U87" s="202" t="s">
        <v>42</v>
      </c>
      <c r="V87" s="202" t="s">
        <v>43</v>
      </c>
    </row>
    <row r="88" spans="2:22" x14ac:dyDescent="0.3">
      <c r="B88" t="s">
        <v>55</v>
      </c>
      <c r="E88" s="213">
        <f>'Statements Summary 2023'!V86</f>
        <v>5300048.053568</v>
      </c>
      <c r="F88" s="213">
        <f t="shared" ref="F88:F99" si="12">V88</f>
        <v>12937033.168768</v>
      </c>
      <c r="G88" s="213">
        <f>'Statements Summary 2025'!V88</f>
        <v>21347934.268282287</v>
      </c>
      <c r="H88" s="213">
        <f>'Statements Summary 2026'!V88</f>
        <v>29790310.365282293</v>
      </c>
      <c r="I88" s="213">
        <f>'Statements Summary 2027'!V88</f>
        <v>40151893.008882284</v>
      </c>
      <c r="K88" s="213">
        <f>'BS 2024'!F14</f>
        <v>5882517.8119680006</v>
      </c>
      <c r="L88" s="213">
        <f>'BS 2024'!G14</f>
        <v>6477329.5895680003</v>
      </c>
      <c r="M88" s="213">
        <f>'BS 2024'!H14</f>
        <v>7084483.3863679999</v>
      </c>
      <c r="N88" s="213">
        <f>'BS 2024'!I14</f>
        <v>7703979.2023679996</v>
      </c>
      <c r="O88" s="213">
        <f>'BS 2024'!J14</f>
        <v>8322349.4087680001</v>
      </c>
      <c r="P88" s="213">
        <f>'BS 2024'!K14</f>
        <v>8949694.7271679994</v>
      </c>
      <c r="Q88" s="213">
        <f>'BS 2024'!L14</f>
        <v>9599482.7863679994</v>
      </c>
      <c r="R88" s="213">
        <f>'BS 2024'!M14</f>
        <v>10244778.328768</v>
      </c>
      <c r="S88" s="213">
        <f>'BS 2024'!N14</f>
        <v>10919250.426368</v>
      </c>
      <c r="T88" s="213">
        <f>'BS 2024'!O14</f>
        <v>11599891.879968001</v>
      </c>
      <c r="U88" s="213">
        <f>'BS 2024'!P14</f>
        <v>12266501.246368</v>
      </c>
      <c r="V88" s="213">
        <f>'BS 2024'!Q14</f>
        <v>12937033.168768</v>
      </c>
    </row>
    <row r="89" spans="2:22" x14ac:dyDescent="0.3">
      <c r="B89" t="s">
        <v>56</v>
      </c>
      <c r="E89" s="213">
        <f>'Statements Summary 2023'!V87</f>
        <v>470532</v>
      </c>
      <c r="F89" s="213">
        <f t="shared" si="12"/>
        <v>488332</v>
      </c>
      <c r="G89" s="213">
        <f>'Statements Summary 2025'!V89</f>
        <v>509481</v>
      </c>
      <c r="H89" s="213">
        <f>'Statements Summary 2026'!V89</f>
        <v>531018</v>
      </c>
      <c r="I89" s="213">
        <f>'Statements Summary 2027'!V89</f>
        <v>552400</v>
      </c>
      <c r="K89" s="213">
        <f>'BS 2024'!F19</f>
        <v>471982</v>
      </c>
      <c r="L89" s="213">
        <f>'BS 2024'!G19</f>
        <v>473432</v>
      </c>
      <c r="M89" s="213">
        <f>'BS 2024'!H19</f>
        <v>474882</v>
      </c>
      <c r="N89" s="213">
        <f>'BS 2024'!I19</f>
        <v>476332</v>
      </c>
      <c r="O89" s="213">
        <f>'BS 2024'!J19</f>
        <v>477782</v>
      </c>
      <c r="P89" s="213">
        <f>'BS 2024'!K19</f>
        <v>479232</v>
      </c>
      <c r="Q89" s="213">
        <f>'BS 2024'!L19</f>
        <v>480682</v>
      </c>
      <c r="R89" s="213">
        <f>'BS 2024'!M19</f>
        <v>482132</v>
      </c>
      <c r="S89" s="213">
        <f>'BS 2024'!N19</f>
        <v>483582</v>
      </c>
      <c r="T89" s="213">
        <f>'BS 2024'!O19</f>
        <v>485032</v>
      </c>
      <c r="U89" s="213">
        <f>'BS 2024'!P19</f>
        <v>486482</v>
      </c>
      <c r="V89" s="213">
        <f>'BS 2024'!Q19</f>
        <v>488332</v>
      </c>
    </row>
    <row r="90" spans="2:22" x14ac:dyDescent="0.3">
      <c r="B90" t="s">
        <v>57</v>
      </c>
      <c r="E90" s="213">
        <f>'Statements Summary 2023'!V88</f>
        <v>5770580.053568</v>
      </c>
      <c r="F90" s="213">
        <f t="shared" si="12"/>
        <v>13425365.168768</v>
      </c>
      <c r="G90" s="213">
        <f>'Statements Summary 2025'!V90</f>
        <v>21857415.268282287</v>
      </c>
      <c r="H90" s="213">
        <f>'Statements Summary 2026'!V90</f>
        <v>30321328.365282293</v>
      </c>
      <c r="I90" s="213">
        <f>'Statements Summary 2027'!V90</f>
        <v>40704293.008882284</v>
      </c>
      <c r="K90" s="213">
        <f>'BS 2024'!F20</f>
        <v>6354499.8119680006</v>
      </c>
      <c r="L90" s="213">
        <f>'BS 2024'!G20</f>
        <v>6950761.5895680003</v>
      </c>
      <c r="M90" s="213">
        <f>'BS 2024'!H20</f>
        <v>7559365.3863679999</v>
      </c>
      <c r="N90" s="213">
        <f>'BS 2024'!I20</f>
        <v>8180311.2023679996</v>
      </c>
      <c r="O90" s="213">
        <f>'BS 2024'!J20</f>
        <v>8800131.4087680001</v>
      </c>
      <c r="P90" s="213">
        <f>'BS 2024'!K20</f>
        <v>9428926.7271679994</v>
      </c>
      <c r="Q90" s="213">
        <f>'BS 2024'!L20</f>
        <v>10080164.786367999</v>
      </c>
      <c r="R90" s="213">
        <f>'BS 2024'!M20</f>
        <v>10726910.328768</v>
      </c>
      <c r="S90" s="213">
        <f>'BS 2024'!N20</f>
        <v>11402832.426368</v>
      </c>
      <c r="T90" s="213">
        <f>'BS 2024'!O20</f>
        <v>12084923.879968001</v>
      </c>
      <c r="U90" s="213">
        <f>'BS 2024'!P20</f>
        <v>12752983.246368</v>
      </c>
      <c r="V90" s="213">
        <f>'BS 2024'!Q20</f>
        <v>13425365.168768</v>
      </c>
    </row>
    <row r="91" spans="2:22" x14ac:dyDescent="0.3">
      <c r="B91" t="s">
        <v>58</v>
      </c>
      <c r="E91" s="213">
        <f>'Statements Summary 2023'!V89</f>
        <v>-147151.18960000004</v>
      </c>
      <c r="F91" s="213">
        <f t="shared" si="12"/>
        <v>-160478.53060000006</v>
      </c>
      <c r="G91" s="213">
        <f>'Statements Summary 2025'!V91</f>
        <v>-164368.06735000003</v>
      </c>
      <c r="H91" s="213">
        <f>'Statements Summary 2026'!V91</f>
        <v>-187280.97474999996</v>
      </c>
      <c r="I91" s="213">
        <f>'Statements Summary 2027'!V91</f>
        <v>-210240.25050000005</v>
      </c>
      <c r="K91" s="213"/>
      <c r="L91" s="213">
        <f>'BS 2024'!G25</f>
        <v>-147148.9944</v>
      </c>
      <c r="M91" s="213">
        <f>'BS 2024'!H25</f>
        <v>-149393.59920000003</v>
      </c>
      <c r="N91" s="213">
        <f>'BS 2024'!I25</f>
        <v>-151638.204</v>
      </c>
      <c r="O91" s="213">
        <f>'BS 2024'!J25</f>
        <v>-150515.90160000004</v>
      </c>
      <c r="P91" s="213">
        <f>'BS 2024'!K25</f>
        <v>-151918.77959999998</v>
      </c>
      <c r="Q91" s="213">
        <f>'BS 2024'!L25</f>
        <v>-156688.56480000002</v>
      </c>
      <c r="R91" s="213">
        <f>'BS 2024'!M25</f>
        <v>-154724.53559999997</v>
      </c>
      <c r="S91" s="213">
        <f>'BS 2024'!N25</f>
        <v>-161177.77440000002</v>
      </c>
      <c r="T91" s="213">
        <f>'BS 2024'!O25</f>
        <v>-161879.21340000001</v>
      </c>
      <c r="U91" s="213">
        <f>'BS 2024'!P25</f>
        <v>-157530.29160000003</v>
      </c>
      <c r="V91" s="213">
        <f>'BS 2024'!Q25</f>
        <v>-160478.53060000006</v>
      </c>
    </row>
    <row r="92" spans="2:22" x14ac:dyDescent="0.3">
      <c r="B92" t="s">
        <v>211</v>
      </c>
      <c r="E92" s="213">
        <f>'Statements Summary 2023'!V90</f>
        <v>-265002</v>
      </c>
      <c r="F92" s="213">
        <f t="shared" si="12"/>
        <v>-63186</v>
      </c>
      <c r="G92" s="213">
        <f>'Statements Summary 2025'!V92</f>
        <v>0</v>
      </c>
      <c r="H92" s="213">
        <f>'Statements Summary 2026'!V92</f>
        <v>0</v>
      </c>
      <c r="I92" s="213">
        <f>'Statements Summary 2027'!V92</f>
        <v>0</v>
      </c>
      <c r="K92" s="213">
        <f>'BS 2024'!F27</f>
        <v>-248184</v>
      </c>
      <c r="L92" s="213">
        <f>'BS 2024'!G27</f>
        <v>-231366</v>
      </c>
      <c r="M92" s="213">
        <f>'BS 2024'!H27</f>
        <v>-214548</v>
      </c>
      <c r="N92" s="213">
        <f>'BS 2024'!I27</f>
        <v>-197730</v>
      </c>
      <c r="O92" s="213">
        <f>'BS 2024'!J27</f>
        <v>-180912</v>
      </c>
      <c r="P92" s="213">
        <f>'BS 2024'!K27</f>
        <v>-164094</v>
      </c>
      <c r="Q92" s="213">
        <f>'BS 2024'!L27</f>
        <v>-147276</v>
      </c>
      <c r="R92" s="213">
        <f>'BS 2024'!M27</f>
        <v>-130458</v>
      </c>
      <c r="S92" s="213">
        <f>'BS 2024'!N27</f>
        <v>-113640</v>
      </c>
      <c r="T92" s="213">
        <f>'BS 2024'!O27</f>
        <v>-96822</v>
      </c>
      <c r="U92" s="213">
        <f>'BS 2024'!P27</f>
        <v>-80004</v>
      </c>
      <c r="V92" s="213">
        <f>'BS 2024'!Q27</f>
        <v>-63186</v>
      </c>
    </row>
    <row r="93" spans="2:22" x14ac:dyDescent="0.3">
      <c r="B93" t="s">
        <v>60</v>
      </c>
      <c r="E93" s="213">
        <f>'Statements Summary 2023'!V91</f>
        <v>-412153.18960000004</v>
      </c>
      <c r="F93" s="213">
        <f t="shared" si="12"/>
        <v>-223664.53060000006</v>
      </c>
      <c r="G93" s="213">
        <f>'Statements Summary 2025'!V93</f>
        <v>-164368.06735000003</v>
      </c>
      <c r="H93" s="213">
        <f>'Statements Summary 2026'!V93</f>
        <v>-187280.97474999996</v>
      </c>
      <c r="I93" s="213">
        <f>'Statements Summary 2027'!V93</f>
        <v>-210240.25050000005</v>
      </c>
      <c r="K93" s="213">
        <f>'BS 2024'!F32</f>
        <v>-393088.38960000005</v>
      </c>
      <c r="L93" s="213">
        <f>'BS 2024'!G32</f>
        <v>-378514.99439999997</v>
      </c>
      <c r="M93" s="213">
        <f>'BS 2024'!H32</f>
        <v>-363941.59920000006</v>
      </c>
      <c r="N93" s="213">
        <f>'BS 2024'!I32</f>
        <v>-349368.20400000003</v>
      </c>
      <c r="O93" s="213">
        <f>'BS 2024'!J32</f>
        <v>-331427.90160000004</v>
      </c>
      <c r="P93" s="213">
        <f>'BS 2024'!K32</f>
        <v>-316012.77960000001</v>
      </c>
      <c r="Q93" s="213">
        <f>'BS 2024'!L32</f>
        <v>-303964.56480000005</v>
      </c>
      <c r="R93" s="213">
        <f>'BS 2024'!M32</f>
        <v>-285182.53559999994</v>
      </c>
      <c r="S93" s="213">
        <f>'BS 2024'!N32</f>
        <v>-274817.77439999999</v>
      </c>
      <c r="T93" s="213">
        <f>'BS 2024'!O32</f>
        <v>-258701.21340000001</v>
      </c>
      <c r="U93" s="213">
        <f>'BS 2024'!P32</f>
        <v>-237534.29160000003</v>
      </c>
      <c r="V93" s="213">
        <f>'BS 2024'!Q32</f>
        <v>-223664.53060000006</v>
      </c>
    </row>
    <row r="94" spans="2:22" x14ac:dyDescent="0.3">
      <c r="B94" t="s">
        <v>61</v>
      </c>
      <c r="E94" s="213">
        <f>'Statements Summary 2023'!V92</f>
        <v>5358426.8639679998</v>
      </c>
      <c r="F94" s="213">
        <f t="shared" si="12"/>
        <v>13201700.638168</v>
      </c>
      <c r="G94" s="213">
        <f>'Statements Summary 2025'!V94</f>
        <v>21693047.200932287</v>
      </c>
      <c r="H94" s="213">
        <f>'Statements Summary 2026'!V94</f>
        <v>30134047.390532292</v>
      </c>
      <c r="I94" s="213">
        <f>'Statements Summary 2027'!V94</f>
        <v>40494052.758382283</v>
      </c>
      <c r="K94" s="213">
        <f>'BS 2024'!F33</f>
        <v>5961411.4223680003</v>
      </c>
      <c r="L94" s="213">
        <f>'BS 2024'!G33</f>
        <v>6572246.5951680001</v>
      </c>
      <c r="M94" s="213">
        <f>'BS 2024'!H33</f>
        <v>7195423.7871679999</v>
      </c>
      <c r="N94" s="213">
        <f>'BS 2024'!I33</f>
        <v>7830942.9983679997</v>
      </c>
      <c r="O94" s="213">
        <f>'BS 2024'!J33</f>
        <v>8468703.5071680006</v>
      </c>
      <c r="P94" s="213">
        <f>'BS 2024'!K33</f>
        <v>9112913.9475679994</v>
      </c>
      <c r="Q94" s="213">
        <f>'BS 2024'!L33</f>
        <v>9776200.2215679996</v>
      </c>
      <c r="R94" s="213">
        <f>'BS 2024'!M33</f>
        <v>10441727.793168001</v>
      </c>
      <c r="S94" s="213">
        <f>'BS 2024'!N33</f>
        <v>11128014.651968</v>
      </c>
      <c r="T94" s="213">
        <f>'BS 2024'!O33</f>
        <v>11826222.666568</v>
      </c>
      <c r="U94" s="213">
        <f>'BS 2024'!P33</f>
        <v>12515448.954768</v>
      </c>
      <c r="V94" s="213">
        <f>'BS 2024'!Q33</f>
        <v>13201700.638168</v>
      </c>
    </row>
    <row r="95" spans="2:22" x14ac:dyDescent="0.3">
      <c r="B95" t="s">
        <v>62</v>
      </c>
      <c r="E95" s="213">
        <f>'Statements Summary 2023'!V93</f>
        <v>5300048.053568</v>
      </c>
      <c r="F95" s="213">
        <f t="shared" si="12"/>
        <v>12937033.168768</v>
      </c>
      <c r="G95" s="213">
        <f>'Statements Summary 2025'!V95</f>
        <v>21347934.268282287</v>
      </c>
      <c r="H95" s="213">
        <f>'Statements Summary 2026'!V95</f>
        <v>29790310.365282293</v>
      </c>
      <c r="I95" s="213">
        <f>'Statements Summary 2027'!V95</f>
        <v>40151893.008882284</v>
      </c>
      <c r="K95" s="213">
        <f>'BS 2024'!F14</f>
        <v>5882517.8119680006</v>
      </c>
      <c r="L95" s="213">
        <f>'BS 2024'!G14</f>
        <v>6477329.5895680003</v>
      </c>
      <c r="M95" s="213">
        <f>'BS 2024'!H14</f>
        <v>7084483.3863679999</v>
      </c>
      <c r="N95" s="213">
        <f>'BS 2024'!I14</f>
        <v>7703979.2023679996</v>
      </c>
      <c r="O95" s="213">
        <f>'BS 2024'!J14</f>
        <v>8322349.4087680001</v>
      </c>
      <c r="P95" s="213">
        <f>'BS 2024'!K14</f>
        <v>8949694.7271679994</v>
      </c>
      <c r="Q95" s="213">
        <f>'BS 2024'!L14</f>
        <v>9599482.7863679994</v>
      </c>
      <c r="R95" s="213">
        <f>'BS 2024'!M14</f>
        <v>10244778.328768</v>
      </c>
      <c r="S95" s="213">
        <f>'BS 2024'!N14</f>
        <v>10919250.426368</v>
      </c>
      <c r="T95" s="213">
        <f>'BS 2024'!O14</f>
        <v>11599891.879968001</v>
      </c>
      <c r="U95" s="213">
        <f>'BS 2024'!P14</f>
        <v>12266501.246368</v>
      </c>
      <c r="V95" s="213">
        <f>'BS 2024'!Q14</f>
        <v>12937033.168768</v>
      </c>
    </row>
    <row r="96" spans="2:22" x14ac:dyDescent="0.3">
      <c r="B96" t="s">
        <v>63</v>
      </c>
      <c r="E96" s="213" t="str">
        <f>'Statements Summary 2023'!V94</f>
        <v>-</v>
      </c>
      <c r="F96" s="213" t="str">
        <f t="shared" si="12"/>
        <v>-</v>
      </c>
      <c r="G96" s="213" t="str">
        <f>'Statements Summary 2025'!V96</f>
        <v>-</v>
      </c>
      <c r="H96" s="213" t="str">
        <f>'Statements Summary 2026'!V96</f>
        <v>-</v>
      </c>
      <c r="I96" s="213" t="str">
        <f>'Statements Summary 2027'!V96</f>
        <v>-</v>
      </c>
      <c r="K96" s="213" t="s">
        <v>205</v>
      </c>
      <c r="L96" s="213" t="s">
        <v>205</v>
      </c>
      <c r="M96" s="213" t="s">
        <v>205</v>
      </c>
      <c r="N96" s="213" t="s">
        <v>205</v>
      </c>
      <c r="O96" s="213" t="s">
        <v>205</v>
      </c>
      <c r="P96" s="213" t="s">
        <v>205</v>
      </c>
      <c r="Q96" s="213" t="s">
        <v>205</v>
      </c>
      <c r="R96" s="213" t="s">
        <v>205</v>
      </c>
      <c r="S96" s="213" t="s">
        <v>205</v>
      </c>
      <c r="T96" s="213" t="s">
        <v>205</v>
      </c>
      <c r="U96" s="213" t="s">
        <v>205</v>
      </c>
      <c r="V96" s="213" t="s">
        <v>205</v>
      </c>
    </row>
    <row r="97" spans="2:22" x14ac:dyDescent="0.3">
      <c r="B97" t="s">
        <v>64</v>
      </c>
      <c r="E97" s="213">
        <f>'Statements Summary 2023'!V95</f>
        <v>0</v>
      </c>
      <c r="F97" s="213">
        <f t="shared" si="12"/>
        <v>0</v>
      </c>
      <c r="G97" s="213">
        <f>'Statements Summary 2025'!V97</f>
        <v>0</v>
      </c>
      <c r="H97" s="213">
        <f>'Statements Summary 2026'!V97</f>
        <v>0</v>
      </c>
      <c r="I97" s="213">
        <f>'Statements Summary 2027'!V97</f>
        <v>0</v>
      </c>
      <c r="K97" s="213" t="s">
        <v>205</v>
      </c>
      <c r="L97" s="213" t="s">
        <v>205</v>
      </c>
      <c r="M97" s="213" t="s">
        <v>205</v>
      </c>
      <c r="N97" s="213" t="s">
        <v>205</v>
      </c>
      <c r="O97" s="213" t="s">
        <v>205</v>
      </c>
      <c r="P97" s="213" t="s">
        <v>205</v>
      </c>
      <c r="Q97" s="213" t="s">
        <v>205</v>
      </c>
      <c r="R97" s="213" t="s">
        <v>205</v>
      </c>
      <c r="S97" s="213" t="s">
        <v>205</v>
      </c>
      <c r="T97" s="213" t="s">
        <v>205</v>
      </c>
      <c r="U97" s="213" t="s">
        <v>205</v>
      </c>
      <c r="V97" s="213"/>
    </row>
    <row r="98" spans="2:22" x14ac:dyDescent="0.3">
      <c r="B98" t="s">
        <v>65</v>
      </c>
      <c r="E98" s="213">
        <f>'Statements Summary 2023'!V96</f>
        <v>5358426.8639679998</v>
      </c>
      <c r="F98" s="213">
        <f t="shared" si="12"/>
        <v>13201700.638168</v>
      </c>
      <c r="G98" s="213">
        <f>'Statements Summary 2025'!V98</f>
        <v>21693047.200932287</v>
      </c>
      <c r="H98" s="213">
        <f>'Statements Summary 2026'!V98</f>
        <v>30134047.390532292</v>
      </c>
      <c r="I98" s="213">
        <f>'Statements Summary 2027'!V98</f>
        <v>40494052.758382283</v>
      </c>
      <c r="K98" s="213">
        <f>K94</f>
        <v>5961411.4223680003</v>
      </c>
      <c r="L98" s="213">
        <f t="shared" ref="L98:V98" si="13">L94</f>
        <v>6572246.5951680001</v>
      </c>
      <c r="M98" s="213">
        <f t="shared" si="13"/>
        <v>7195423.7871679999</v>
      </c>
      <c r="N98" s="213">
        <f t="shared" si="13"/>
        <v>7830942.9983679997</v>
      </c>
      <c r="O98" s="213">
        <f t="shared" si="13"/>
        <v>8468703.5071680006</v>
      </c>
      <c r="P98" s="213">
        <f t="shared" si="13"/>
        <v>9112913.9475679994</v>
      </c>
      <c r="Q98" s="213">
        <f t="shared" si="13"/>
        <v>9776200.2215679996</v>
      </c>
      <c r="R98" s="213">
        <f t="shared" si="13"/>
        <v>10441727.793168001</v>
      </c>
      <c r="S98" s="213">
        <f t="shared" si="13"/>
        <v>11128014.651968</v>
      </c>
      <c r="T98" s="213">
        <f t="shared" si="13"/>
        <v>11826222.666568</v>
      </c>
      <c r="U98" s="213">
        <f t="shared" si="13"/>
        <v>12515448.954768</v>
      </c>
      <c r="V98" s="213">
        <f t="shared" si="13"/>
        <v>13201700.638168</v>
      </c>
    </row>
    <row r="99" spans="2:22" x14ac:dyDescent="0.3">
      <c r="B99" t="s">
        <v>66</v>
      </c>
      <c r="E99" s="213">
        <f>'Statements Summary 2023'!V97</f>
        <v>5358426.8639679998</v>
      </c>
      <c r="F99" s="213">
        <f t="shared" si="12"/>
        <v>13201700.638168</v>
      </c>
      <c r="G99" s="213">
        <f>'Statements Summary 2025'!V99</f>
        <v>21693047.200932287</v>
      </c>
      <c r="H99" s="213">
        <f>'Statements Summary 2026'!V99</f>
        <v>30134047.390532292</v>
      </c>
      <c r="I99" s="213">
        <f>'Statements Summary 2027'!V99</f>
        <v>40494052.758382283</v>
      </c>
      <c r="K99" s="213">
        <f>K98</f>
        <v>5961411.4223680003</v>
      </c>
      <c r="L99" s="213">
        <f t="shared" ref="L99:V99" si="14">L98</f>
        <v>6572246.5951680001</v>
      </c>
      <c r="M99" s="213">
        <f t="shared" si="14"/>
        <v>7195423.7871679999</v>
      </c>
      <c r="N99" s="213">
        <f t="shared" si="14"/>
        <v>7830942.9983679997</v>
      </c>
      <c r="O99" s="213">
        <f t="shared" si="14"/>
        <v>8468703.5071680006</v>
      </c>
      <c r="P99" s="213">
        <f t="shared" si="14"/>
        <v>9112913.9475679994</v>
      </c>
      <c r="Q99" s="213">
        <f t="shared" si="14"/>
        <v>9776200.2215679996</v>
      </c>
      <c r="R99" s="213">
        <f t="shared" si="14"/>
        <v>10441727.793168001</v>
      </c>
      <c r="S99" s="213">
        <f t="shared" si="14"/>
        <v>11128014.651968</v>
      </c>
      <c r="T99" s="213">
        <f t="shared" si="14"/>
        <v>11826222.666568</v>
      </c>
      <c r="U99" s="213">
        <f t="shared" si="14"/>
        <v>12515448.954768</v>
      </c>
      <c r="V99" s="213">
        <f t="shared" si="14"/>
        <v>13201700.638168</v>
      </c>
    </row>
    <row r="101" spans="2:22" x14ac:dyDescent="0.3">
      <c r="B101" s="183" t="s">
        <v>277</v>
      </c>
      <c r="C101" s="156"/>
      <c r="D101" s="156"/>
      <c r="E101" s="156"/>
      <c r="F101" s="156"/>
      <c r="G101" s="156"/>
      <c r="H101" s="156"/>
      <c r="I101" s="156"/>
      <c r="K101" s="387" t="s">
        <v>215</v>
      </c>
      <c r="L101" s="387"/>
      <c r="M101" s="387"/>
      <c r="N101" s="387"/>
      <c r="O101" s="387"/>
      <c r="P101" s="387"/>
      <c r="Q101" s="387"/>
      <c r="R101" s="387"/>
      <c r="S101" s="387"/>
      <c r="T101" s="387"/>
      <c r="U101" s="387"/>
      <c r="V101" s="387"/>
    </row>
  </sheetData>
  <mergeCells count="6">
    <mergeCell ref="K101:V101"/>
    <mergeCell ref="K19:V19"/>
    <mergeCell ref="K2:V2"/>
    <mergeCell ref="K42:V42"/>
    <mergeCell ref="K67:V67"/>
    <mergeCell ref="K85:V8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BA3F-3498-49FA-B99A-BCBC5FFA158F}">
  <dimension ref="B2:W63"/>
  <sheetViews>
    <sheetView showGridLines="0" zoomScale="95" zoomScaleNormal="95" workbookViewId="0">
      <selection activeCell="M70" sqref="M70"/>
    </sheetView>
  </sheetViews>
  <sheetFormatPr defaultRowHeight="14.4" x14ac:dyDescent="0.3"/>
  <cols>
    <col min="1" max="1" width="1.77734375" customWidth="1"/>
    <col min="2" max="2" width="24.5546875" customWidth="1"/>
    <col min="3" max="3" width="7.21875" customWidth="1"/>
    <col min="4" max="4" width="6.6640625" customWidth="1"/>
    <col min="5" max="5" width="3.44140625" customWidth="1"/>
    <col min="6" max="6" width="10.44140625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274</v>
      </c>
      <c r="C2" s="8"/>
    </row>
    <row r="3" spans="2:23" ht="13.8" customHeight="1" x14ac:dyDescent="0.35">
      <c r="B3" s="8"/>
      <c r="C3" s="8"/>
    </row>
    <row r="4" spans="2:23" s="13" customFormat="1" ht="15" customHeight="1" x14ac:dyDescent="0.3">
      <c r="B4" s="151"/>
      <c r="C4" s="151"/>
      <c r="D4" s="151"/>
      <c r="E4" s="151"/>
      <c r="F4" s="218">
        <v>2025</v>
      </c>
      <c r="G4" s="218">
        <v>2025</v>
      </c>
      <c r="H4" s="218">
        <v>2025</v>
      </c>
      <c r="I4" s="218">
        <v>2025</v>
      </c>
      <c r="J4" s="218">
        <v>2025</v>
      </c>
      <c r="K4" s="218">
        <v>2025</v>
      </c>
      <c r="L4" s="218">
        <v>2025</v>
      </c>
      <c r="M4" s="218">
        <v>2025</v>
      </c>
      <c r="N4" s="218">
        <v>2025</v>
      </c>
      <c r="O4" s="218">
        <v>2025</v>
      </c>
      <c r="P4" s="218">
        <v>2025</v>
      </c>
      <c r="Q4" s="218">
        <v>2025</v>
      </c>
      <c r="R4" s="218"/>
      <c r="S4" s="218"/>
      <c r="T4" s="218"/>
      <c r="U4" s="156"/>
      <c r="V4" s="156"/>
      <c r="W4" s="151"/>
    </row>
    <row r="5" spans="2:23" ht="15" customHeight="1" x14ac:dyDescent="0.3">
      <c r="B5" s="325" t="s">
        <v>0</v>
      </c>
      <c r="C5" s="168"/>
      <c r="D5" s="168"/>
      <c r="E5" s="168"/>
      <c r="F5" s="326" t="s">
        <v>32</v>
      </c>
      <c r="G5" s="326" t="s">
        <v>33</v>
      </c>
      <c r="H5" s="326" t="s">
        <v>34</v>
      </c>
      <c r="I5" s="326" t="s">
        <v>35</v>
      </c>
      <c r="J5" s="326" t="s">
        <v>36</v>
      </c>
      <c r="K5" s="326" t="s">
        <v>37</v>
      </c>
      <c r="L5" s="326" t="s">
        <v>38</v>
      </c>
      <c r="M5" s="326" t="s">
        <v>39</v>
      </c>
      <c r="N5" s="326" t="s">
        <v>40</v>
      </c>
      <c r="O5" s="326" t="s">
        <v>41</v>
      </c>
      <c r="P5" s="326" t="s">
        <v>42</v>
      </c>
      <c r="Q5" s="326" t="s">
        <v>43</v>
      </c>
      <c r="R5" s="168"/>
      <c r="S5" s="168"/>
      <c r="T5" s="168"/>
      <c r="U5" s="168"/>
      <c r="V5" s="168"/>
      <c r="W5" s="168"/>
    </row>
    <row r="6" spans="2:23" ht="15" customHeight="1" x14ac:dyDescent="0.3">
      <c r="B6" s="4"/>
      <c r="F6" s="388" t="s">
        <v>266</v>
      </c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</row>
    <row r="7" spans="2:23" ht="14.4" customHeight="1" x14ac:dyDescent="0.3">
      <c r="B7" s="4" t="s">
        <v>265</v>
      </c>
      <c r="F7" s="222">
        <v>8000</v>
      </c>
      <c r="G7" s="222">
        <v>8100</v>
      </c>
      <c r="H7" s="222">
        <v>8200</v>
      </c>
      <c r="I7" s="222">
        <v>8300</v>
      </c>
      <c r="J7" s="222">
        <v>8400</v>
      </c>
      <c r="K7" s="222">
        <v>8500</v>
      </c>
      <c r="L7" s="222">
        <v>8600</v>
      </c>
      <c r="M7" s="222">
        <v>8700</v>
      </c>
      <c r="N7" s="222">
        <v>8800</v>
      </c>
      <c r="O7" s="222">
        <v>8850</v>
      </c>
      <c r="P7" s="222">
        <v>8900</v>
      </c>
      <c r="Q7" s="222">
        <v>8950</v>
      </c>
    </row>
    <row r="8" spans="2:23" x14ac:dyDescent="0.3">
      <c r="B8" s="4" t="s">
        <v>248</v>
      </c>
      <c r="F8" s="329">
        <v>3</v>
      </c>
      <c r="G8" s="329">
        <v>3</v>
      </c>
      <c r="H8" s="329">
        <v>3.5</v>
      </c>
      <c r="I8" s="329">
        <v>3.5</v>
      </c>
      <c r="J8" s="329">
        <v>3.5</v>
      </c>
      <c r="K8" s="329">
        <v>3.5</v>
      </c>
      <c r="L8" s="329">
        <v>3.5</v>
      </c>
      <c r="M8" s="329">
        <v>3.5</v>
      </c>
      <c r="N8" s="329">
        <v>3.5</v>
      </c>
      <c r="O8" s="329">
        <v>3.5</v>
      </c>
      <c r="P8" s="329">
        <v>3.5</v>
      </c>
      <c r="Q8" s="329">
        <v>3.5</v>
      </c>
    </row>
    <row r="9" spans="2:23" x14ac:dyDescent="0.3">
      <c r="B9" s="4" t="s">
        <v>251</v>
      </c>
      <c r="F9" s="319">
        <f t="shared" ref="F9:Q9" si="0">F7/F8</f>
        <v>2666.6666666666665</v>
      </c>
      <c r="G9" s="319">
        <f t="shared" si="0"/>
        <v>2700</v>
      </c>
      <c r="H9" s="319">
        <f t="shared" si="0"/>
        <v>2342.8571428571427</v>
      </c>
      <c r="I9" s="319">
        <f t="shared" si="0"/>
        <v>2371.4285714285716</v>
      </c>
      <c r="J9" s="319">
        <f t="shared" si="0"/>
        <v>2400</v>
      </c>
      <c r="K9" s="319">
        <f t="shared" si="0"/>
        <v>2428.5714285714284</v>
      </c>
      <c r="L9" s="319">
        <f t="shared" si="0"/>
        <v>2457.1428571428573</v>
      </c>
      <c r="M9" s="319">
        <f t="shared" si="0"/>
        <v>2485.7142857142858</v>
      </c>
      <c r="N9" s="319">
        <f t="shared" si="0"/>
        <v>2514.2857142857142</v>
      </c>
      <c r="O9" s="319">
        <f t="shared" si="0"/>
        <v>2528.5714285714284</v>
      </c>
      <c r="P9" s="319">
        <f t="shared" si="0"/>
        <v>2542.8571428571427</v>
      </c>
      <c r="Q9" s="319">
        <f t="shared" si="0"/>
        <v>2557.1428571428573</v>
      </c>
    </row>
    <row r="10" spans="2:23" x14ac:dyDescent="0.3">
      <c r="B10" s="4" t="s">
        <v>261</v>
      </c>
      <c r="F10" s="322">
        <v>1050</v>
      </c>
      <c r="G10" s="322">
        <v>1075</v>
      </c>
      <c r="H10" s="322">
        <v>1100</v>
      </c>
      <c r="I10" s="322">
        <v>1125</v>
      </c>
      <c r="J10" s="322">
        <v>1050</v>
      </c>
      <c r="K10" s="322">
        <v>1050</v>
      </c>
      <c r="L10" s="322">
        <v>1150</v>
      </c>
      <c r="M10" s="322">
        <v>1050</v>
      </c>
      <c r="N10" s="322">
        <v>1200</v>
      </c>
      <c r="O10" s="322">
        <v>1200</v>
      </c>
      <c r="P10" s="322">
        <v>1050</v>
      </c>
      <c r="Q10" s="322">
        <v>1050</v>
      </c>
    </row>
    <row r="11" spans="2:23" x14ac:dyDescent="0.3">
      <c r="B11" s="4" t="s">
        <v>262</v>
      </c>
      <c r="F11" s="327">
        <v>0.8</v>
      </c>
      <c r="G11" s="327">
        <v>0.8</v>
      </c>
      <c r="H11" s="327">
        <v>0.8</v>
      </c>
      <c r="I11" s="327">
        <v>0.85</v>
      </c>
      <c r="J11" s="327">
        <v>0.85</v>
      </c>
      <c r="K11" s="327">
        <v>0.85</v>
      </c>
      <c r="L11" s="327">
        <v>0.85</v>
      </c>
      <c r="M11" s="327">
        <v>0.85</v>
      </c>
      <c r="N11" s="327">
        <v>0.85</v>
      </c>
      <c r="O11" s="327">
        <v>0.85</v>
      </c>
      <c r="P11" s="327">
        <v>0.85</v>
      </c>
      <c r="Q11" s="327">
        <v>0.85</v>
      </c>
    </row>
    <row r="12" spans="2:23" x14ac:dyDescent="0.3">
      <c r="B12" s="4" t="s">
        <v>263</v>
      </c>
      <c r="F12" s="328">
        <f t="shared" ref="F12:Q12" si="1">F10*F11</f>
        <v>840</v>
      </c>
      <c r="G12" s="328">
        <f t="shared" si="1"/>
        <v>860</v>
      </c>
      <c r="H12" s="328">
        <f t="shared" si="1"/>
        <v>880</v>
      </c>
      <c r="I12" s="328">
        <f t="shared" si="1"/>
        <v>956.25</v>
      </c>
      <c r="J12" s="328">
        <f t="shared" si="1"/>
        <v>892.5</v>
      </c>
      <c r="K12" s="328">
        <f t="shared" si="1"/>
        <v>892.5</v>
      </c>
      <c r="L12" s="328">
        <f t="shared" si="1"/>
        <v>977.5</v>
      </c>
      <c r="M12" s="328">
        <f t="shared" si="1"/>
        <v>892.5</v>
      </c>
      <c r="N12" s="328">
        <f t="shared" si="1"/>
        <v>1020</v>
      </c>
      <c r="O12" s="328">
        <f t="shared" si="1"/>
        <v>1020</v>
      </c>
      <c r="P12" s="328">
        <f t="shared" si="1"/>
        <v>892.5</v>
      </c>
      <c r="Q12" s="328">
        <f t="shared" si="1"/>
        <v>892.5</v>
      </c>
    </row>
    <row r="13" spans="2:23" x14ac:dyDescent="0.3">
      <c r="B13" s="4" t="s">
        <v>249</v>
      </c>
      <c r="F13" s="322">
        <v>7500</v>
      </c>
      <c r="G13" s="322">
        <v>7750</v>
      </c>
      <c r="H13" s="322">
        <v>7750</v>
      </c>
      <c r="I13" s="322">
        <v>7750</v>
      </c>
      <c r="J13" s="322">
        <v>7750</v>
      </c>
      <c r="K13" s="322">
        <v>7750</v>
      </c>
      <c r="L13" s="322">
        <v>7750</v>
      </c>
      <c r="M13" s="322">
        <v>7750</v>
      </c>
      <c r="N13" s="322">
        <v>7750</v>
      </c>
      <c r="O13" s="322">
        <v>7750</v>
      </c>
      <c r="P13" s="322">
        <v>7750</v>
      </c>
      <c r="Q13" s="322">
        <v>7750</v>
      </c>
    </row>
    <row r="14" spans="2:23" x14ac:dyDescent="0.3">
      <c r="B14" s="4" t="s">
        <v>252</v>
      </c>
      <c r="F14" s="323">
        <v>600</v>
      </c>
      <c r="G14" s="323">
        <v>600</v>
      </c>
      <c r="H14" s="323">
        <v>600</v>
      </c>
      <c r="I14" s="323">
        <v>600</v>
      </c>
      <c r="J14" s="323">
        <v>600</v>
      </c>
      <c r="K14" s="323">
        <v>600</v>
      </c>
      <c r="L14" s="323">
        <v>600</v>
      </c>
      <c r="M14" s="323">
        <v>600</v>
      </c>
      <c r="N14" s="323">
        <v>600</v>
      </c>
      <c r="O14" s="323">
        <v>600</v>
      </c>
      <c r="P14" s="323">
        <v>600</v>
      </c>
      <c r="Q14" s="323">
        <v>600</v>
      </c>
    </row>
    <row r="15" spans="2:23" x14ac:dyDescent="0.3">
      <c r="B15" s="4" t="s">
        <v>250</v>
      </c>
      <c r="F15" s="320">
        <f t="shared" ref="F15:Q15" si="2">F9+F12+F14</f>
        <v>4106.6666666666661</v>
      </c>
      <c r="G15" s="320">
        <f t="shared" si="2"/>
        <v>4160</v>
      </c>
      <c r="H15" s="320">
        <f t="shared" si="2"/>
        <v>3822.8571428571427</v>
      </c>
      <c r="I15" s="320">
        <f t="shared" si="2"/>
        <v>3927.6785714285716</v>
      </c>
      <c r="J15" s="320">
        <f t="shared" si="2"/>
        <v>3892.5</v>
      </c>
      <c r="K15" s="320">
        <f t="shared" si="2"/>
        <v>3921.0714285714284</v>
      </c>
      <c r="L15" s="320">
        <f t="shared" si="2"/>
        <v>4034.6428571428573</v>
      </c>
      <c r="M15" s="320">
        <f t="shared" si="2"/>
        <v>3978.2142857142858</v>
      </c>
      <c r="N15" s="320">
        <f t="shared" si="2"/>
        <v>4134.2857142857138</v>
      </c>
      <c r="O15" s="320">
        <f t="shared" si="2"/>
        <v>4148.5714285714284</v>
      </c>
      <c r="P15" s="320">
        <f t="shared" si="2"/>
        <v>4035.3571428571427</v>
      </c>
      <c r="Q15" s="320">
        <f t="shared" si="2"/>
        <v>4049.6428571428573</v>
      </c>
    </row>
    <row r="16" spans="2:23" x14ac:dyDescent="0.3">
      <c r="B16" s="24"/>
      <c r="C16" s="330"/>
      <c r="D16" s="330"/>
      <c r="E16" s="330"/>
      <c r="F16" s="384" t="s">
        <v>253</v>
      </c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30"/>
      <c r="S16" s="330"/>
      <c r="T16" s="330"/>
      <c r="U16" s="330"/>
      <c r="V16" s="330"/>
    </row>
    <row r="17" spans="2:22" x14ac:dyDescent="0.3">
      <c r="B17" s="4" t="s">
        <v>254</v>
      </c>
      <c r="F17" s="324">
        <v>0.61</v>
      </c>
      <c r="G17" s="324">
        <v>0.61</v>
      </c>
      <c r="H17" s="324">
        <v>0.62</v>
      </c>
      <c r="I17" s="324">
        <v>0.62</v>
      </c>
      <c r="J17" s="324">
        <v>0.62</v>
      </c>
      <c r="K17" s="324">
        <v>0.62</v>
      </c>
      <c r="L17" s="324">
        <v>0.62</v>
      </c>
      <c r="M17" s="324">
        <v>0.62</v>
      </c>
      <c r="N17" s="324">
        <v>0.62</v>
      </c>
      <c r="O17" s="324">
        <v>0.62</v>
      </c>
      <c r="P17" s="324">
        <v>0.63</v>
      </c>
      <c r="Q17" s="324">
        <v>0.63</v>
      </c>
    </row>
    <row r="18" spans="2:22" x14ac:dyDescent="0.3">
      <c r="B18" s="4" t="s">
        <v>255</v>
      </c>
      <c r="F18" s="222">
        <f t="shared" ref="F18:Q18" si="3">F15*F17</f>
        <v>2505.0666666666662</v>
      </c>
      <c r="G18" s="222">
        <f t="shared" si="3"/>
        <v>2537.6</v>
      </c>
      <c r="H18" s="222">
        <f t="shared" si="3"/>
        <v>2370.1714285714284</v>
      </c>
      <c r="I18" s="222">
        <f t="shared" si="3"/>
        <v>2435.1607142857142</v>
      </c>
      <c r="J18" s="222">
        <f t="shared" si="3"/>
        <v>2413.35</v>
      </c>
      <c r="K18" s="222">
        <f t="shared" si="3"/>
        <v>2431.0642857142857</v>
      </c>
      <c r="L18" s="222">
        <f t="shared" si="3"/>
        <v>2501.4785714285717</v>
      </c>
      <c r="M18" s="222">
        <f t="shared" si="3"/>
        <v>2466.4928571428572</v>
      </c>
      <c r="N18" s="222">
        <f t="shared" si="3"/>
        <v>2563.2571428571423</v>
      </c>
      <c r="O18" s="222">
        <f t="shared" si="3"/>
        <v>2572.1142857142854</v>
      </c>
      <c r="P18" s="222">
        <f t="shared" si="3"/>
        <v>2542.2750000000001</v>
      </c>
      <c r="Q18" s="222">
        <f t="shared" si="3"/>
        <v>2551.2750000000001</v>
      </c>
    </row>
    <row r="19" spans="2:22" x14ac:dyDescent="0.3">
      <c r="B19" s="4" t="s">
        <v>257</v>
      </c>
      <c r="F19" s="324">
        <v>0.1</v>
      </c>
      <c r="G19" s="324">
        <v>0.1</v>
      </c>
      <c r="H19" s="324">
        <v>0.1</v>
      </c>
      <c r="I19" s="324">
        <v>0.1</v>
      </c>
      <c r="J19" s="324">
        <v>0.1</v>
      </c>
      <c r="K19" s="324">
        <v>0.1</v>
      </c>
      <c r="L19" s="324">
        <v>0.1</v>
      </c>
      <c r="M19" s="324">
        <v>0.1</v>
      </c>
      <c r="N19" s="324">
        <v>0.1</v>
      </c>
      <c r="O19" s="324">
        <v>0.1</v>
      </c>
      <c r="P19" s="324">
        <v>0.1</v>
      </c>
      <c r="Q19" s="324">
        <v>0.1</v>
      </c>
    </row>
    <row r="20" spans="2:22" x14ac:dyDescent="0.3">
      <c r="B20" s="4" t="s">
        <v>258</v>
      </c>
      <c r="F20" s="222">
        <f t="shared" ref="F20:Q20" si="4">F18*F19</f>
        <v>250.50666666666663</v>
      </c>
      <c r="G20" s="222">
        <f t="shared" si="4"/>
        <v>253.76</v>
      </c>
      <c r="H20" s="222">
        <f t="shared" si="4"/>
        <v>237.01714285714286</v>
      </c>
      <c r="I20" s="222">
        <f t="shared" si="4"/>
        <v>243.51607142857142</v>
      </c>
      <c r="J20" s="222">
        <f t="shared" si="4"/>
        <v>241.33500000000001</v>
      </c>
      <c r="K20" s="222">
        <f t="shared" si="4"/>
        <v>243.10642857142858</v>
      </c>
      <c r="L20" s="222">
        <f t="shared" si="4"/>
        <v>250.14785714285719</v>
      </c>
      <c r="M20" s="222">
        <f t="shared" si="4"/>
        <v>246.64928571428572</v>
      </c>
      <c r="N20" s="222">
        <f t="shared" si="4"/>
        <v>256.32571428571424</v>
      </c>
      <c r="O20" s="222">
        <f t="shared" si="4"/>
        <v>257.21142857142854</v>
      </c>
      <c r="P20" s="222">
        <f t="shared" si="4"/>
        <v>254.22750000000002</v>
      </c>
      <c r="Q20" s="222">
        <f t="shared" si="4"/>
        <v>255.12750000000003</v>
      </c>
    </row>
    <row r="21" spans="2:22" x14ac:dyDescent="0.3">
      <c r="B21" s="4" t="s">
        <v>259</v>
      </c>
      <c r="F21" s="324">
        <f t="shared" ref="F21:Q21" si="5">1-F19</f>
        <v>0.9</v>
      </c>
      <c r="G21" s="324">
        <f t="shared" si="5"/>
        <v>0.9</v>
      </c>
      <c r="H21" s="324">
        <f t="shared" si="5"/>
        <v>0.9</v>
      </c>
      <c r="I21" s="324">
        <f t="shared" si="5"/>
        <v>0.9</v>
      </c>
      <c r="J21" s="324">
        <f t="shared" si="5"/>
        <v>0.9</v>
      </c>
      <c r="K21" s="324">
        <f t="shared" si="5"/>
        <v>0.9</v>
      </c>
      <c r="L21" s="324">
        <f t="shared" si="5"/>
        <v>0.9</v>
      </c>
      <c r="M21" s="324">
        <f t="shared" si="5"/>
        <v>0.9</v>
      </c>
      <c r="N21" s="324">
        <f t="shared" si="5"/>
        <v>0.9</v>
      </c>
      <c r="O21" s="324">
        <f t="shared" si="5"/>
        <v>0.9</v>
      </c>
      <c r="P21" s="324">
        <f t="shared" si="5"/>
        <v>0.9</v>
      </c>
      <c r="Q21" s="324">
        <f t="shared" si="5"/>
        <v>0.9</v>
      </c>
    </row>
    <row r="22" spans="2:22" x14ac:dyDescent="0.3">
      <c r="B22" s="4" t="s">
        <v>256</v>
      </c>
      <c r="F22" s="222">
        <f t="shared" ref="F22:Q22" si="6">F18*F21</f>
        <v>2254.5599999999995</v>
      </c>
      <c r="G22" s="222">
        <f t="shared" si="6"/>
        <v>2283.84</v>
      </c>
      <c r="H22" s="222">
        <f t="shared" si="6"/>
        <v>2133.1542857142854</v>
      </c>
      <c r="I22" s="222">
        <f t="shared" si="6"/>
        <v>2191.644642857143</v>
      </c>
      <c r="J22" s="222">
        <f t="shared" si="6"/>
        <v>2172.0149999999999</v>
      </c>
      <c r="K22" s="222">
        <f t="shared" si="6"/>
        <v>2187.9578571428574</v>
      </c>
      <c r="L22" s="222">
        <f t="shared" si="6"/>
        <v>2251.3307142857147</v>
      </c>
      <c r="M22" s="222">
        <f t="shared" si="6"/>
        <v>2219.8435714285715</v>
      </c>
      <c r="N22" s="222">
        <f t="shared" si="6"/>
        <v>2306.9314285714281</v>
      </c>
      <c r="O22" s="222">
        <f t="shared" si="6"/>
        <v>2314.9028571428571</v>
      </c>
      <c r="P22" s="222">
        <f t="shared" si="6"/>
        <v>2288.0475000000001</v>
      </c>
      <c r="Q22" s="222">
        <f t="shared" si="6"/>
        <v>2296.1475</v>
      </c>
    </row>
    <row r="23" spans="2:22" x14ac:dyDescent="0.3">
      <c r="B23" s="4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</row>
    <row r="24" spans="2:22" ht="15" customHeight="1" x14ac:dyDescent="0.3">
      <c r="B24" s="24"/>
      <c r="C24" s="330"/>
      <c r="D24" s="330"/>
      <c r="E24" s="330"/>
      <c r="F24" s="385" t="s">
        <v>260</v>
      </c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30"/>
      <c r="S24" s="330"/>
      <c r="T24" s="330"/>
      <c r="U24" s="330"/>
      <c r="V24" s="330"/>
    </row>
    <row r="25" spans="2:22" x14ac:dyDescent="0.3">
      <c r="B25" s="345" t="s">
        <v>290</v>
      </c>
      <c r="C25" s="343" t="s">
        <v>289</v>
      </c>
      <c r="D25" s="9">
        <v>135</v>
      </c>
      <c r="F25" s="324">
        <v>0.06</v>
      </c>
      <c r="G25" s="324">
        <v>0.06</v>
      </c>
      <c r="H25" s="324">
        <v>0.06</v>
      </c>
      <c r="I25" s="324">
        <v>0.06</v>
      </c>
      <c r="J25" s="324">
        <v>0.06</v>
      </c>
      <c r="K25" s="324">
        <v>0.06</v>
      </c>
      <c r="L25" s="324">
        <v>0.06</v>
      </c>
      <c r="M25" s="324">
        <v>0.06</v>
      </c>
      <c r="N25" s="324">
        <v>0.06</v>
      </c>
      <c r="O25" s="324">
        <v>0.06</v>
      </c>
      <c r="P25" s="324">
        <v>0.06</v>
      </c>
      <c r="Q25" s="324">
        <v>0.06</v>
      </c>
    </row>
    <row r="26" spans="2:22" x14ac:dyDescent="0.3">
      <c r="B26" s="345"/>
      <c r="C26" s="343"/>
      <c r="F26" s="331">
        <f t="shared" ref="F26:Q26" si="7">F22*F25</f>
        <v>135.27359999999996</v>
      </c>
      <c r="G26" s="331">
        <f t="shared" si="7"/>
        <v>137.03040000000001</v>
      </c>
      <c r="H26" s="331">
        <f t="shared" si="7"/>
        <v>127.98925714285711</v>
      </c>
      <c r="I26" s="331">
        <f t="shared" si="7"/>
        <v>131.49867857142857</v>
      </c>
      <c r="J26" s="331">
        <f t="shared" si="7"/>
        <v>130.32089999999999</v>
      </c>
      <c r="K26" s="331">
        <f t="shared" si="7"/>
        <v>131.27747142857143</v>
      </c>
      <c r="L26" s="331">
        <f t="shared" si="7"/>
        <v>135.07984285714289</v>
      </c>
      <c r="M26" s="331">
        <f t="shared" si="7"/>
        <v>133.19061428571428</v>
      </c>
      <c r="N26" s="331">
        <f t="shared" si="7"/>
        <v>138.41588571428568</v>
      </c>
      <c r="O26" s="331">
        <f t="shared" si="7"/>
        <v>138.89417142857141</v>
      </c>
      <c r="P26" s="331">
        <f t="shared" si="7"/>
        <v>137.28285</v>
      </c>
      <c r="Q26" s="331">
        <f t="shared" si="7"/>
        <v>137.76884999999999</v>
      </c>
    </row>
    <row r="27" spans="2:22" x14ac:dyDescent="0.3">
      <c r="B27" s="345"/>
      <c r="C27" s="343"/>
      <c r="D27" s="386" t="s">
        <v>264</v>
      </c>
      <c r="E27" s="386"/>
      <c r="F27" s="321">
        <f t="shared" ref="F27:Q27" si="8">IF($B25&gt;" ", F26*$D25," ")</f>
        <v>18261.935999999994</v>
      </c>
      <c r="G27" s="321">
        <f t="shared" si="8"/>
        <v>18499.104000000003</v>
      </c>
      <c r="H27" s="321">
        <f t="shared" si="8"/>
        <v>17278.549714285709</v>
      </c>
      <c r="I27" s="321">
        <f t="shared" si="8"/>
        <v>17752.321607142858</v>
      </c>
      <c r="J27" s="321">
        <f t="shared" si="8"/>
        <v>17593.321499999998</v>
      </c>
      <c r="K27" s="321">
        <f t="shared" si="8"/>
        <v>17722.458642857142</v>
      </c>
      <c r="L27" s="321">
        <f t="shared" si="8"/>
        <v>18235.77878571429</v>
      </c>
      <c r="M27" s="321">
        <f t="shared" si="8"/>
        <v>17980.732928571426</v>
      </c>
      <c r="N27" s="321">
        <f t="shared" si="8"/>
        <v>18686.144571428566</v>
      </c>
      <c r="O27" s="321">
        <f t="shared" si="8"/>
        <v>18750.713142857141</v>
      </c>
      <c r="P27" s="321">
        <f t="shared" si="8"/>
        <v>18533.18475</v>
      </c>
      <c r="Q27" s="321">
        <f t="shared" si="8"/>
        <v>18598.794749999997</v>
      </c>
    </row>
    <row r="28" spans="2:22" x14ac:dyDescent="0.3">
      <c r="B28" s="345" t="s">
        <v>291</v>
      </c>
      <c r="C28" s="343" t="s">
        <v>289</v>
      </c>
      <c r="D28" s="347">
        <v>190</v>
      </c>
      <c r="E28" s="346"/>
      <c r="F28" s="338">
        <v>0.06</v>
      </c>
      <c r="G28" s="338">
        <v>0.06</v>
      </c>
      <c r="H28" s="338">
        <v>0.06</v>
      </c>
      <c r="I28" s="338">
        <v>0.06</v>
      </c>
      <c r="J28" s="338">
        <v>0.06</v>
      </c>
      <c r="K28" s="338">
        <v>0.06</v>
      </c>
      <c r="L28" s="338">
        <v>0.06</v>
      </c>
      <c r="M28" s="338">
        <v>0.06</v>
      </c>
      <c r="N28" s="338">
        <v>0.06</v>
      </c>
      <c r="O28" s="338">
        <v>0.06</v>
      </c>
      <c r="P28" s="338">
        <v>0.06</v>
      </c>
      <c r="Q28" s="338">
        <v>0.06</v>
      </c>
    </row>
    <row r="29" spans="2:22" x14ac:dyDescent="0.3">
      <c r="B29" s="345"/>
      <c r="C29" s="343"/>
      <c r="F29" s="331">
        <f t="shared" ref="F29:Q29" si="9">F22*F28</f>
        <v>135.27359999999996</v>
      </c>
      <c r="G29" s="331">
        <f t="shared" si="9"/>
        <v>137.03040000000001</v>
      </c>
      <c r="H29" s="331">
        <f t="shared" si="9"/>
        <v>127.98925714285711</v>
      </c>
      <c r="I29" s="331">
        <f t="shared" si="9"/>
        <v>131.49867857142857</v>
      </c>
      <c r="J29" s="331">
        <f t="shared" si="9"/>
        <v>130.32089999999999</v>
      </c>
      <c r="K29" s="331">
        <f t="shared" si="9"/>
        <v>131.27747142857143</v>
      </c>
      <c r="L29" s="331">
        <f t="shared" si="9"/>
        <v>135.07984285714289</v>
      </c>
      <c r="M29" s="331">
        <f t="shared" si="9"/>
        <v>133.19061428571428</v>
      </c>
      <c r="N29" s="331">
        <f t="shared" si="9"/>
        <v>138.41588571428568</v>
      </c>
      <c r="O29" s="331">
        <f t="shared" si="9"/>
        <v>138.89417142857141</v>
      </c>
      <c r="P29" s="331">
        <f t="shared" si="9"/>
        <v>137.28285</v>
      </c>
      <c r="Q29" s="331">
        <f t="shared" si="9"/>
        <v>137.76884999999999</v>
      </c>
    </row>
    <row r="30" spans="2:22" x14ac:dyDescent="0.3">
      <c r="B30" s="345"/>
      <c r="C30" s="343"/>
      <c r="D30" s="386" t="s">
        <v>264</v>
      </c>
      <c r="E30" s="386"/>
      <c r="F30" s="321">
        <f t="shared" ref="F30:Q30" si="10">IF($B28&gt;" ", F29*$D28," ")</f>
        <v>25701.983999999993</v>
      </c>
      <c r="G30" s="321">
        <f t="shared" si="10"/>
        <v>26035.776000000002</v>
      </c>
      <c r="H30" s="321">
        <f t="shared" si="10"/>
        <v>24317.95885714285</v>
      </c>
      <c r="I30" s="321">
        <f t="shared" si="10"/>
        <v>24984.748928571429</v>
      </c>
      <c r="J30" s="321">
        <f t="shared" si="10"/>
        <v>24760.970999999998</v>
      </c>
      <c r="K30" s="321">
        <f t="shared" si="10"/>
        <v>24942.719571428574</v>
      </c>
      <c r="L30" s="321">
        <f t="shared" si="10"/>
        <v>25665.17014285715</v>
      </c>
      <c r="M30" s="321">
        <f t="shared" si="10"/>
        <v>25306.216714285711</v>
      </c>
      <c r="N30" s="321">
        <f t="shared" si="10"/>
        <v>26299.018285714279</v>
      </c>
      <c r="O30" s="321">
        <f t="shared" si="10"/>
        <v>26389.892571428569</v>
      </c>
      <c r="P30" s="321">
        <f t="shared" si="10"/>
        <v>26083.7415</v>
      </c>
      <c r="Q30" s="321">
        <f t="shared" si="10"/>
        <v>26176.081499999997</v>
      </c>
    </row>
    <row r="31" spans="2:22" x14ac:dyDescent="0.3">
      <c r="B31" s="345" t="s">
        <v>292</v>
      </c>
      <c r="C31" s="343" t="s">
        <v>289</v>
      </c>
      <c r="D31" s="347">
        <v>265</v>
      </c>
      <c r="E31" s="346"/>
      <c r="F31" s="338">
        <v>0.12</v>
      </c>
      <c r="G31" s="338">
        <v>0.12</v>
      </c>
      <c r="H31" s="338">
        <v>0.12</v>
      </c>
      <c r="I31" s="338">
        <v>0.12</v>
      </c>
      <c r="J31" s="338">
        <v>0.12</v>
      </c>
      <c r="K31" s="338">
        <v>0.12</v>
      </c>
      <c r="L31" s="338">
        <v>0.12</v>
      </c>
      <c r="M31" s="338">
        <v>0.12</v>
      </c>
      <c r="N31" s="338">
        <v>0.12</v>
      </c>
      <c r="O31" s="338">
        <v>0.12</v>
      </c>
      <c r="P31" s="338">
        <v>0.12</v>
      </c>
      <c r="Q31" s="338">
        <v>0.12</v>
      </c>
    </row>
    <row r="32" spans="2:22" x14ac:dyDescent="0.3">
      <c r="B32" s="345"/>
      <c r="C32" s="343"/>
      <c r="F32" s="331">
        <f t="shared" ref="F32:Q32" si="11">F22*F31</f>
        <v>270.54719999999992</v>
      </c>
      <c r="G32" s="331">
        <f t="shared" si="11"/>
        <v>274.06080000000003</v>
      </c>
      <c r="H32" s="331">
        <f t="shared" si="11"/>
        <v>255.97851428571423</v>
      </c>
      <c r="I32" s="331">
        <f t="shared" si="11"/>
        <v>262.99735714285714</v>
      </c>
      <c r="J32" s="331">
        <f t="shared" si="11"/>
        <v>260.64179999999999</v>
      </c>
      <c r="K32" s="331">
        <f t="shared" si="11"/>
        <v>262.55494285714286</v>
      </c>
      <c r="L32" s="331">
        <f t="shared" si="11"/>
        <v>270.15968571428579</v>
      </c>
      <c r="M32" s="331">
        <f t="shared" si="11"/>
        <v>266.38122857142855</v>
      </c>
      <c r="N32" s="331">
        <f t="shared" si="11"/>
        <v>276.83177142857136</v>
      </c>
      <c r="O32" s="331">
        <f t="shared" si="11"/>
        <v>277.78834285714282</v>
      </c>
      <c r="P32" s="331">
        <f t="shared" si="11"/>
        <v>274.56569999999999</v>
      </c>
      <c r="Q32" s="331">
        <f t="shared" si="11"/>
        <v>275.53769999999997</v>
      </c>
    </row>
    <row r="33" spans="2:23" x14ac:dyDescent="0.3">
      <c r="B33" s="345"/>
      <c r="C33" s="343"/>
      <c r="D33" s="386" t="s">
        <v>264</v>
      </c>
      <c r="E33" s="386"/>
      <c r="F33" s="321">
        <f t="shared" ref="F33:Q33" si="12">IF($B31&gt;" ", F32*$D31," ")</f>
        <v>71695.007999999973</v>
      </c>
      <c r="G33" s="321">
        <f t="shared" si="12"/>
        <v>72626.112000000008</v>
      </c>
      <c r="H33" s="321">
        <f t="shared" si="12"/>
        <v>67834.306285714265</v>
      </c>
      <c r="I33" s="321">
        <f t="shared" si="12"/>
        <v>69694.299642857135</v>
      </c>
      <c r="J33" s="321">
        <f t="shared" si="12"/>
        <v>69070.07699999999</v>
      </c>
      <c r="K33" s="321">
        <f t="shared" si="12"/>
        <v>69577.059857142856</v>
      </c>
      <c r="L33" s="321">
        <f t="shared" si="12"/>
        <v>71592.316714285727</v>
      </c>
      <c r="M33" s="321">
        <f t="shared" si="12"/>
        <v>70591.025571428559</v>
      </c>
      <c r="N33" s="321">
        <f t="shared" si="12"/>
        <v>73360.419428571404</v>
      </c>
      <c r="O33" s="321">
        <f t="shared" si="12"/>
        <v>73613.910857142851</v>
      </c>
      <c r="P33" s="321">
        <f t="shared" si="12"/>
        <v>72759.910499999998</v>
      </c>
      <c r="Q33" s="321">
        <f t="shared" si="12"/>
        <v>73017.4905</v>
      </c>
    </row>
    <row r="34" spans="2:23" x14ac:dyDescent="0.3">
      <c r="B34" s="345" t="s">
        <v>294</v>
      </c>
      <c r="C34" s="343" t="s">
        <v>289</v>
      </c>
      <c r="D34" s="347">
        <v>380</v>
      </c>
      <c r="E34" s="346"/>
      <c r="F34" s="338">
        <v>0.28000000000000003</v>
      </c>
      <c r="G34" s="338">
        <v>0.28000000000000003</v>
      </c>
      <c r="H34" s="338">
        <v>0.28000000000000003</v>
      </c>
      <c r="I34" s="338">
        <v>0.28000000000000003</v>
      </c>
      <c r="J34" s="338">
        <v>0.28000000000000003</v>
      </c>
      <c r="K34" s="338">
        <v>0.28000000000000003</v>
      </c>
      <c r="L34" s="338">
        <v>0.28000000000000003</v>
      </c>
      <c r="M34" s="338">
        <v>0.28000000000000003</v>
      </c>
      <c r="N34" s="338">
        <v>0.28000000000000003</v>
      </c>
      <c r="O34" s="338">
        <v>0.28000000000000003</v>
      </c>
      <c r="P34" s="338">
        <v>0.28000000000000003</v>
      </c>
      <c r="Q34" s="338">
        <v>0.28000000000000003</v>
      </c>
    </row>
    <row r="35" spans="2:23" ht="13.2" customHeight="1" x14ac:dyDescent="0.3">
      <c r="B35" s="345"/>
      <c r="C35" s="343"/>
      <c r="F35" s="331">
        <f t="shared" ref="F35:Q35" si="13">F22*F34</f>
        <v>631.27679999999987</v>
      </c>
      <c r="G35" s="331">
        <f t="shared" si="13"/>
        <v>639.47520000000009</v>
      </c>
      <c r="H35" s="331">
        <f t="shared" si="13"/>
        <v>597.28319999999997</v>
      </c>
      <c r="I35" s="331">
        <f t="shared" si="13"/>
        <v>613.66050000000007</v>
      </c>
      <c r="J35" s="331">
        <f t="shared" si="13"/>
        <v>608.16420000000005</v>
      </c>
      <c r="K35" s="331">
        <f t="shared" si="13"/>
        <v>612.62820000000011</v>
      </c>
      <c r="L35" s="331">
        <f t="shared" si="13"/>
        <v>630.37260000000015</v>
      </c>
      <c r="M35" s="331">
        <f t="shared" si="13"/>
        <v>621.5562000000001</v>
      </c>
      <c r="N35" s="331">
        <f t="shared" si="13"/>
        <v>645.94079999999997</v>
      </c>
      <c r="O35" s="331">
        <f t="shared" si="13"/>
        <v>648.17280000000005</v>
      </c>
      <c r="P35" s="331">
        <f t="shared" si="13"/>
        <v>640.65330000000006</v>
      </c>
      <c r="Q35" s="331">
        <f t="shared" si="13"/>
        <v>642.92130000000009</v>
      </c>
    </row>
    <row r="36" spans="2:23" ht="13.2" customHeight="1" x14ac:dyDescent="0.3">
      <c r="B36" s="345"/>
      <c r="C36" s="343"/>
      <c r="D36" s="386" t="s">
        <v>264</v>
      </c>
      <c r="E36" s="386"/>
      <c r="F36" s="140">
        <f t="shared" ref="F36:Q36" si="14">IF($B34&gt;" ", F35*$D34," ")</f>
        <v>239885.18399999995</v>
      </c>
      <c r="G36" s="140">
        <f t="shared" si="14"/>
        <v>243000.57600000003</v>
      </c>
      <c r="H36" s="140">
        <f t="shared" si="14"/>
        <v>226967.61599999998</v>
      </c>
      <c r="I36" s="140">
        <f t="shared" si="14"/>
        <v>233190.99000000002</v>
      </c>
      <c r="J36" s="140">
        <f t="shared" si="14"/>
        <v>231102.39600000001</v>
      </c>
      <c r="K36" s="140">
        <f t="shared" si="14"/>
        <v>232798.71600000004</v>
      </c>
      <c r="L36" s="140">
        <f t="shared" si="14"/>
        <v>239541.58800000005</v>
      </c>
      <c r="M36" s="140">
        <f t="shared" si="14"/>
        <v>236191.35600000003</v>
      </c>
      <c r="N36" s="140">
        <f t="shared" si="14"/>
        <v>245457.50399999999</v>
      </c>
      <c r="O36" s="140">
        <f t="shared" si="14"/>
        <v>246305.66400000002</v>
      </c>
      <c r="P36" s="140">
        <f t="shared" si="14"/>
        <v>243448.25400000002</v>
      </c>
      <c r="Q36" s="140">
        <f t="shared" si="14"/>
        <v>244310.09400000004</v>
      </c>
    </row>
    <row r="37" spans="2:23" x14ac:dyDescent="0.3">
      <c r="B37" s="345" t="s">
        <v>293</v>
      </c>
      <c r="C37" s="343" t="s">
        <v>289</v>
      </c>
      <c r="D37" s="347">
        <v>470</v>
      </c>
      <c r="E37" s="346"/>
      <c r="F37" s="338">
        <v>0.48</v>
      </c>
      <c r="G37" s="338">
        <v>0.48</v>
      </c>
      <c r="H37" s="338">
        <v>0.48</v>
      </c>
      <c r="I37" s="338">
        <v>0.48</v>
      </c>
      <c r="J37" s="338">
        <v>0.48</v>
      </c>
      <c r="K37" s="338">
        <v>0.48</v>
      </c>
      <c r="L37" s="338">
        <v>0.48</v>
      </c>
      <c r="M37" s="338">
        <v>0.48</v>
      </c>
      <c r="N37" s="338">
        <v>0.48</v>
      </c>
      <c r="O37" s="338">
        <v>0.48</v>
      </c>
      <c r="P37" s="338">
        <v>0.48</v>
      </c>
      <c r="Q37" s="338">
        <v>0.48</v>
      </c>
    </row>
    <row r="38" spans="2:23" x14ac:dyDescent="0.3">
      <c r="B38" s="4"/>
      <c r="F38" s="331">
        <f t="shared" ref="F38:Q38" si="15">F22*F37</f>
        <v>1082.1887999999997</v>
      </c>
      <c r="G38" s="331">
        <f t="shared" si="15"/>
        <v>1096.2432000000001</v>
      </c>
      <c r="H38" s="331">
        <f t="shared" si="15"/>
        <v>1023.9140571428569</v>
      </c>
      <c r="I38" s="331">
        <f t="shared" si="15"/>
        <v>1051.9894285714286</v>
      </c>
      <c r="J38" s="331">
        <f t="shared" si="15"/>
        <v>1042.5672</v>
      </c>
      <c r="K38" s="331">
        <f t="shared" si="15"/>
        <v>1050.2197714285714</v>
      </c>
      <c r="L38" s="331">
        <f t="shared" si="15"/>
        <v>1080.6387428571431</v>
      </c>
      <c r="M38" s="331">
        <f t="shared" si="15"/>
        <v>1065.5249142857142</v>
      </c>
      <c r="N38" s="331">
        <f t="shared" si="15"/>
        <v>1107.3270857142854</v>
      </c>
      <c r="O38" s="331">
        <f t="shared" si="15"/>
        <v>1111.1533714285713</v>
      </c>
      <c r="P38" s="331">
        <f t="shared" si="15"/>
        <v>1098.2628</v>
      </c>
      <c r="Q38" s="331">
        <f t="shared" si="15"/>
        <v>1102.1507999999999</v>
      </c>
    </row>
    <row r="39" spans="2:23" x14ac:dyDescent="0.3">
      <c r="B39" s="4"/>
      <c r="D39" s="386" t="s">
        <v>264</v>
      </c>
      <c r="E39" s="386"/>
      <c r="F39" s="321">
        <f t="shared" ref="F39:Q39" si="16">IF($B37&gt;" ", F38*$D37," ")</f>
        <v>508628.73599999986</v>
      </c>
      <c r="G39" s="321">
        <f t="shared" si="16"/>
        <v>515234.30400000006</v>
      </c>
      <c r="H39" s="321">
        <f t="shared" si="16"/>
        <v>481239.60685714276</v>
      </c>
      <c r="I39" s="321">
        <f t="shared" si="16"/>
        <v>494435.03142857144</v>
      </c>
      <c r="J39" s="321">
        <f t="shared" si="16"/>
        <v>490006.58399999997</v>
      </c>
      <c r="K39" s="321">
        <f t="shared" si="16"/>
        <v>493603.29257142858</v>
      </c>
      <c r="L39" s="321">
        <f t="shared" si="16"/>
        <v>507900.20914285729</v>
      </c>
      <c r="M39" s="321">
        <f t="shared" si="16"/>
        <v>500796.70971428568</v>
      </c>
      <c r="N39" s="321">
        <f t="shared" si="16"/>
        <v>520443.73028571415</v>
      </c>
      <c r="O39" s="321">
        <f t="shared" si="16"/>
        <v>522242.08457142848</v>
      </c>
      <c r="P39" s="321">
        <f t="shared" si="16"/>
        <v>516183.516</v>
      </c>
      <c r="Q39" s="321">
        <f t="shared" si="16"/>
        <v>518010.87599999993</v>
      </c>
    </row>
    <row r="40" spans="2:23" ht="13.2" customHeight="1" x14ac:dyDescent="0.3">
      <c r="B40" s="339"/>
      <c r="C40" s="334"/>
      <c r="D40" s="334"/>
      <c r="E40" s="334"/>
      <c r="F40" s="335">
        <f t="shared" ref="F40:Q40" si="17">SUM(F25+F28+F31+F34+F37)</f>
        <v>1</v>
      </c>
      <c r="G40" s="335">
        <f t="shared" si="17"/>
        <v>1</v>
      </c>
      <c r="H40" s="335">
        <f t="shared" si="17"/>
        <v>1</v>
      </c>
      <c r="I40" s="335">
        <f t="shared" si="17"/>
        <v>1</v>
      </c>
      <c r="J40" s="335">
        <f t="shared" si="17"/>
        <v>1</v>
      </c>
      <c r="K40" s="335">
        <f t="shared" si="17"/>
        <v>1</v>
      </c>
      <c r="L40" s="335">
        <f t="shared" si="17"/>
        <v>1</v>
      </c>
      <c r="M40" s="335">
        <f t="shared" si="17"/>
        <v>1</v>
      </c>
      <c r="N40" s="335">
        <f t="shared" si="17"/>
        <v>1</v>
      </c>
      <c r="O40" s="335">
        <f t="shared" si="17"/>
        <v>1</v>
      </c>
      <c r="P40" s="335">
        <f t="shared" si="17"/>
        <v>1</v>
      </c>
      <c r="Q40" s="335">
        <f t="shared" si="17"/>
        <v>1</v>
      </c>
      <c r="R40" s="216"/>
      <c r="S40" s="216"/>
      <c r="T40" s="216"/>
      <c r="U40" s="216"/>
      <c r="V40" s="216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40"/>
      <c r="C42" s="205"/>
      <c r="D42" s="341"/>
      <c r="F42" s="340" t="s">
        <v>19</v>
      </c>
      <c r="G42" s="205"/>
      <c r="H42" s="205"/>
      <c r="I42" s="205"/>
      <c r="J42" s="341"/>
      <c r="L42" s="382" t="s">
        <v>20</v>
      </c>
      <c r="M42" s="382"/>
      <c r="N42" s="382"/>
      <c r="O42" s="382"/>
      <c r="P42" s="382"/>
      <c r="Q42" s="382"/>
      <c r="R42" s="382" t="s">
        <v>21</v>
      </c>
      <c r="S42" s="382"/>
      <c r="T42" s="382"/>
      <c r="U42" s="382"/>
      <c r="V42" s="382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42"/>
      <c r="M43" s="342"/>
      <c r="N43" s="342"/>
      <c r="O43" s="342"/>
      <c r="P43" s="342"/>
      <c r="Q43" s="342"/>
      <c r="R43" s="342"/>
      <c r="S43" s="342"/>
      <c r="T43" s="342"/>
      <c r="U43" s="342"/>
      <c r="V43" s="342"/>
      <c r="W43" s="13"/>
    </row>
    <row r="44" spans="2:23" x14ac:dyDescent="0.3">
      <c r="B44" s="4" t="s">
        <v>125</v>
      </c>
      <c r="D44" s="5"/>
      <c r="F44" s="18">
        <f>'IS 2023'!U17</f>
        <v>7726098.0669600004</v>
      </c>
      <c r="G44" s="1">
        <f>'IS 2024'!U17</f>
        <v>10062843.894000001</v>
      </c>
      <c r="H44" s="1">
        <f>'IS 2025'!U17</f>
        <v>10310913.874392858</v>
      </c>
      <c r="I44" s="1">
        <f>'IS 2026'!U17</f>
        <v>11289186.37125</v>
      </c>
      <c r="J44" s="196">
        <f>'IS 2027'!U17</f>
        <v>12734515.804499999</v>
      </c>
      <c r="K44" s="1"/>
    </row>
    <row r="45" spans="2:23" x14ac:dyDescent="0.3">
      <c r="B45" s="4" t="s">
        <v>3</v>
      </c>
      <c r="D45" s="5"/>
      <c r="F45" s="18">
        <f>'IS 2023'!U18</f>
        <v>-390528</v>
      </c>
      <c r="G45" s="1">
        <f>'IS 2024'!U18</f>
        <v>-390528</v>
      </c>
      <c r="H45" s="1">
        <f>'IS 2025'!U18</f>
        <v>-390528</v>
      </c>
      <c r="I45" s="1">
        <f>'IS 2026'!U18</f>
        <v>-390528</v>
      </c>
      <c r="J45" s="196">
        <f>'IS 2027'!U18</f>
        <v>-449528</v>
      </c>
      <c r="K45" s="1"/>
    </row>
    <row r="46" spans="2:23" x14ac:dyDescent="0.3">
      <c r="B46" s="4" t="s">
        <v>4</v>
      </c>
      <c r="D46" s="5"/>
      <c r="F46" s="18">
        <f>F44-F45-F48-F49-F50</f>
        <v>9089704.0669599995</v>
      </c>
      <c r="G46" s="1">
        <f>G44-G45-G48-G49-G50</f>
        <v>11426449.894000001</v>
      </c>
      <c r="H46" s="1">
        <f>H44-H45-H48-H49-H50</f>
        <v>11674519.874392858</v>
      </c>
      <c r="I46" s="1">
        <f>I44-I45-I48-I49-I50</f>
        <v>12652792.37125</v>
      </c>
      <c r="J46" s="196">
        <f>J44-J45-J48-J49-J50</f>
        <v>14157121.804499999</v>
      </c>
      <c r="K46" s="1"/>
    </row>
    <row r="47" spans="2:23" x14ac:dyDescent="0.3">
      <c r="B47" s="4" t="s">
        <v>30</v>
      </c>
      <c r="D47" s="5"/>
      <c r="F47" s="197">
        <f>F46/F44</f>
        <v>1.1764934884571741</v>
      </c>
      <c r="G47" s="19">
        <f>G46/G44</f>
        <v>1.1355090086226076</v>
      </c>
      <c r="H47" s="19">
        <f>H46/H44</f>
        <v>1.1322488012809915</v>
      </c>
      <c r="I47" s="19">
        <f>I46/I44</f>
        <v>1.1207886870813537</v>
      </c>
      <c r="J47" s="198">
        <f>J46/J44</f>
        <v>1.1117126101879189</v>
      </c>
      <c r="K47" s="19"/>
    </row>
    <row r="48" spans="2:23" x14ac:dyDescent="0.3">
      <c r="B48" s="4" t="s">
        <v>5</v>
      </c>
      <c r="D48" s="5"/>
      <c r="F48" s="18">
        <f>'IS 2023'!U39</f>
        <v>-540756</v>
      </c>
      <c r="G48" s="1">
        <f>'IS 2024'!U40</f>
        <v>-540756</v>
      </c>
      <c r="H48" s="1">
        <f>'IS 2025'!U39</f>
        <v>-540756</v>
      </c>
      <c r="I48" s="1">
        <f>'IS 2026'!U38</f>
        <v>-540756</v>
      </c>
      <c r="J48" s="196">
        <f>'IS 2027'!U38</f>
        <v>-540756</v>
      </c>
      <c r="K48" s="1"/>
    </row>
    <row r="49" spans="2:11" x14ac:dyDescent="0.3">
      <c r="B49" s="4" t="s">
        <v>6</v>
      </c>
      <c r="D49" s="5"/>
      <c r="F49" s="18">
        <f>'IS 2023'!U38</f>
        <v>-333322</v>
      </c>
      <c r="G49" s="1">
        <f>'IS 2024'!U39</f>
        <v>-333322</v>
      </c>
      <c r="H49" s="1">
        <f>'IS 2025'!U38</f>
        <v>-333322</v>
      </c>
      <c r="I49" s="1">
        <f>'IS 2026'!U37</f>
        <v>-333322</v>
      </c>
      <c r="J49" s="196">
        <f>'IS 2027'!U37</f>
        <v>-333322</v>
      </c>
      <c r="K49" s="1"/>
    </row>
    <row r="50" spans="2:11" x14ac:dyDescent="0.3">
      <c r="B50" s="4" t="s">
        <v>7</v>
      </c>
      <c r="D50" s="5"/>
      <c r="F50" s="18">
        <f>'IS 2023'!U58</f>
        <v>-99000</v>
      </c>
      <c r="G50" s="1">
        <f>'IS 2024'!U59</f>
        <v>-99000</v>
      </c>
      <c r="H50" s="1">
        <f>'IS 2025'!U58</f>
        <v>-99000</v>
      </c>
      <c r="I50" s="1">
        <f>'IS 2026'!U56</f>
        <v>-99000</v>
      </c>
      <c r="J50" s="196">
        <f>'IS 2027'!U56</f>
        <v>-99000</v>
      </c>
      <c r="K50" s="1"/>
    </row>
    <row r="51" spans="2:11" x14ac:dyDescent="0.3">
      <c r="B51" s="4" t="s">
        <v>8</v>
      </c>
      <c r="D51" s="5"/>
      <c r="F51" s="18">
        <f>F60/F44*100</f>
        <v>71.47978715394413</v>
      </c>
      <c r="G51" s="1">
        <f>F60/F44*100</f>
        <v>71.47978715394413</v>
      </c>
      <c r="H51" s="1">
        <f>F60/F44*100</f>
        <v>71.47978715394413</v>
      </c>
      <c r="I51" s="1">
        <f>I60/I44*100</f>
        <v>74.168933186571948</v>
      </c>
      <c r="J51" s="196">
        <f>J60/J44*100</f>
        <v>74.460095610775383</v>
      </c>
      <c r="K51" s="1"/>
    </row>
    <row r="52" spans="2:11" x14ac:dyDescent="0.3">
      <c r="B52" s="4" t="s">
        <v>9</v>
      </c>
      <c r="D52" s="5"/>
      <c r="F52" s="197">
        <f>F60/F44</f>
        <v>0.7147978715394413</v>
      </c>
      <c r="G52" s="19">
        <f>G60/G44</f>
        <v>0.73458310524001058</v>
      </c>
      <c r="H52" s="19">
        <f>H60/H44</f>
        <v>0.73615696842984624</v>
      </c>
      <c r="I52" s="19">
        <f>I60/I44</f>
        <v>0.7416893318657195</v>
      </c>
      <c r="J52" s="198">
        <f>J60/J44</f>
        <v>0.74460095610775379</v>
      </c>
      <c r="K52" s="19"/>
    </row>
    <row r="53" spans="2:11" x14ac:dyDescent="0.3">
      <c r="B53" s="4" t="s">
        <v>10</v>
      </c>
      <c r="D53" s="5"/>
      <c r="F53" s="18">
        <f>'IS 2023'!U59</f>
        <v>6903248.0669600004</v>
      </c>
      <c r="G53" s="1">
        <f>'IS 2024'!U60</f>
        <v>9239993.8940000013</v>
      </c>
      <c r="H53" s="1">
        <f>'IS 2025'!U59</f>
        <v>9488063.8743928578</v>
      </c>
      <c r="I53" s="1">
        <f>'IS 2025'!U59</f>
        <v>9488063.8743928578</v>
      </c>
      <c r="J53" s="196">
        <f>'IS 2027'!U57</f>
        <v>11852665.804499999</v>
      </c>
      <c r="K53" s="1"/>
    </row>
    <row r="54" spans="2:11" x14ac:dyDescent="0.3">
      <c r="B54" s="4" t="s">
        <v>22</v>
      </c>
      <c r="D54" s="5"/>
      <c r="F54" s="197">
        <f>F53/F44</f>
        <v>0.89349733942430165</v>
      </c>
      <c r="G54" s="19">
        <f>F53/F44</f>
        <v>0.89349733942430165</v>
      </c>
      <c r="H54" s="19">
        <f>F53/F44</f>
        <v>0.89349733942430165</v>
      </c>
      <c r="I54" s="19">
        <f>I53/I44</f>
        <v>0.840455951595942</v>
      </c>
      <c r="J54" s="198">
        <f>J53/J44</f>
        <v>0.93075119513469207</v>
      </c>
      <c r="K54" s="19"/>
    </row>
    <row r="55" spans="2:11" x14ac:dyDescent="0.3">
      <c r="B55" s="4" t="s">
        <v>11</v>
      </c>
      <c r="D55" s="5"/>
      <c r="F55" s="18">
        <f>'IS 2023'!U60</f>
        <v>-20532</v>
      </c>
      <c r="G55" s="1">
        <f>'IS 2024'!U61</f>
        <v>-17800</v>
      </c>
      <c r="H55" s="1">
        <f>'IS 2025'!U60</f>
        <v>-21149</v>
      </c>
      <c r="I55" s="1">
        <f>'IS 2026'!U58</f>
        <v>-21537</v>
      </c>
      <c r="J55" s="196">
        <f>'IS 2027'!U58</f>
        <v>-21292</v>
      </c>
      <c r="K55" s="1"/>
    </row>
    <row r="56" spans="2:11" x14ac:dyDescent="0.3">
      <c r="B56" s="4" t="s">
        <v>12</v>
      </c>
      <c r="D56" s="5"/>
      <c r="F56" s="18">
        <f>'IS 2023'!U61</f>
        <v>6882716.0669600004</v>
      </c>
      <c r="G56" s="1">
        <f>'IS 2024'!U62</f>
        <v>9222193.8940000013</v>
      </c>
      <c r="H56" s="1">
        <f>'IS 2025'!U61</f>
        <v>9498112.8743928578</v>
      </c>
      <c r="I56" s="1">
        <f>'IS 2026'!U59</f>
        <v>10444799.371249998</v>
      </c>
      <c r="J56" s="196">
        <f>'IS 2027'!U59</f>
        <v>11831373.804499999</v>
      </c>
      <c r="K56" s="1"/>
    </row>
    <row r="57" spans="2:11" x14ac:dyDescent="0.3">
      <c r="B57" s="4" t="s">
        <v>13</v>
      </c>
      <c r="D57" s="5"/>
      <c r="F57" s="18">
        <f>'IS 2023'!U62</f>
        <v>-858002.4</v>
      </c>
      <c r="G57" s="1">
        <f>'IS 2024'!U63</f>
        <v>-373644</v>
      </c>
      <c r="H57" s="1">
        <f>'IS 2025'!U62</f>
        <v>0</v>
      </c>
      <c r="I57" s="1">
        <f>'IS 2026'!U60</f>
        <v>0</v>
      </c>
      <c r="J57" s="196">
        <f>'IS 2027'!U60</f>
        <v>0</v>
      </c>
      <c r="K57" s="1"/>
    </row>
    <row r="58" spans="2:11" x14ac:dyDescent="0.3">
      <c r="B58" s="4" t="s">
        <v>14</v>
      </c>
      <c r="D58" s="5"/>
      <c r="F58" s="18">
        <f>'IS 2023'!U63</f>
        <v>6903248.0669600004</v>
      </c>
      <c r="G58" s="1">
        <f>'IS 2024'!U64</f>
        <v>9239993.8940000013</v>
      </c>
      <c r="H58" s="1">
        <f>'IS 2025'!U63</f>
        <v>9488063.8743928578</v>
      </c>
      <c r="I58" s="1">
        <f>'IS 2026'!U61</f>
        <v>10466336.371249998</v>
      </c>
      <c r="J58" s="196">
        <f>'IS 2027'!U61</f>
        <v>11852665.804499999</v>
      </c>
      <c r="K58" s="1"/>
    </row>
    <row r="59" spans="2:11" x14ac:dyDescent="0.3">
      <c r="B59" s="4" t="s">
        <v>15</v>
      </c>
      <c r="D59" s="5"/>
      <c r="F59" s="18">
        <f>'IS 2023'!U64</f>
        <v>-1380649.6133920001</v>
      </c>
      <c r="G59" s="1">
        <f>'IS 2024'!U65</f>
        <v>-1847998.7788000004</v>
      </c>
      <c r="H59" s="1">
        <f>'IS 2025'!U64</f>
        <v>-1897612.7748785717</v>
      </c>
      <c r="I59" s="1">
        <f>'IS 2026'!U62</f>
        <v>-2093267.27425</v>
      </c>
      <c r="J59" s="196">
        <f>'IS 2027'!U62</f>
        <v>-2370533.1609</v>
      </c>
      <c r="K59" s="1"/>
    </row>
    <row r="60" spans="2:11" x14ac:dyDescent="0.3">
      <c r="B60" s="4" t="s">
        <v>16</v>
      </c>
      <c r="D60" s="5"/>
      <c r="F60" s="18">
        <f>'IS 2023'!U65</f>
        <v>5522598.4535680003</v>
      </c>
      <c r="G60" s="1">
        <f>'IS 2024'!U66</f>
        <v>7391995.1152000008</v>
      </c>
      <c r="H60" s="1">
        <f>'IS 2025'!U65</f>
        <v>7590451.099514286</v>
      </c>
      <c r="I60" s="1">
        <f>'IS 2026'!U63</f>
        <v>8373069.0969999991</v>
      </c>
      <c r="J60" s="196">
        <f>'IS 2027'!U63</f>
        <v>9482132.6436000001</v>
      </c>
      <c r="K60" s="1"/>
    </row>
    <row r="61" spans="2:11" x14ac:dyDescent="0.3">
      <c r="B61" s="4" t="s">
        <v>17</v>
      </c>
      <c r="D61" s="5"/>
      <c r="F61" s="197">
        <f>F60/F44</f>
        <v>0.7147978715394413</v>
      </c>
      <c r="G61" s="19">
        <f>G60/G44</f>
        <v>0.73458310524001058</v>
      </c>
      <c r="H61" s="19">
        <f>H60/H44</f>
        <v>0.73615696842984624</v>
      </c>
      <c r="I61" s="19">
        <f>I60/I44</f>
        <v>0.7416893318657195</v>
      </c>
      <c r="J61" s="198">
        <f>J60/J44</f>
        <v>0.74460095610775379</v>
      </c>
      <c r="K61" s="19"/>
    </row>
    <row r="62" spans="2:11" x14ac:dyDescent="0.3">
      <c r="B62" s="4" t="s">
        <v>156</v>
      </c>
      <c r="D62" s="5"/>
      <c r="F62" s="18">
        <f>F60-F50-F55</f>
        <v>5642130.4535680003</v>
      </c>
      <c r="G62" s="1">
        <f>G60-G50-G55</f>
        <v>7508795.1152000008</v>
      </c>
      <c r="H62" s="1">
        <f>H60-H50-H55</f>
        <v>7710600.099514286</v>
      </c>
      <c r="I62" s="1">
        <f>I60-I50-I55</f>
        <v>8493606.0969999991</v>
      </c>
      <c r="J62" s="196">
        <f>J60-J50-J55</f>
        <v>9602424.6436000001</v>
      </c>
      <c r="K62" s="1"/>
    </row>
    <row r="63" spans="2:11" x14ac:dyDescent="0.3">
      <c r="B63" s="6" t="s">
        <v>155</v>
      </c>
      <c r="C63" s="344"/>
      <c r="D63" s="7"/>
      <c r="F63" s="199">
        <f>F62-F48-F49-F50</f>
        <v>6615208.4535680003</v>
      </c>
      <c r="G63" s="20">
        <f>G62-G48-G49-G50</f>
        <v>8481873.1152000017</v>
      </c>
      <c r="H63" s="20">
        <f>H62-H48-H49-H50</f>
        <v>8683678.099514287</v>
      </c>
      <c r="I63" s="20">
        <f>I62-I48-I49-I50</f>
        <v>9466684.0969999991</v>
      </c>
      <c r="J63" s="200">
        <f>J62-J48-J49-J50</f>
        <v>10575502.6436</v>
      </c>
      <c r="K63" s="1"/>
    </row>
  </sheetData>
  <mergeCells count="10">
    <mergeCell ref="D39:E39"/>
    <mergeCell ref="D27:E27"/>
    <mergeCell ref="D30:E30"/>
    <mergeCell ref="D33:E33"/>
    <mergeCell ref="D36:E36"/>
    <mergeCell ref="F6:Q6"/>
    <mergeCell ref="L42:Q42"/>
    <mergeCell ref="R42:V42"/>
    <mergeCell ref="F16:Q16"/>
    <mergeCell ref="F24:Q24"/>
  </mergeCells>
  <conditionalFormatting sqref="F40:Q40">
    <cfRule type="cellIs" dxfId="2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33A31-AF77-4355-8357-95967E1F0259}">
  <sheetPr codeName="Sheet25"/>
  <dimension ref="A1:AP83"/>
  <sheetViews>
    <sheetView showGridLines="0" topLeftCell="A52" workbookViewId="0">
      <selection activeCell="F64" sqref="F64:T64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.21875" style="136" bestFit="1" customWidth="1"/>
    <col min="7" max="8" width="10.109375" bestFit="1" customWidth="1"/>
    <col min="9" max="9" width="9.88671875" customWidth="1"/>
    <col min="10" max="10" width="10.5546875" bestFit="1" customWidth="1"/>
    <col min="11" max="11" width="10.109375" bestFit="1" customWidth="1"/>
    <col min="12" max="13" width="10.5546875" bestFit="1" customWidth="1"/>
    <col min="14" max="14" width="9.5546875" customWidth="1"/>
    <col min="15" max="15" width="10.109375" bestFit="1" customWidth="1"/>
    <col min="16" max="19" width="10.5546875" bestFit="1" customWidth="1"/>
    <col min="20" max="20" width="9.332031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1" t="s">
        <v>151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153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52"/>
      <c r="B5" s="155" t="s">
        <v>185</v>
      </c>
      <c r="C5" s="152"/>
      <c r="D5" s="152"/>
      <c r="E5" s="152"/>
      <c r="F5" s="210">
        <v>2025</v>
      </c>
      <c r="G5" s="210">
        <v>2025</v>
      </c>
      <c r="H5" s="210">
        <v>2025</v>
      </c>
      <c r="I5" s="210">
        <v>2025</v>
      </c>
      <c r="J5" s="210">
        <v>2025</v>
      </c>
      <c r="K5" s="210">
        <v>2025</v>
      </c>
      <c r="L5" s="210">
        <v>2025</v>
      </c>
      <c r="M5" s="210">
        <v>2025</v>
      </c>
      <c r="N5" s="210">
        <v>2025</v>
      </c>
      <c r="O5" s="210">
        <v>2025</v>
      </c>
      <c r="P5" s="210">
        <v>2025</v>
      </c>
      <c r="Q5" s="210">
        <v>2025</v>
      </c>
      <c r="R5" s="210">
        <v>2026</v>
      </c>
      <c r="S5" s="210">
        <v>2026</v>
      </c>
      <c r="T5" s="210">
        <v>2026</v>
      </c>
      <c r="U5" s="183" t="s">
        <v>80</v>
      </c>
    </row>
    <row r="6" spans="1:42" ht="15" thickBot="1" x14ac:dyDescent="0.35">
      <c r="A6" s="154"/>
      <c r="B6" s="162" t="s">
        <v>71</v>
      </c>
      <c r="C6" s="154"/>
      <c r="D6" s="154"/>
      <c r="E6" s="154"/>
      <c r="F6" s="209" t="s">
        <v>32</v>
      </c>
      <c r="G6" s="209" t="s">
        <v>33</v>
      </c>
      <c r="H6" s="209" t="s">
        <v>34</v>
      </c>
      <c r="I6" s="209" t="s">
        <v>35</v>
      </c>
      <c r="J6" s="209" t="s">
        <v>36</v>
      </c>
      <c r="K6" s="209" t="s">
        <v>37</v>
      </c>
      <c r="L6" s="209" t="s">
        <v>38</v>
      </c>
      <c r="M6" s="209" t="s">
        <v>39</v>
      </c>
      <c r="N6" s="209" t="s">
        <v>40</v>
      </c>
      <c r="O6" s="209" t="s">
        <v>41</v>
      </c>
      <c r="P6" s="209" t="s">
        <v>42</v>
      </c>
      <c r="Q6" s="209" t="s">
        <v>43</v>
      </c>
      <c r="R6" s="209" t="s">
        <v>32</v>
      </c>
      <c r="S6" s="209" t="s">
        <v>33</v>
      </c>
      <c r="T6" s="209" t="s">
        <v>34</v>
      </c>
      <c r="U6" s="168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8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4" t="s">
        <v>152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4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45" t="s">
        <v>290</v>
      </c>
      <c r="D12" s="13"/>
      <c r="E12" s="13"/>
      <c r="F12" s="160">
        <f>'2025 Sales Summary'!F27</f>
        <v>18261.935999999994</v>
      </c>
      <c r="G12" s="160">
        <f>'2025 Sales Summary'!G27</f>
        <v>18499.104000000003</v>
      </c>
      <c r="H12" s="160">
        <f>'2025 Sales Summary'!H27</f>
        <v>17278.549714285709</v>
      </c>
      <c r="I12" s="160">
        <f>'2025 Sales Summary'!I27</f>
        <v>17752.321607142858</v>
      </c>
      <c r="J12" s="160">
        <f>'2025 Sales Summary'!J27</f>
        <v>17593.321499999998</v>
      </c>
      <c r="K12" s="160">
        <f>'2025 Sales Summary'!K27</f>
        <v>17722.458642857142</v>
      </c>
      <c r="L12" s="160">
        <f>'2025 Sales Summary'!L27</f>
        <v>18235.77878571429</v>
      </c>
      <c r="M12" s="160">
        <f>'2025 Sales Summary'!M27</f>
        <v>17980.732928571426</v>
      </c>
      <c r="N12" s="160">
        <f>'2025 Sales Summary'!N27</f>
        <v>18686.144571428566</v>
      </c>
      <c r="O12" s="160">
        <f>'2025 Sales Summary'!O27</f>
        <v>18750.713142857141</v>
      </c>
      <c r="P12" s="160">
        <f>'2025 Sales Summary'!P27</f>
        <v>18533.18475</v>
      </c>
      <c r="Q12" s="160">
        <f>'2025 Sales Summary'!Q27</f>
        <v>18598.794749999997</v>
      </c>
      <c r="R12" s="160">
        <f>'IS 2026'!F12</f>
        <v>18664.404750000002</v>
      </c>
      <c r="S12" s="160">
        <f>'IS 2026'!G12</f>
        <v>19122.034500000002</v>
      </c>
      <c r="T12" s="160">
        <f>'IS 2026'!H12</f>
        <v>19253.254499999999</v>
      </c>
      <c r="U12" s="13"/>
    </row>
    <row r="13" spans="1:42" x14ac:dyDescent="0.3">
      <c r="A13" s="13"/>
      <c r="B13" s="13"/>
      <c r="C13" s="145" t="s">
        <v>291</v>
      </c>
      <c r="D13" s="13"/>
      <c r="E13" s="13"/>
      <c r="F13" s="160">
        <f>'2025 Sales Summary'!F30</f>
        <v>25701.983999999993</v>
      </c>
      <c r="G13" s="160">
        <f>'2025 Sales Summary'!G30</f>
        <v>26035.776000000002</v>
      </c>
      <c r="H13" s="160">
        <f>'2025 Sales Summary'!H30</f>
        <v>24317.95885714285</v>
      </c>
      <c r="I13" s="160">
        <f>'2025 Sales Summary'!I30</f>
        <v>24984.748928571429</v>
      </c>
      <c r="J13" s="160">
        <f>'2025 Sales Summary'!J30</f>
        <v>24760.970999999998</v>
      </c>
      <c r="K13" s="160">
        <f>'2025 Sales Summary'!K30</f>
        <v>24942.719571428574</v>
      </c>
      <c r="L13" s="160">
        <f>'2025 Sales Summary'!L30</f>
        <v>25665.17014285715</v>
      </c>
      <c r="M13" s="160">
        <f>'2025 Sales Summary'!M30</f>
        <v>25306.216714285711</v>
      </c>
      <c r="N13" s="160">
        <f>'2025 Sales Summary'!N30</f>
        <v>26299.018285714279</v>
      </c>
      <c r="O13" s="160">
        <f>'2025 Sales Summary'!O30</f>
        <v>26389.892571428569</v>
      </c>
      <c r="P13" s="160">
        <f>'2025 Sales Summary'!P30</f>
        <v>26083.7415</v>
      </c>
      <c r="Q13" s="160">
        <f>'2025 Sales Summary'!Q30</f>
        <v>26176.081499999997</v>
      </c>
      <c r="R13" s="160">
        <f>'IS 2026'!F13</f>
        <v>26268.4215</v>
      </c>
      <c r="S13" s="160">
        <f>'IS 2026'!G13</f>
        <v>26912.492999999999</v>
      </c>
      <c r="T13" s="160">
        <f>'IS 2026'!H13</f>
        <v>27097.172999999995</v>
      </c>
      <c r="U13" s="13"/>
    </row>
    <row r="14" spans="1:42" x14ac:dyDescent="0.3">
      <c r="A14" s="13"/>
      <c r="B14" s="13"/>
      <c r="C14" s="145" t="s">
        <v>292</v>
      </c>
      <c r="D14" s="13"/>
      <c r="E14" s="13"/>
      <c r="F14" s="160">
        <f>'2025 Sales Summary'!F33</f>
        <v>71695.007999999973</v>
      </c>
      <c r="G14" s="160">
        <f>'2025 Sales Summary'!G33</f>
        <v>72626.112000000008</v>
      </c>
      <c r="H14" s="160">
        <f>'2025 Sales Summary'!H33</f>
        <v>67834.306285714265</v>
      </c>
      <c r="I14" s="160">
        <f>'2025 Sales Summary'!I33</f>
        <v>69694.299642857135</v>
      </c>
      <c r="J14" s="160">
        <f>'2025 Sales Summary'!J33</f>
        <v>69070.07699999999</v>
      </c>
      <c r="K14" s="160">
        <f>'2025 Sales Summary'!K33</f>
        <v>69577.059857142856</v>
      </c>
      <c r="L14" s="160">
        <f>'2025 Sales Summary'!L33</f>
        <v>71592.316714285727</v>
      </c>
      <c r="M14" s="160">
        <f>'2025 Sales Summary'!M33</f>
        <v>70591.025571428559</v>
      </c>
      <c r="N14" s="160">
        <f>'2025 Sales Summary'!N33</f>
        <v>73360.419428571404</v>
      </c>
      <c r="O14" s="160">
        <f>'2025 Sales Summary'!O33</f>
        <v>73613.910857142851</v>
      </c>
      <c r="P14" s="160">
        <f>'2025 Sales Summary'!P33</f>
        <v>72759.910499999998</v>
      </c>
      <c r="Q14" s="160">
        <f>'2025 Sales Summary'!Q33</f>
        <v>73017.4905</v>
      </c>
      <c r="R14" s="160">
        <f>'IS 2026'!F14</f>
        <v>73275.070500000002</v>
      </c>
      <c r="S14" s="160">
        <f>'IS 2026'!G14</f>
        <v>75071.691000000006</v>
      </c>
      <c r="T14" s="160">
        <f>'IS 2026'!H14</f>
        <v>75586.850999999995</v>
      </c>
      <c r="U14" s="13"/>
    </row>
    <row r="15" spans="1:42" x14ac:dyDescent="0.3">
      <c r="A15" s="13"/>
      <c r="B15" s="13"/>
      <c r="C15" s="145" t="s">
        <v>294</v>
      </c>
      <c r="D15" s="13"/>
      <c r="E15" s="13"/>
      <c r="F15" s="160">
        <f>'2025 Sales Summary'!F36</f>
        <v>239885.18399999995</v>
      </c>
      <c r="G15" s="160">
        <f>'2025 Sales Summary'!G36</f>
        <v>243000.57600000003</v>
      </c>
      <c r="H15" s="160">
        <f>'2025 Sales Summary'!H36</f>
        <v>226967.61599999998</v>
      </c>
      <c r="I15" s="160">
        <f>'2025 Sales Summary'!I36</f>
        <v>233190.99000000002</v>
      </c>
      <c r="J15" s="160">
        <f>'2025 Sales Summary'!J36</f>
        <v>231102.39600000001</v>
      </c>
      <c r="K15" s="160">
        <f>'2025 Sales Summary'!K36</f>
        <v>232798.71600000004</v>
      </c>
      <c r="L15" s="160">
        <f>'2025 Sales Summary'!L36</f>
        <v>239541.58800000005</v>
      </c>
      <c r="M15" s="160">
        <f>'2025 Sales Summary'!M36</f>
        <v>236191.35600000003</v>
      </c>
      <c r="N15" s="160">
        <f>'2025 Sales Summary'!N36</f>
        <v>245457.50399999999</v>
      </c>
      <c r="O15" s="160">
        <f>'2025 Sales Summary'!O36</f>
        <v>246305.66400000002</v>
      </c>
      <c r="P15" s="160">
        <f>'2025 Sales Summary'!P36</f>
        <v>243448.25400000002</v>
      </c>
      <c r="Q15" s="160">
        <f>'2025 Sales Summary'!Q36</f>
        <v>244310.09400000004</v>
      </c>
      <c r="R15" s="160">
        <f>'IS 2026'!F15</f>
        <v>245171.93400000001</v>
      </c>
      <c r="S15" s="160">
        <f>'IS 2026'!G15</f>
        <v>251183.26800000001</v>
      </c>
      <c r="T15" s="160">
        <f>'IS 2026'!H15</f>
        <v>252906.94799999997</v>
      </c>
      <c r="U15" s="13"/>
    </row>
    <row r="16" spans="1:42" x14ac:dyDescent="0.3">
      <c r="A16" s="13"/>
      <c r="B16" s="13"/>
      <c r="C16" s="145" t="s">
        <v>293</v>
      </c>
      <c r="D16" s="13"/>
      <c r="E16" s="13"/>
      <c r="F16" s="160">
        <f>'2025 Sales Summary'!F39</f>
        <v>508628.73599999986</v>
      </c>
      <c r="G16" s="160">
        <f>'2025 Sales Summary'!G39</f>
        <v>515234.30400000006</v>
      </c>
      <c r="H16" s="160">
        <f>'2025 Sales Summary'!H39</f>
        <v>481239.60685714276</v>
      </c>
      <c r="I16" s="160">
        <f>'2025 Sales Summary'!I39</f>
        <v>494435.03142857144</v>
      </c>
      <c r="J16" s="160">
        <f>'2025 Sales Summary'!J39</f>
        <v>490006.58399999997</v>
      </c>
      <c r="K16" s="160">
        <f>'2025 Sales Summary'!K39</f>
        <v>493603.29257142858</v>
      </c>
      <c r="L16" s="160">
        <f>'2025 Sales Summary'!L39</f>
        <v>507900.20914285729</v>
      </c>
      <c r="M16" s="160">
        <f>'2025 Sales Summary'!M39</f>
        <v>500796.70971428568</v>
      </c>
      <c r="N16" s="160">
        <f>'2025 Sales Summary'!N39</f>
        <v>520443.73028571415</v>
      </c>
      <c r="O16" s="160">
        <f>'2025 Sales Summary'!O39</f>
        <v>522242.08457142848</v>
      </c>
      <c r="P16" s="160">
        <f>'2025 Sales Summary'!P39</f>
        <v>516183.516</v>
      </c>
      <c r="Q16" s="160">
        <f>'2025 Sales Summary'!Q39</f>
        <v>518010.87599999993</v>
      </c>
      <c r="R16" s="160">
        <f>'IS 2026'!F16</f>
        <v>519838.23600000003</v>
      </c>
      <c r="S16" s="160">
        <f>'IS 2026'!G16</f>
        <v>532584.07200000004</v>
      </c>
      <c r="T16" s="160">
        <f>'IS 2026'!H16</f>
        <v>536238.7919999999</v>
      </c>
      <c r="U16" s="13"/>
    </row>
    <row r="17" spans="1:21" x14ac:dyDescent="0.3">
      <c r="A17" s="152"/>
      <c r="B17" s="152"/>
      <c r="C17" s="155" t="s">
        <v>125</v>
      </c>
      <c r="D17" s="152"/>
      <c r="E17" s="152"/>
      <c r="F17" s="153">
        <f t="shared" ref="F17:H17" si="0">SUM(F12:F16)</f>
        <v>864172.84799999977</v>
      </c>
      <c r="G17" s="153">
        <f t="shared" si="0"/>
        <v>875395.87200000009</v>
      </c>
      <c r="H17" s="153">
        <f t="shared" si="0"/>
        <v>817638.03771428554</v>
      </c>
      <c r="I17" s="153">
        <f>SUM(I12:I16)</f>
        <v>840057.39160714287</v>
      </c>
      <c r="J17" s="153">
        <f t="shared" ref="J17:T17" si="1">SUM(J12:J16)</f>
        <v>832533.34950000001</v>
      </c>
      <c r="K17" s="153">
        <f t="shared" si="1"/>
        <v>838644.24664285721</v>
      </c>
      <c r="L17" s="153">
        <f t="shared" si="1"/>
        <v>862935.06278571452</v>
      </c>
      <c r="M17" s="153">
        <f t="shared" si="1"/>
        <v>850866.04092857137</v>
      </c>
      <c r="N17" s="153">
        <f t="shared" si="1"/>
        <v>884246.81657142844</v>
      </c>
      <c r="O17" s="153">
        <f t="shared" si="1"/>
        <v>887302.2651428571</v>
      </c>
      <c r="P17" s="153">
        <f t="shared" si="1"/>
        <v>877008.60675000004</v>
      </c>
      <c r="Q17" s="153">
        <f t="shared" si="1"/>
        <v>880113.33675000002</v>
      </c>
      <c r="R17" s="153">
        <f t="shared" si="1"/>
        <v>883218.06675</v>
      </c>
      <c r="S17" s="153">
        <f t="shared" si="1"/>
        <v>904873.55850000004</v>
      </c>
      <c r="T17" s="153">
        <f t="shared" si="1"/>
        <v>911083.01849999989</v>
      </c>
      <c r="U17" s="164">
        <f>SUM(F17:Q17)</f>
        <v>10310913.874392858</v>
      </c>
    </row>
    <row r="18" spans="1:21" x14ac:dyDescent="0.3">
      <c r="A18" s="154"/>
      <c r="B18" s="154"/>
      <c r="C18" s="162" t="s">
        <v>126</v>
      </c>
      <c r="D18" s="154"/>
      <c r="E18" s="154"/>
      <c r="F18" s="163">
        <f>SUM(F19:F24)</f>
        <v>-32544</v>
      </c>
      <c r="G18" s="163">
        <f t="shared" ref="G18:T18" si="2">SUM(G19:G24)</f>
        <v>-32544</v>
      </c>
      <c r="H18" s="163">
        <f t="shared" si="2"/>
        <v>-32544</v>
      </c>
      <c r="I18" s="163">
        <f t="shared" si="2"/>
        <v>-32544</v>
      </c>
      <c r="J18" s="163">
        <f t="shared" si="2"/>
        <v>-32544</v>
      </c>
      <c r="K18" s="163">
        <f t="shared" si="2"/>
        <v>-32544</v>
      </c>
      <c r="L18" s="163">
        <f t="shared" si="2"/>
        <v>-32544</v>
      </c>
      <c r="M18" s="163">
        <f t="shared" si="2"/>
        <v>-32544</v>
      </c>
      <c r="N18" s="163">
        <f t="shared" si="2"/>
        <v>-32544</v>
      </c>
      <c r="O18" s="163">
        <f t="shared" si="2"/>
        <v>-32544</v>
      </c>
      <c r="P18" s="163">
        <f t="shared" si="2"/>
        <v>-32544</v>
      </c>
      <c r="Q18" s="163">
        <f t="shared" si="2"/>
        <v>-32544</v>
      </c>
      <c r="R18" s="163">
        <f t="shared" si="2"/>
        <v>-32544</v>
      </c>
      <c r="S18" s="163">
        <f t="shared" si="2"/>
        <v>-32544</v>
      </c>
      <c r="T18" s="163">
        <f t="shared" si="2"/>
        <v>-32544</v>
      </c>
      <c r="U18" s="158">
        <f t="shared" ref="U18:U65" si="3">SUM(F18:Q18)</f>
        <v>-390528</v>
      </c>
    </row>
    <row r="19" spans="1:21" x14ac:dyDescent="0.3">
      <c r="A19" s="13"/>
      <c r="B19" s="13"/>
      <c r="C19" s="145" t="s">
        <v>216</v>
      </c>
      <c r="D19" s="13"/>
      <c r="E19" s="13"/>
      <c r="F19" s="142">
        <v>-31654</v>
      </c>
      <c r="G19" s="142">
        <v>-31654</v>
      </c>
      <c r="H19" s="142">
        <v>-31654</v>
      </c>
      <c r="I19" s="142">
        <v>-31654</v>
      </c>
      <c r="J19" s="142">
        <v>-31654</v>
      </c>
      <c r="K19" s="142">
        <v>-31654</v>
      </c>
      <c r="L19" s="142">
        <v>-31654</v>
      </c>
      <c r="M19" s="142">
        <v>-31654</v>
      </c>
      <c r="N19" s="142">
        <v>-31654</v>
      </c>
      <c r="O19" s="142">
        <v>-31654</v>
      </c>
      <c r="P19" s="142">
        <v>-31654</v>
      </c>
      <c r="Q19" s="142">
        <v>-31654</v>
      </c>
      <c r="R19" s="142">
        <v>-31654</v>
      </c>
      <c r="S19" s="142">
        <v>-31654</v>
      </c>
      <c r="T19" s="142">
        <v>-31654</v>
      </c>
      <c r="U19" s="160">
        <f t="shared" si="3"/>
        <v>-379848</v>
      </c>
    </row>
    <row r="20" spans="1:21" x14ac:dyDescent="0.3">
      <c r="A20" s="13"/>
      <c r="B20" s="13"/>
      <c r="C20" s="145" t="s">
        <v>217</v>
      </c>
      <c r="D20" s="13"/>
      <c r="E20" s="13"/>
      <c r="F20" s="143">
        <v>-700</v>
      </c>
      <c r="G20" s="143">
        <v>-700</v>
      </c>
      <c r="H20" s="143">
        <v>-700</v>
      </c>
      <c r="I20" s="143">
        <v>-700</v>
      </c>
      <c r="J20" s="143">
        <v>-700</v>
      </c>
      <c r="K20" s="143">
        <v>-700</v>
      </c>
      <c r="L20" s="143">
        <v>-700</v>
      </c>
      <c r="M20" s="143">
        <v>-700</v>
      </c>
      <c r="N20" s="143">
        <v>-700</v>
      </c>
      <c r="O20" s="143">
        <v>-700</v>
      </c>
      <c r="P20" s="143">
        <v>-700</v>
      </c>
      <c r="Q20" s="143">
        <v>-700</v>
      </c>
      <c r="R20" s="143">
        <v>-700</v>
      </c>
      <c r="S20" s="143">
        <v>-700</v>
      </c>
      <c r="T20" s="143">
        <v>-700</v>
      </c>
      <c r="U20" s="160">
        <f t="shared" si="3"/>
        <v>-8400</v>
      </c>
    </row>
    <row r="21" spans="1:21" x14ac:dyDescent="0.3">
      <c r="A21" s="13"/>
      <c r="B21" s="13"/>
      <c r="C21" s="145" t="s">
        <v>218</v>
      </c>
      <c r="D21" s="13"/>
      <c r="E21" s="13"/>
      <c r="F21" s="143">
        <v>-125</v>
      </c>
      <c r="G21" s="143">
        <v>-125</v>
      </c>
      <c r="H21" s="143">
        <v>-125</v>
      </c>
      <c r="I21" s="143">
        <v>-125</v>
      </c>
      <c r="J21" s="143">
        <v>-125</v>
      </c>
      <c r="K21" s="143">
        <v>-125</v>
      </c>
      <c r="L21" s="143">
        <v>-125</v>
      </c>
      <c r="M21" s="143">
        <v>-125</v>
      </c>
      <c r="N21" s="143">
        <v>-125</v>
      </c>
      <c r="O21" s="143">
        <v>-125</v>
      </c>
      <c r="P21" s="143">
        <v>-125</v>
      </c>
      <c r="Q21" s="143">
        <v>-125</v>
      </c>
      <c r="R21" s="143">
        <v>-125</v>
      </c>
      <c r="S21" s="143">
        <v>-125</v>
      </c>
      <c r="T21" s="143">
        <v>-125</v>
      </c>
      <c r="U21" s="160">
        <f t="shared" si="3"/>
        <v>-1500</v>
      </c>
    </row>
    <row r="22" spans="1:21" x14ac:dyDescent="0.3">
      <c r="A22" s="13"/>
      <c r="B22" s="13"/>
      <c r="C22" s="145" t="s">
        <v>219</v>
      </c>
      <c r="D22" s="13"/>
      <c r="E22" s="13"/>
      <c r="F22" s="143">
        <v>-65</v>
      </c>
      <c r="G22" s="143">
        <v>-65</v>
      </c>
      <c r="H22" s="143">
        <v>-65</v>
      </c>
      <c r="I22" s="143">
        <v>-65</v>
      </c>
      <c r="J22" s="143">
        <v>-65</v>
      </c>
      <c r="K22" s="143">
        <v>-65</v>
      </c>
      <c r="L22" s="143">
        <v>-65</v>
      </c>
      <c r="M22" s="143">
        <v>-65</v>
      </c>
      <c r="N22" s="143">
        <v>-65</v>
      </c>
      <c r="O22" s="143">
        <v>-65</v>
      </c>
      <c r="P22" s="143">
        <v>-65</v>
      </c>
      <c r="Q22" s="143">
        <v>-65</v>
      </c>
      <c r="R22" s="143">
        <v>-65</v>
      </c>
      <c r="S22" s="143">
        <v>-65</v>
      </c>
      <c r="T22" s="143">
        <v>-65</v>
      </c>
      <c r="U22" s="160">
        <f t="shared" si="3"/>
        <v>-780</v>
      </c>
    </row>
    <row r="23" spans="1:21" x14ac:dyDescent="0.3">
      <c r="A23" s="13"/>
      <c r="B23" s="13"/>
      <c r="C23" s="145" t="s">
        <v>220</v>
      </c>
      <c r="D23" s="13"/>
      <c r="E23" s="1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0"/>
    </row>
    <row r="24" spans="1:21" x14ac:dyDescent="0.3">
      <c r="A24" s="13"/>
      <c r="B24" s="13"/>
      <c r="C24" s="145" t="s">
        <v>221</v>
      </c>
      <c r="D24" s="13"/>
      <c r="E24" s="1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0"/>
    </row>
    <row r="25" spans="1:21" x14ac:dyDescent="0.3">
      <c r="A25" s="13"/>
      <c r="B25" s="13"/>
      <c r="C25" s="143"/>
      <c r="D25" s="13"/>
      <c r="E25" s="1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0"/>
    </row>
    <row r="26" spans="1:21" x14ac:dyDescent="0.3">
      <c r="A26" s="165"/>
      <c r="B26" s="165"/>
      <c r="C26" s="166" t="s">
        <v>4</v>
      </c>
      <c r="D26" s="165"/>
      <c r="E26" s="165"/>
      <c r="F26" s="167">
        <f>SUM(F17+F18)</f>
        <v>831628.84799999977</v>
      </c>
      <c r="G26" s="167">
        <f t="shared" ref="G26:T26" si="4">SUM(G17+G18)</f>
        <v>842851.87200000009</v>
      </c>
      <c r="H26" s="167">
        <f t="shared" si="4"/>
        <v>785094.03771428554</v>
      </c>
      <c r="I26" s="167">
        <f t="shared" si="4"/>
        <v>807513.39160714287</v>
      </c>
      <c r="J26" s="167">
        <f t="shared" si="4"/>
        <v>799989.34950000001</v>
      </c>
      <c r="K26" s="167">
        <f t="shared" si="4"/>
        <v>806100.24664285721</v>
      </c>
      <c r="L26" s="167">
        <f t="shared" si="4"/>
        <v>830391.06278571452</v>
      </c>
      <c r="M26" s="167">
        <f t="shared" si="4"/>
        <v>818322.04092857137</v>
      </c>
      <c r="N26" s="167">
        <f t="shared" si="4"/>
        <v>851702.81657142844</v>
      </c>
      <c r="O26" s="167">
        <f t="shared" si="4"/>
        <v>854758.2651428571</v>
      </c>
      <c r="P26" s="167">
        <f t="shared" si="4"/>
        <v>844464.60675000004</v>
      </c>
      <c r="Q26" s="167">
        <f t="shared" si="4"/>
        <v>847569.33675000002</v>
      </c>
      <c r="R26" s="167">
        <f t="shared" si="4"/>
        <v>850674.06675</v>
      </c>
      <c r="S26" s="167">
        <f t="shared" si="4"/>
        <v>872329.55850000004</v>
      </c>
      <c r="T26" s="167">
        <f t="shared" si="4"/>
        <v>878539.01849999989</v>
      </c>
      <c r="U26" s="309">
        <f t="shared" si="3"/>
        <v>9920385.8743928578</v>
      </c>
    </row>
    <row r="27" spans="1:21" ht="15" customHeight="1" x14ac:dyDescent="0.3">
      <c r="A27" s="13"/>
      <c r="B27" s="13"/>
      <c r="C27" s="143"/>
      <c r="D27" s="13"/>
      <c r="E27" s="1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0"/>
    </row>
    <row r="28" spans="1:21" ht="15" customHeight="1" x14ac:dyDescent="0.3">
      <c r="A28" s="13"/>
      <c r="B28" s="13"/>
      <c r="C28" s="144" t="s">
        <v>6</v>
      </c>
      <c r="D28" s="13"/>
      <c r="E28" s="1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0"/>
    </row>
    <row r="29" spans="1:21" ht="15" customHeight="1" x14ac:dyDescent="0.3">
      <c r="A29" s="13"/>
      <c r="B29" s="13"/>
      <c r="C29" s="145" t="s">
        <v>127</v>
      </c>
      <c r="D29" s="13"/>
      <c r="E29" s="13"/>
      <c r="F29" s="160">
        <v>-3493</v>
      </c>
      <c r="G29" s="160">
        <v>-3493</v>
      </c>
      <c r="H29" s="160">
        <v>-3493</v>
      </c>
      <c r="I29" s="160">
        <v>-3493</v>
      </c>
      <c r="J29" s="160">
        <v>-3493</v>
      </c>
      <c r="K29" s="160">
        <v>-3493</v>
      </c>
      <c r="L29" s="160">
        <v>-3493</v>
      </c>
      <c r="M29" s="160">
        <v>-3493</v>
      </c>
      <c r="N29" s="160">
        <v>-3493</v>
      </c>
      <c r="O29" s="160">
        <v>-3493</v>
      </c>
      <c r="P29" s="160">
        <v>-3493</v>
      </c>
      <c r="Q29" s="160">
        <v>-3493</v>
      </c>
      <c r="R29" s="160">
        <v>-3493</v>
      </c>
      <c r="S29" s="160">
        <v>-3493</v>
      </c>
      <c r="T29" s="160">
        <v>-3493</v>
      </c>
      <c r="U29" s="160">
        <f t="shared" si="3"/>
        <v>-41916</v>
      </c>
    </row>
    <row r="30" spans="1:21" ht="15" customHeight="1" x14ac:dyDescent="0.3">
      <c r="A30" s="13"/>
      <c r="B30" s="13"/>
      <c r="C30" s="145" t="s">
        <v>128</v>
      </c>
      <c r="D30" s="13"/>
      <c r="E30" s="13"/>
      <c r="F30" s="160">
        <v>-13493</v>
      </c>
      <c r="G30" s="160">
        <v>-13493</v>
      </c>
      <c r="H30" s="160">
        <v>-13493</v>
      </c>
      <c r="I30" s="160">
        <v>-13493</v>
      </c>
      <c r="J30" s="160">
        <v>-13493</v>
      </c>
      <c r="K30" s="160">
        <v>-13493</v>
      </c>
      <c r="L30" s="160">
        <v>-13493</v>
      </c>
      <c r="M30" s="160">
        <v>-13493</v>
      </c>
      <c r="N30" s="160">
        <v>-13493</v>
      </c>
      <c r="O30" s="160">
        <v>-13493</v>
      </c>
      <c r="P30" s="160">
        <v>-13493</v>
      </c>
      <c r="Q30" s="160">
        <v>-13493</v>
      </c>
      <c r="R30" s="381">
        <v>-3400</v>
      </c>
      <c r="S30" s="381">
        <v>-3400</v>
      </c>
      <c r="T30" s="381">
        <v>-3400</v>
      </c>
      <c r="U30" s="160">
        <f t="shared" si="3"/>
        <v>-161916</v>
      </c>
    </row>
    <row r="31" spans="1:21" ht="15" customHeight="1" x14ac:dyDescent="0.3">
      <c r="A31" s="13"/>
      <c r="B31" s="13"/>
      <c r="C31" s="145" t="s">
        <v>129</v>
      </c>
      <c r="D31" s="13"/>
      <c r="E31" s="13"/>
      <c r="F31" s="160">
        <v>-493</v>
      </c>
      <c r="G31" s="160">
        <v>-493</v>
      </c>
      <c r="H31" s="160">
        <v>-493</v>
      </c>
      <c r="I31" s="160">
        <v>-493</v>
      </c>
      <c r="J31" s="160">
        <v>-493</v>
      </c>
      <c r="K31" s="160">
        <v>-493</v>
      </c>
      <c r="L31" s="160">
        <v>-493</v>
      </c>
      <c r="M31" s="160">
        <v>-493</v>
      </c>
      <c r="N31" s="160">
        <v>-493</v>
      </c>
      <c r="O31" s="160">
        <v>-493</v>
      </c>
      <c r="P31" s="160">
        <v>-493</v>
      </c>
      <c r="Q31" s="160">
        <v>-493</v>
      </c>
      <c r="R31" s="307" t="s">
        <v>154</v>
      </c>
      <c r="S31" s="307" t="s">
        <v>154</v>
      </c>
      <c r="T31" s="307" t="s">
        <v>154</v>
      </c>
      <c r="U31" s="160">
        <f t="shared" si="3"/>
        <v>-5916</v>
      </c>
    </row>
    <row r="32" spans="1:21" ht="15" customHeight="1" x14ac:dyDescent="0.3">
      <c r="A32" s="13"/>
      <c r="B32" s="13"/>
      <c r="C32" s="145" t="s">
        <v>130</v>
      </c>
      <c r="D32" s="13"/>
      <c r="E32" s="13"/>
      <c r="F32" s="381">
        <v>-11234</v>
      </c>
      <c r="G32" s="381">
        <v>-11234</v>
      </c>
      <c r="H32" s="381">
        <v>-11234</v>
      </c>
      <c r="I32" s="381">
        <v>-11234</v>
      </c>
      <c r="J32" s="381">
        <v>-11234</v>
      </c>
      <c r="K32" s="381">
        <v>-11234</v>
      </c>
      <c r="L32" s="381">
        <v>-11234</v>
      </c>
      <c r="M32" s="381">
        <v>-11234</v>
      </c>
      <c r="N32" s="381">
        <v>-11234</v>
      </c>
      <c r="O32" s="381">
        <v>-11234</v>
      </c>
      <c r="P32" s="381">
        <v>-11234</v>
      </c>
      <c r="Q32" s="307" t="s">
        <v>154</v>
      </c>
      <c r="R32" s="307" t="s">
        <v>154</v>
      </c>
      <c r="S32" s="307" t="s">
        <v>154</v>
      </c>
      <c r="T32" s="307" t="s">
        <v>154</v>
      </c>
      <c r="U32" s="160">
        <f t="shared" si="3"/>
        <v>-123574</v>
      </c>
    </row>
    <row r="33" spans="1:21" ht="15" customHeight="1" x14ac:dyDescent="0.3">
      <c r="A33" s="13"/>
      <c r="B33" s="13"/>
      <c r="C33" s="145" t="s">
        <v>131</v>
      </c>
      <c r="D33" s="13"/>
      <c r="E33" s="13"/>
      <c r="F33" s="161" t="s">
        <v>154</v>
      </c>
      <c r="G33" s="161" t="s">
        <v>154</v>
      </c>
      <c r="H33" s="161" t="s">
        <v>154</v>
      </c>
      <c r="I33" s="161" t="s">
        <v>154</v>
      </c>
      <c r="J33" s="161" t="s">
        <v>154</v>
      </c>
      <c r="K33" s="161" t="s">
        <v>154</v>
      </c>
      <c r="L33" s="161" t="s">
        <v>154</v>
      </c>
      <c r="M33" s="161" t="s">
        <v>154</v>
      </c>
      <c r="N33" s="161" t="s">
        <v>154</v>
      </c>
      <c r="O33" s="161" t="s">
        <v>154</v>
      </c>
      <c r="P33" s="161" t="s">
        <v>154</v>
      </c>
      <c r="Q33" s="161" t="s">
        <v>154</v>
      </c>
      <c r="R33" s="161" t="s">
        <v>154</v>
      </c>
      <c r="S33" s="161" t="s">
        <v>154</v>
      </c>
      <c r="T33" s="161" t="s">
        <v>154</v>
      </c>
      <c r="U33" s="140"/>
    </row>
    <row r="34" spans="1:21" ht="15" customHeight="1" x14ac:dyDescent="0.3">
      <c r="A34" s="13"/>
      <c r="B34" s="13"/>
      <c r="C34" s="145" t="s">
        <v>132</v>
      </c>
      <c r="D34" s="13"/>
      <c r="E34" s="13"/>
      <c r="F34" s="307" t="s">
        <v>154</v>
      </c>
      <c r="G34" s="307" t="s">
        <v>154</v>
      </c>
      <c r="H34" s="307" t="s">
        <v>154</v>
      </c>
      <c r="I34" s="307" t="s">
        <v>154</v>
      </c>
      <c r="J34" s="307" t="s">
        <v>154</v>
      </c>
      <c r="K34" s="307" t="s">
        <v>154</v>
      </c>
      <c r="L34" s="307" t="s">
        <v>154</v>
      </c>
      <c r="M34" s="307" t="s">
        <v>154</v>
      </c>
      <c r="N34" s="307" t="s">
        <v>154</v>
      </c>
      <c r="O34" s="307" t="s">
        <v>154</v>
      </c>
      <c r="P34" s="307" t="s">
        <v>154</v>
      </c>
      <c r="Q34" s="307" t="s">
        <v>154</v>
      </c>
      <c r="R34" s="307" t="s">
        <v>154</v>
      </c>
      <c r="S34" s="307" t="s">
        <v>154</v>
      </c>
      <c r="T34" s="307" t="s">
        <v>154</v>
      </c>
      <c r="U34" s="140"/>
    </row>
    <row r="35" spans="1:21" ht="15" customHeight="1" x14ac:dyDescent="0.3">
      <c r="A35" s="13"/>
      <c r="B35" s="13"/>
      <c r="C35" s="145" t="s">
        <v>133</v>
      </c>
      <c r="D35" s="13"/>
      <c r="E35" s="13"/>
      <c r="F35" s="307" t="s">
        <v>154</v>
      </c>
      <c r="G35" s="307" t="s">
        <v>154</v>
      </c>
      <c r="H35" s="307" t="s">
        <v>154</v>
      </c>
      <c r="I35" s="307" t="s">
        <v>154</v>
      </c>
      <c r="J35" s="307" t="s">
        <v>154</v>
      </c>
      <c r="K35" s="307" t="s">
        <v>154</v>
      </c>
      <c r="L35" s="307" t="s">
        <v>154</v>
      </c>
      <c r="M35" s="307" t="s">
        <v>154</v>
      </c>
      <c r="N35" s="307" t="s">
        <v>154</v>
      </c>
      <c r="O35" s="307" t="s">
        <v>154</v>
      </c>
      <c r="P35" s="307" t="s">
        <v>154</v>
      </c>
      <c r="Q35" s="307" t="s">
        <v>154</v>
      </c>
      <c r="R35" s="307" t="s">
        <v>154</v>
      </c>
      <c r="S35" s="307" t="s">
        <v>154</v>
      </c>
      <c r="T35" s="307" t="s">
        <v>154</v>
      </c>
      <c r="U35" s="140"/>
    </row>
    <row r="36" spans="1:21" ht="15" customHeight="1" x14ac:dyDescent="0.3">
      <c r="A36" s="13"/>
      <c r="B36" s="13"/>
      <c r="C36" s="145" t="s">
        <v>134</v>
      </c>
      <c r="D36" s="13"/>
      <c r="E36" s="13"/>
      <c r="F36" s="307" t="s">
        <v>154</v>
      </c>
      <c r="G36" s="307" t="s">
        <v>154</v>
      </c>
      <c r="H36" s="307" t="s">
        <v>154</v>
      </c>
      <c r="I36" s="307" t="s">
        <v>154</v>
      </c>
      <c r="J36" s="307" t="s">
        <v>154</v>
      </c>
      <c r="K36" s="307" t="s">
        <v>154</v>
      </c>
      <c r="L36" s="307" t="s">
        <v>154</v>
      </c>
      <c r="M36" s="307" t="s">
        <v>154</v>
      </c>
      <c r="N36" s="307" t="s">
        <v>154</v>
      </c>
      <c r="O36" s="307" t="s">
        <v>154</v>
      </c>
      <c r="P36" s="307" t="s">
        <v>154</v>
      </c>
      <c r="Q36" s="307" t="s">
        <v>154</v>
      </c>
      <c r="R36" s="307" t="s">
        <v>154</v>
      </c>
      <c r="S36" s="307" t="s">
        <v>154</v>
      </c>
      <c r="T36" s="307" t="s">
        <v>154</v>
      </c>
      <c r="U36" s="140"/>
    </row>
    <row r="37" spans="1:21" ht="15.6" customHeight="1" x14ac:dyDescent="0.3">
      <c r="A37" s="13"/>
      <c r="B37" s="13"/>
      <c r="C37" s="145"/>
      <c r="D37" s="13"/>
      <c r="E37" s="13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40"/>
    </row>
    <row r="38" spans="1:21" x14ac:dyDescent="0.3">
      <c r="A38" s="156"/>
      <c r="B38" s="156"/>
      <c r="C38" s="183" t="s">
        <v>135</v>
      </c>
      <c r="D38" s="156"/>
      <c r="E38" s="156"/>
      <c r="F38" s="164">
        <f t="shared" ref="F38:H38" si="5">SUM(F29:F36)</f>
        <v>-28713</v>
      </c>
      <c r="G38" s="164">
        <f t="shared" si="5"/>
        <v>-28713</v>
      </c>
      <c r="H38" s="164">
        <f t="shared" si="5"/>
        <v>-28713</v>
      </c>
      <c r="I38" s="164">
        <f t="shared" ref="I38:T38" si="6">SUM(I29:I36)</f>
        <v>-28713</v>
      </c>
      <c r="J38" s="164">
        <f t="shared" si="6"/>
        <v>-28713</v>
      </c>
      <c r="K38" s="164">
        <f t="shared" si="6"/>
        <v>-28713</v>
      </c>
      <c r="L38" s="164">
        <f t="shared" si="6"/>
        <v>-28713</v>
      </c>
      <c r="M38" s="164">
        <f t="shared" si="6"/>
        <v>-28713</v>
      </c>
      <c r="N38" s="164">
        <f t="shared" si="6"/>
        <v>-28713</v>
      </c>
      <c r="O38" s="164">
        <f t="shared" si="6"/>
        <v>-28713</v>
      </c>
      <c r="P38" s="164">
        <f t="shared" si="6"/>
        <v>-28713</v>
      </c>
      <c r="Q38" s="164">
        <f t="shared" si="6"/>
        <v>-17479</v>
      </c>
      <c r="R38" s="164">
        <f t="shared" si="6"/>
        <v>-6893</v>
      </c>
      <c r="S38" s="164">
        <f t="shared" si="6"/>
        <v>-6893</v>
      </c>
      <c r="T38" s="164">
        <f t="shared" si="6"/>
        <v>-6893</v>
      </c>
      <c r="U38" s="164">
        <f t="shared" si="3"/>
        <v>-333322</v>
      </c>
    </row>
    <row r="39" spans="1:21" x14ac:dyDescent="0.3">
      <c r="A39" s="157"/>
      <c r="B39" s="157"/>
      <c r="C39" s="194" t="s">
        <v>136</v>
      </c>
      <c r="D39" s="157"/>
      <c r="E39" s="157"/>
      <c r="F39" s="158">
        <v>-45063</v>
      </c>
      <c r="G39" s="158">
        <v>-45063</v>
      </c>
      <c r="H39" s="158">
        <v>-45063</v>
      </c>
      <c r="I39" s="158">
        <v>-45063</v>
      </c>
      <c r="J39" s="158">
        <v>-45063</v>
      </c>
      <c r="K39" s="158">
        <v>-45063</v>
      </c>
      <c r="L39" s="158">
        <v>-45063</v>
      </c>
      <c r="M39" s="158">
        <v>-45063</v>
      </c>
      <c r="N39" s="158">
        <v>-45063</v>
      </c>
      <c r="O39" s="158">
        <v>-45063</v>
      </c>
      <c r="P39" s="158">
        <v>-45063</v>
      </c>
      <c r="Q39" s="158">
        <v>-45063</v>
      </c>
      <c r="R39" s="158">
        <v>-45063</v>
      </c>
      <c r="S39" s="158">
        <v>-45063</v>
      </c>
      <c r="T39" s="158">
        <v>-45063</v>
      </c>
      <c r="U39" s="158">
        <f t="shared" si="3"/>
        <v>-540756</v>
      </c>
    </row>
    <row r="40" spans="1:21" x14ac:dyDescent="0.3">
      <c r="A40" s="13"/>
      <c r="B40" s="13"/>
      <c r="C40" s="143"/>
      <c r="D40" s="13"/>
      <c r="E40" s="1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0"/>
    </row>
    <row r="41" spans="1:21" x14ac:dyDescent="0.3">
      <c r="A41" s="13"/>
      <c r="B41" s="13"/>
      <c r="C41" s="144" t="s">
        <v>31</v>
      </c>
      <c r="D41" s="13"/>
      <c r="E41" s="1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0"/>
    </row>
    <row r="42" spans="1:21" x14ac:dyDescent="0.3">
      <c r="A42" s="13"/>
      <c r="B42" s="13"/>
      <c r="C42" s="143" t="s">
        <v>81</v>
      </c>
      <c r="D42" s="13"/>
      <c r="E42" s="13"/>
      <c r="F42" s="160">
        <v>-1750</v>
      </c>
      <c r="G42" s="160">
        <v>-1750</v>
      </c>
      <c r="H42" s="160">
        <v>-1750</v>
      </c>
      <c r="I42" s="160">
        <v>-1750</v>
      </c>
      <c r="J42" s="160">
        <v>-1750</v>
      </c>
      <c r="K42" s="160">
        <v>-1750</v>
      </c>
      <c r="L42" s="160">
        <v>-1750</v>
      </c>
      <c r="M42" s="160">
        <v>-1750</v>
      </c>
      <c r="N42" s="160">
        <v>-1750</v>
      </c>
      <c r="O42" s="160">
        <v>-1750</v>
      </c>
      <c r="P42" s="160">
        <v>-1750</v>
      </c>
      <c r="Q42" s="160">
        <v>-1750</v>
      </c>
      <c r="R42" s="160">
        <v>-1750</v>
      </c>
      <c r="S42" s="160">
        <v>-1750</v>
      </c>
      <c r="T42" s="160">
        <v>-1750</v>
      </c>
      <c r="U42" s="160">
        <f t="shared" si="3"/>
        <v>-21000</v>
      </c>
    </row>
    <row r="43" spans="1:21" x14ac:dyDescent="0.3">
      <c r="A43" s="13"/>
      <c r="B43" s="13"/>
      <c r="C43" s="143" t="s">
        <v>137</v>
      </c>
      <c r="D43" s="13"/>
      <c r="E43" s="13"/>
      <c r="F43" s="160">
        <v>-2550</v>
      </c>
      <c r="G43" s="160">
        <v>-2550</v>
      </c>
      <c r="H43" s="160">
        <v>-2550</v>
      </c>
      <c r="I43" s="160">
        <v>-2550</v>
      </c>
      <c r="J43" s="160">
        <v>-2550</v>
      </c>
      <c r="K43" s="160">
        <v>-2550</v>
      </c>
      <c r="L43" s="160">
        <v>-2550</v>
      </c>
      <c r="M43" s="160">
        <v>-2550</v>
      </c>
      <c r="N43" s="160">
        <v>-2550</v>
      </c>
      <c r="O43" s="160">
        <v>-2550</v>
      </c>
      <c r="P43" s="160">
        <v>-2550</v>
      </c>
      <c r="Q43" s="160">
        <v>-2550</v>
      </c>
      <c r="R43" s="160">
        <v>-2550</v>
      </c>
      <c r="S43" s="160">
        <v>-2550</v>
      </c>
      <c r="T43" s="160">
        <v>-2550</v>
      </c>
      <c r="U43" s="160">
        <f t="shared" si="3"/>
        <v>-30600</v>
      </c>
    </row>
    <row r="44" spans="1:21" x14ac:dyDescent="0.3">
      <c r="A44" s="13"/>
      <c r="B44" s="13"/>
      <c r="C44" s="143" t="s">
        <v>246</v>
      </c>
      <c r="D44" s="13"/>
      <c r="E44" s="13"/>
      <c r="F44" s="160">
        <v>-700</v>
      </c>
      <c r="G44" s="160">
        <v>-700</v>
      </c>
      <c r="H44" s="160">
        <v>-700</v>
      </c>
      <c r="I44" s="160">
        <v>-700</v>
      </c>
      <c r="J44" s="160">
        <v>-700</v>
      </c>
      <c r="K44" s="160">
        <v>-700</v>
      </c>
      <c r="L44" s="160">
        <v>-700</v>
      </c>
      <c r="M44" s="160">
        <v>-700</v>
      </c>
      <c r="N44" s="160">
        <v>-700</v>
      </c>
      <c r="O44" s="160">
        <v>-700</v>
      </c>
      <c r="P44" s="160">
        <v>-700</v>
      </c>
      <c r="Q44" s="160">
        <v>-700</v>
      </c>
      <c r="R44" s="160">
        <v>-700</v>
      </c>
      <c r="S44" s="160">
        <v>-700</v>
      </c>
      <c r="T44" s="160">
        <v>-700</v>
      </c>
      <c r="U44" s="160">
        <f t="shared" si="3"/>
        <v>-8400</v>
      </c>
    </row>
    <row r="45" spans="1:21" x14ac:dyDescent="0.3">
      <c r="A45" s="13"/>
      <c r="B45" s="13"/>
      <c r="C45" s="143" t="s">
        <v>247</v>
      </c>
      <c r="D45" s="13"/>
      <c r="E45" s="13"/>
      <c r="F45" s="160">
        <v>-1350</v>
      </c>
      <c r="G45" s="160">
        <v>-1350</v>
      </c>
      <c r="H45" s="160">
        <v>-1350</v>
      </c>
      <c r="I45" s="160">
        <v>-1350</v>
      </c>
      <c r="J45" s="160">
        <v>-1350</v>
      </c>
      <c r="K45" s="160">
        <v>-1350</v>
      </c>
      <c r="L45" s="160">
        <v>-1350</v>
      </c>
      <c r="M45" s="160">
        <v>-1350</v>
      </c>
      <c r="N45" s="160">
        <v>-1350</v>
      </c>
      <c r="O45" s="160">
        <v>-1350</v>
      </c>
      <c r="P45" s="160">
        <v>-1350</v>
      </c>
      <c r="Q45" s="160">
        <v>-1350</v>
      </c>
      <c r="R45" s="160">
        <v>-1350</v>
      </c>
      <c r="S45" s="160">
        <v>-1350</v>
      </c>
      <c r="T45" s="160">
        <v>-1350</v>
      </c>
      <c r="U45" s="160">
        <f t="shared" si="3"/>
        <v>-16200</v>
      </c>
    </row>
    <row r="46" spans="1:21" x14ac:dyDescent="0.3">
      <c r="A46" s="13"/>
      <c r="B46" s="13"/>
      <c r="C46" s="143" t="s">
        <v>241</v>
      </c>
      <c r="D46" s="13"/>
      <c r="E46" s="13"/>
      <c r="F46" s="160">
        <v>-1900</v>
      </c>
      <c r="G46" s="160">
        <v>-1900</v>
      </c>
      <c r="H46" s="160">
        <v>-1900</v>
      </c>
      <c r="I46" s="160">
        <v>-1900</v>
      </c>
      <c r="J46" s="160">
        <v>-1900</v>
      </c>
      <c r="K46" s="160">
        <v>-1900</v>
      </c>
      <c r="L46" s="160">
        <v>-1900</v>
      </c>
      <c r="M46" s="160">
        <v>-1900</v>
      </c>
      <c r="N46" s="160">
        <v>-1900</v>
      </c>
      <c r="O46" s="160">
        <v>-1900</v>
      </c>
      <c r="P46" s="160">
        <v>-1900</v>
      </c>
      <c r="Q46" s="160">
        <v>-1900</v>
      </c>
      <c r="R46" s="160">
        <v>-1900</v>
      </c>
      <c r="S46" s="160">
        <v>-1900</v>
      </c>
      <c r="T46" s="160">
        <v>-1900</v>
      </c>
      <c r="U46" s="160">
        <f t="shared" si="3"/>
        <v>-22800</v>
      </c>
    </row>
    <row r="47" spans="1:21" x14ac:dyDescent="0.3">
      <c r="A47" s="13"/>
      <c r="B47" s="13"/>
      <c r="C47" s="143" t="s">
        <v>138</v>
      </c>
      <c r="D47" s="13"/>
      <c r="E47" s="1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0"/>
    </row>
    <row r="48" spans="1:21" x14ac:dyDescent="0.3">
      <c r="A48" s="13"/>
      <c r="B48" s="13"/>
      <c r="C48" s="145" t="s">
        <v>139</v>
      </c>
      <c r="D48" s="13"/>
      <c r="E48" s="1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0"/>
    </row>
    <row r="49" spans="1:21" x14ac:dyDescent="0.3">
      <c r="A49" s="13"/>
      <c r="B49" s="13"/>
      <c r="C49" s="145" t="s">
        <v>140</v>
      </c>
      <c r="D49" s="13"/>
      <c r="E49" s="1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0"/>
    </row>
    <row r="50" spans="1:21" x14ac:dyDescent="0.3">
      <c r="A50" s="13"/>
      <c r="B50" s="13"/>
      <c r="C50" s="145" t="s">
        <v>141</v>
      </c>
      <c r="D50" s="13"/>
      <c r="E50" s="1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0"/>
    </row>
    <row r="51" spans="1:21" x14ac:dyDescent="0.3">
      <c r="A51" s="13"/>
      <c r="B51" s="13"/>
      <c r="C51" s="145" t="s">
        <v>142</v>
      </c>
      <c r="D51" s="13"/>
      <c r="E51" s="1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0"/>
    </row>
    <row r="52" spans="1:21" x14ac:dyDescent="0.3">
      <c r="A52" s="13"/>
      <c r="B52" s="13"/>
      <c r="C52" s="145" t="s">
        <v>143</v>
      </c>
      <c r="D52" s="13"/>
      <c r="E52" s="1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0"/>
    </row>
    <row r="53" spans="1:21" x14ac:dyDescent="0.3">
      <c r="A53" s="13"/>
      <c r="B53" s="13"/>
      <c r="C53" s="145" t="s">
        <v>144</v>
      </c>
      <c r="D53" s="13"/>
      <c r="E53" s="1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0"/>
    </row>
    <row r="54" spans="1:21" x14ac:dyDescent="0.3">
      <c r="A54" s="13"/>
      <c r="B54" s="13"/>
      <c r="C54" s="145" t="s">
        <v>145</v>
      </c>
      <c r="D54" s="13"/>
      <c r="E54" s="1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0"/>
    </row>
    <row r="55" spans="1:21" x14ac:dyDescent="0.3">
      <c r="A55" s="13"/>
      <c r="B55" s="13"/>
      <c r="C55" s="145" t="s">
        <v>146</v>
      </c>
      <c r="D55" s="13"/>
      <c r="E55" s="1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0"/>
    </row>
    <row r="56" spans="1:21" x14ac:dyDescent="0.3">
      <c r="A56" s="13"/>
      <c r="B56" s="13"/>
      <c r="C56" s="145" t="s">
        <v>147</v>
      </c>
      <c r="D56" s="13"/>
      <c r="E56" s="1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0"/>
    </row>
    <row r="57" spans="1:21" x14ac:dyDescent="0.3">
      <c r="A57" s="13"/>
      <c r="B57" s="13"/>
      <c r="C57" s="145"/>
      <c r="D57" s="13"/>
      <c r="E57" s="1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0"/>
    </row>
    <row r="58" spans="1:21" s="119" customFormat="1" ht="14.4" customHeight="1" x14ac:dyDescent="0.3">
      <c r="A58" s="170"/>
      <c r="B58" s="170"/>
      <c r="C58" s="171" t="s">
        <v>148</v>
      </c>
      <c r="D58" s="170"/>
      <c r="E58" s="170"/>
      <c r="F58" s="172">
        <f t="shared" ref="F58:H58" si="7">SUM(F42:F56)</f>
        <v>-8250</v>
      </c>
      <c r="G58" s="172">
        <f t="shared" si="7"/>
        <v>-8250</v>
      </c>
      <c r="H58" s="172">
        <f t="shared" si="7"/>
        <v>-8250</v>
      </c>
      <c r="I58" s="172">
        <f t="shared" ref="I58:T58" si="8">SUM(I42:I56)</f>
        <v>-8250</v>
      </c>
      <c r="J58" s="172">
        <f t="shared" si="8"/>
        <v>-8250</v>
      </c>
      <c r="K58" s="172">
        <f t="shared" si="8"/>
        <v>-8250</v>
      </c>
      <c r="L58" s="172">
        <f t="shared" si="8"/>
        <v>-8250</v>
      </c>
      <c r="M58" s="172">
        <f t="shared" si="8"/>
        <v>-8250</v>
      </c>
      <c r="N58" s="172">
        <f t="shared" si="8"/>
        <v>-8250</v>
      </c>
      <c r="O58" s="172">
        <f t="shared" si="8"/>
        <v>-8250</v>
      </c>
      <c r="P58" s="172">
        <f t="shared" si="8"/>
        <v>-8250</v>
      </c>
      <c r="Q58" s="172">
        <f t="shared" si="8"/>
        <v>-8250</v>
      </c>
      <c r="R58" s="172">
        <f t="shared" si="8"/>
        <v>-8250</v>
      </c>
      <c r="S58" s="172">
        <f t="shared" si="8"/>
        <v>-8250</v>
      </c>
      <c r="T58" s="172">
        <f t="shared" si="8"/>
        <v>-8250</v>
      </c>
      <c r="U58" s="164">
        <f t="shared" si="3"/>
        <v>-99000</v>
      </c>
    </row>
    <row r="59" spans="1:21" s="119" customFormat="1" ht="14.4" customHeight="1" x14ac:dyDescent="0.3">
      <c r="A59" s="173"/>
      <c r="B59" s="173"/>
      <c r="C59" s="174" t="s">
        <v>10</v>
      </c>
      <c r="D59" s="173"/>
      <c r="E59" s="173"/>
      <c r="F59" s="175">
        <f>F17+F18+F38+F58</f>
        <v>794665.84799999977</v>
      </c>
      <c r="G59" s="175">
        <f>G17+G18+G38+G58</f>
        <v>805888.87200000009</v>
      </c>
      <c r="H59" s="175">
        <f t="shared" ref="H59:T59" si="9">H17+H18+H38+H58</f>
        <v>748131.03771428554</v>
      </c>
      <c r="I59" s="175">
        <f t="shared" si="9"/>
        <v>770550.39160714287</v>
      </c>
      <c r="J59" s="175">
        <f t="shared" si="9"/>
        <v>763026.34950000001</v>
      </c>
      <c r="K59" s="175">
        <f t="shared" si="9"/>
        <v>769137.24664285721</v>
      </c>
      <c r="L59" s="175">
        <f t="shared" si="9"/>
        <v>793428.06278571452</v>
      </c>
      <c r="M59" s="175">
        <f t="shared" si="9"/>
        <v>781359.04092857137</v>
      </c>
      <c r="N59" s="175">
        <f t="shared" si="9"/>
        <v>814739.81657142844</v>
      </c>
      <c r="O59" s="175">
        <f t="shared" si="9"/>
        <v>817795.2651428571</v>
      </c>
      <c r="P59" s="175">
        <f t="shared" si="9"/>
        <v>807501.60675000004</v>
      </c>
      <c r="Q59" s="175">
        <f t="shared" si="9"/>
        <v>821840.33675000002</v>
      </c>
      <c r="R59" s="175">
        <f t="shared" si="9"/>
        <v>835531.06675</v>
      </c>
      <c r="S59" s="175">
        <f t="shared" si="9"/>
        <v>857186.55850000004</v>
      </c>
      <c r="T59" s="175">
        <f t="shared" si="9"/>
        <v>863396.01849999989</v>
      </c>
      <c r="U59" s="158">
        <f t="shared" si="3"/>
        <v>9488063.8743928578</v>
      </c>
    </row>
    <row r="60" spans="1:21" s="119" customFormat="1" ht="14.4" customHeight="1" x14ac:dyDescent="0.3">
      <c r="A60" s="117"/>
      <c r="B60" s="117"/>
      <c r="C60" s="146" t="s">
        <v>149</v>
      </c>
      <c r="D60" s="117"/>
      <c r="E60" s="117"/>
      <c r="F60" s="355">
        <v>-1850</v>
      </c>
      <c r="G60" s="355">
        <v>-1850</v>
      </c>
      <c r="H60" s="355">
        <v>-1850</v>
      </c>
      <c r="I60" s="355">
        <v>-1711</v>
      </c>
      <c r="J60" s="355">
        <v>-1711</v>
      </c>
      <c r="K60" s="355">
        <v>-1711</v>
      </c>
      <c r="L60" s="355">
        <v>-1711</v>
      </c>
      <c r="M60" s="355">
        <v>-1711</v>
      </c>
      <c r="N60" s="355">
        <v>-1711</v>
      </c>
      <c r="O60" s="355">
        <v>-1711</v>
      </c>
      <c r="P60" s="355">
        <v>-1711</v>
      </c>
      <c r="Q60" s="355">
        <v>-1911</v>
      </c>
      <c r="R60" s="355">
        <v>-1911</v>
      </c>
      <c r="S60" s="355">
        <v>-1911</v>
      </c>
      <c r="T60" s="355">
        <v>-1911</v>
      </c>
      <c r="U60" s="355">
        <f t="shared" si="3"/>
        <v>-21149</v>
      </c>
    </row>
    <row r="61" spans="1:21" s="119" customFormat="1" ht="25.05" customHeight="1" x14ac:dyDescent="0.3">
      <c r="A61" s="117"/>
      <c r="B61" s="117"/>
      <c r="C61" s="146" t="s">
        <v>12</v>
      </c>
      <c r="D61" s="117"/>
      <c r="E61" s="117"/>
      <c r="F61" s="355">
        <f t="shared" ref="F61:H61" si="10">F59+F60</f>
        <v>792815.84799999977</v>
      </c>
      <c r="G61" s="355">
        <f t="shared" si="10"/>
        <v>804038.87200000009</v>
      </c>
      <c r="H61" s="355">
        <f t="shared" si="10"/>
        <v>746281.03771428554</v>
      </c>
      <c r="I61" s="355">
        <f t="shared" ref="I61:T61" si="11">I59-I60</f>
        <v>772261.39160714287</v>
      </c>
      <c r="J61" s="355">
        <f t="shared" si="11"/>
        <v>764737.34950000001</v>
      </c>
      <c r="K61" s="355">
        <f t="shared" si="11"/>
        <v>770848.24664285721</v>
      </c>
      <c r="L61" s="355">
        <f t="shared" si="11"/>
        <v>795139.06278571452</v>
      </c>
      <c r="M61" s="355">
        <f t="shared" si="11"/>
        <v>783070.04092857137</v>
      </c>
      <c r="N61" s="355">
        <f t="shared" si="11"/>
        <v>816450.81657142844</v>
      </c>
      <c r="O61" s="355">
        <f t="shared" si="11"/>
        <v>819506.2651428571</v>
      </c>
      <c r="P61" s="355">
        <f t="shared" si="11"/>
        <v>809212.60675000004</v>
      </c>
      <c r="Q61" s="355">
        <f t="shared" si="11"/>
        <v>823751.33675000002</v>
      </c>
      <c r="R61" s="355">
        <f t="shared" si="11"/>
        <v>837442.06675</v>
      </c>
      <c r="S61" s="355">
        <f t="shared" si="11"/>
        <v>859097.55850000004</v>
      </c>
      <c r="T61" s="355">
        <f t="shared" si="11"/>
        <v>865307.01849999989</v>
      </c>
      <c r="U61" s="355">
        <f t="shared" si="3"/>
        <v>9498112.8743928578</v>
      </c>
    </row>
    <row r="62" spans="1:21" s="119" customFormat="1" ht="25.05" customHeight="1" x14ac:dyDescent="0.3">
      <c r="A62" s="117"/>
      <c r="B62" s="117"/>
      <c r="C62" s="149" t="s">
        <v>150</v>
      </c>
      <c r="D62" s="150"/>
      <c r="E62" s="117"/>
      <c r="F62" s="355">
        <f>'BS 2025'!F27</f>
        <v>0</v>
      </c>
      <c r="G62" s="355">
        <f>'BS 2025'!G27</f>
        <v>0</v>
      </c>
      <c r="H62" s="355">
        <f>'BS 2025'!H27</f>
        <v>0</v>
      </c>
      <c r="I62" s="355">
        <f>'BS 2025'!I27</f>
        <v>0</v>
      </c>
      <c r="J62" s="355">
        <f>'BS 2025'!J27</f>
        <v>0</v>
      </c>
      <c r="K62" s="355">
        <f>'BS 2025'!K27</f>
        <v>0</v>
      </c>
      <c r="L62" s="355">
        <f>'BS 2025'!L27</f>
        <v>0</v>
      </c>
      <c r="M62" s="355">
        <f>'BS 2025'!M27</f>
        <v>0</v>
      </c>
      <c r="N62" s="355">
        <f>'BS 2025'!N27</f>
        <v>0</v>
      </c>
      <c r="O62" s="355">
        <f>'BS 2025'!O27</f>
        <v>0</v>
      </c>
      <c r="P62" s="355">
        <f>'BS 2025'!P27</f>
        <v>0</v>
      </c>
      <c r="Q62" s="355">
        <f>'BS 2025'!Q27</f>
        <v>0</v>
      </c>
      <c r="R62" s="355">
        <f>'BS 2025'!R27</f>
        <v>0</v>
      </c>
      <c r="S62" s="355">
        <f>'BS 2025'!S27</f>
        <v>0</v>
      </c>
      <c r="T62" s="355">
        <f>'BS 2025'!T27</f>
        <v>0</v>
      </c>
      <c r="U62" s="355">
        <f t="shared" si="3"/>
        <v>0</v>
      </c>
    </row>
    <row r="63" spans="1:21" s="119" customFormat="1" ht="25.05" customHeight="1" x14ac:dyDescent="0.3">
      <c r="A63" s="117"/>
      <c r="B63" s="117"/>
      <c r="C63" s="146" t="s">
        <v>14</v>
      </c>
      <c r="D63" s="117"/>
      <c r="E63" s="117"/>
      <c r="F63" s="355">
        <f>F59</f>
        <v>794665.84799999977</v>
      </c>
      <c r="G63" s="355">
        <f t="shared" ref="G63:T63" si="12">G59</f>
        <v>805888.87200000009</v>
      </c>
      <c r="H63" s="355">
        <f t="shared" si="12"/>
        <v>748131.03771428554</v>
      </c>
      <c r="I63" s="355">
        <f t="shared" si="12"/>
        <v>770550.39160714287</v>
      </c>
      <c r="J63" s="355">
        <f t="shared" si="12"/>
        <v>763026.34950000001</v>
      </c>
      <c r="K63" s="355">
        <f t="shared" si="12"/>
        <v>769137.24664285721</v>
      </c>
      <c r="L63" s="355">
        <f t="shared" si="12"/>
        <v>793428.06278571452</v>
      </c>
      <c r="M63" s="355">
        <f t="shared" si="12"/>
        <v>781359.04092857137</v>
      </c>
      <c r="N63" s="355">
        <f t="shared" si="12"/>
        <v>814739.81657142844</v>
      </c>
      <c r="O63" s="355">
        <f t="shared" si="12"/>
        <v>817795.2651428571</v>
      </c>
      <c r="P63" s="355">
        <f t="shared" si="12"/>
        <v>807501.60675000004</v>
      </c>
      <c r="Q63" s="355">
        <f t="shared" si="12"/>
        <v>821840.33675000002</v>
      </c>
      <c r="R63" s="355">
        <f t="shared" si="12"/>
        <v>835531.06675</v>
      </c>
      <c r="S63" s="355">
        <f t="shared" si="12"/>
        <v>857186.55850000004</v>
      </c>
      <c r="T63" s="355">
        <f t="shared" si="12"/>
        <v>863396.01849999989</v>
      </c>
      <c r="U63" s="355">
        <f t="shared" si="3"/>
        <v>9488063.8743928578</v>
      </c>
    </row>
    <row r="64" spans="1:21" s="119" customFormat="1" ht="25.05" customHeight="1" x14ac:dyDescent="0.3">
      <c r="A64" s="117"/>
      <c r="B64" s="117"/>
      <c r="C64" s="149" t="s">
        <v>15</v>
      </c>
      <c r="D64" s="117"/>
      <c r="E64" s="117"/>
      <c r="F64" s="355">
        <f>(F63*0.2)*-1</f>
        <v>-158933.16959999996</v>
      </c>
      <c r="G64" s="355">
        <f t="shared" ref="G64:T64" si="13">(G63*0.2)*-1</f>
        <v>-161177.77440000002</v>
      </c>
      <c r="H64" s="355">
        <f t="shared" si="13"/>
        <v>-149626.20754285713</v>
      </c>
      <c r="I64" s="355">
        <f t="shared" si="13"/>
        <v>-154110.07832142859</v>
      </c>
      <c r="J64" s="355">
        <f t="shared" si="13"/>
        <v>-152605.26990000001</v>
      </c>
      <c r="K64" s="355">
        <f t="shared" si="13"/>
        <v>-153827.44932857144</v>
      </c>
      <c r="L64" s="355">
        <f t="shared" si="13"/>
        <v>-158685.61255714291</v>
      </c>
      <c r="M64" s="355">
        <f t="shared" si="13"/>
        <v>-156271.80818571427</v>
      </c>
      <c r="N64" s="355">
        <f t="shared" si="13"/>
        <v>-162947.96331428571</v>
      </c>
      <c r="O64" s="355">
        <f t="shared" si="13"/>
        <v>-163559.05302857142</v>
      </c>
      <c r="P64" s="355">
        <f t="shared" si="13"/>
        <v>-161500.32135000001</v>
      </c>
      <c r="Q64" s="355">
        <f t="shared" si="13"/>
        <v>-164368.06735000003</v>
      </c>
      <c r="R64" s="355">
        <f t="shared" si="13"/>
        <v>-167106.21335000001</v>
      </c>
      <c r="S64" s="355">
        <f t="shared" si="13"/>
        <v>-171437.31170000002</v>
      </c>
      <c r="T64" s="355">
        <f t="shared" si="13"/>
        <v>-172679.20369999998</v>
      </c>
      <c r="U64" s="355">
        <f t="shared" si="3"/>
        <v>-1897612.7748785717</v>
      </c>
    </row>
    <row r="65" spans="1:21" s="119" customFormat="1" ht="14.4" customHeight="1" x14ac:dyDescent="0.3">
      <c r="A65" s="176"/>
      <c r="B65" s="176"/>
      <c r="C65" s="177" t="s">
        <v>16</v>
      </c>
      <c r="D65" s="176"/>
      <c r="E65" s="176"/>
      <c r="F65" s="312">
        <f>F63+F64</f>
        <v>635732.67839999986</v>
      </c>
      <c r="G65" s="312">
        <f t="shared" ref="G65:T65" si="14">G63+G64</f>
        <v>644711.0976000001</v>
      </c>
      <c r="H65" s="312">
        <f t="shared" si="14"/>
        <v>598504.83017142839</v>
      </c>
      <c r="I65" s="312">
        <f t="shared" si="14"/>
        <v>616440.31328571425</v>
      </c>
      <c r="J65" s="312">
        <f t="shared" si="14"/>
        <v>610421.07960000006</v>
      </c>
      <c r="K65" s="312">
        <f t="shared" si="14"/>
        <v>615309.79731428577</v>
      </c>
      <c r="L65" s="312">
        <f t="shared" si="14"/>
        <v>634742.45022857166</v>
      </c>
      <c r="M65" s="312">
        <f t="shared" si="14"/>
        <v>625087.23274285707</v>
      </c>
      <c r="N65" s="312">
        <f t="shared" si="14"/>
        <v>651791.85325714271</v>
      </c>
      <c r="O65" s="312">
        <f t="shared" si="14"/>
        <v>654236.21211428568</v>
      </c>
      <c r="P65" s="312">
        <f t="shared" si="14"/>
        <v>646001.28540000005</v>
      </c>
      <c r="Q65" s="312">
        <f t="shared" si="14"/>
        <v>657472.26939999999</v>
      </c>
      <c r="R65" s="312">
        <f t="shared" si="14"/>
        <v>668424.85340000002</v>
      </c>
      <c r="S65" s="312">
        <f t="shared" si="14"/>
        <v>685749.24680000008</v>
      </c>
      <c r="T65" s="312">
        <f t="shared" si="14"/>
        <v>690716.81479999993</v>
      </c>
      <c r="U65" s="311">
        <f t="shared" si="3"/>
        <v>7590451.099514286</v>
      </c>
    </row>
    <row r="66" spans="1:21" x14ac:dyDescent="0.3">
      <c r="F66"/>
    </row>
    <row r="67" spans="1:21" x14ac:dyDescent="0.3">
      <c r="F67"/>
    </row>
    <row r="68" spans="1:21" x14ac:dyDescent="0.3">
      <c r="F68"/>
    </row>
    <row r="69" spans="1:21" x14ac:dyDescent="0.3">
      <c r="F69"/>
    </row>
    <row r="70" spans="1:21" x14ac:dyDescent="0.3">
      <c r="F70"/>
    </row>
    <row r="71" spans="1:21" x14ac:dyDescent="0.3">
      <c r="F71"/>
    </row>
    <row r="72" spans="1:21" x14ac:dyDescent="0.3">
      <c r="F72"/>
    </row>
    <row r="73" spans="1:21" x14ac:dyDescent="0.3">
      <c r="F73"/>
    </row>
    <row r="74" spans="1:21" x14ac:dyDescent="0.3">
      <c r="F74"/>
    </row>
    <row r="75" spans="1:21" x14ac:dyDescent="0.3">
      <c r="F75"/>
    </row>
    <row r="76" spans="1:21" x14ac:dyDescent="0.3">
      <c r="F76"/>
    </row>
    <row r="77" spans="1:21" x14ac:dyDescent="0.3">
      <c r="F77"/>
    </row>
    <row r="78" spans="1:21" x14ac:dyDescent="0.3">
      <c r="F78"/>
    </row>
    <row r="79" spans="1:21" x14ac:dyDescent="0.3">
      <c r="F79"/>
    </row>
    <row r="80" spans="1:21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</sheetData>
  <phoneticPr fontId="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CF80B-76C2-48FF-8553-F077D6928C71}">
  <sheetPr codeName="Sheet32"/>
  <dimension ref="A2:V61"/>
  <sheetViews>
    <sheetView showGridLines="0" topLeftCell="A33" workbookViewId="0">
      <selection activeCell="G53" sqref="G53:U53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1" max="11" width="9.88671875" bestFit="1" customWidth="1"/>
    <col min="15" max="15" width="9.6640625" customWidth="1"/>
    <col min="19" max="19" width="9.5546875" customWidth="1"/>
    <col min="22" max="22" width="10.21875" bestFit="1" customWidth="1"/>
  </cols>
  <sheetData>
    <row r="2" spans="1:22" ht="18" x14ac:dyDescent="0.35">
      <c r="A2" s="139" t="s">
        <v>157</v>
      </c>
      <c r="C2" s="138"/>
      <c r="D2" s="13"/>
    </row>
    <row r="3" spans="1:22" x14ac:dyDescent="0.3">
      <c r="A3" s="137" t="s">
        <v>158</v>
      </c>
      <c r="C3" s="23"/>
    </row>
    <row r="4" spans="1:22" x14ac:dyDescent="0.3">
      <c r="A4" s="137" t="s">
        <v>159</v>
      </c>
      <c r="C4" s="23"/>
    </row>
    <row r="6" spans="1:22" x14ac:dyDescent="0.3">
      <c r="B6" s="23" t="s">
        <v>207</v>
      </c>
    </row>
    <row r="7" spans="1:22" x14ac:dyDescent="0.3">
      <c r="A7" s="151"/>
      <c r="B7" s="183" t="s">
        <v>71</v>
      </c>
      <c r="C7" s="156"/>
      <c r="D7" s="156"/>
      <c r="E7" s="156"/>
      <c r="F7" s="156"/>
      <c r="G7" s="184">
        <v>45658</v>
      </c>
      <c r="H7" s="184">
        <v>45689</v>
      </c>
      <c r="I7" s="184">
        <v>45717</v>
      </c>
      <c r="J7" s="184">
        <v>45748</v>
      </c>
      <c r="K7" s="184">
        <v>45778</v>
      </c>
      <c r="L7" s="184">
        <v>45809</v>
      </c>
      <c r="M7" s="184">
        <v>45839</v>
      </c>
      <c r="N7" s="184">
        <v>45870</v>
      </c>
      <c r="O7" s="184">
        <v>45901</v>
      </c>
      <c r="P7" s="184">
        <v>45931</v>
      </c>
      <c r="Q7" s="184">
        <v>45962</v>
      </c>
      <c r="R7" s="184">
        <v>45992</v>
      </c>
      <c r="S7" s="184">
        <v>46023</v>
      </c>
      <c r="T7" s="184">
        <v>46054</v>
      </c>
      <c r="U7" s="184">
        <v>46082</v>
      </c>
      <c r="V7" s="185" t="s">
        <v>80</v>
      </c>
    </row>
    <row r="9" spans="1:22" x14ac:dyDescent="0.3">
      <c r="B9" s="23" t="s">
        <v>183</v>
      </c>
    </row>
    <row r="10" spans="1:22" x14ac:dyDescent="0.3">
      <c r="A10" s="156"/>
      <c r="B10" s="183" t="s">
        <v>160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</row>
    <row r="11" spans="1:22" x14ac:dyDescent="0.3">
      <c r="B11" s="360" t="s">
        <v>44</v>
      </c>
      <c r="C11" s="358"/>
      <c r="D11" s="358"/>
      <c r="E11" s="358"/>
      <c r="F11" s="358"/>
      <c r="G11" s="225">
        <f>SUM(G12:G18)</f>
        <v>864172.84799999977</v>
      </c>
      <c r="H11" s="225">
        <f t="shared" ref="H11:R11" si="0">SUM(H12:H18)</f>
        <v>875395.87200000009</v>
      </c>
      <c r="I11" s="225">
        <f t="shared" si="0"/>
        <v>817638.03771428554</v>
      </c>
      <c r="J11" s="225">
        <f t="shared" si="0"/>
        <v>840057.39160714287</v>
      </c>
      <c r="K11" s="225">
        <f t="shared" si="0"/>
        <v>832533.34950000001</v>
      </c>
      <c r="L11" s="225">
        <f t="shared" si="0"/>
        <v>838644.24664285721</v>
      </c>
      <c r="M11" s="225">
        <f t="shared" si="0"/>
        <v>862935.06278571452</v>
      </c>
      <c r="N11" s="225">
        <f t="shared" si="0"/>
        <v>850866.04092857137</v>
      </c>
      <c r="O11" s="225">
        <f t="shared" si="0"/>
        <v>884246.81657142844</v>
      </c>
      <c r="P11" s="225">
        <f t="shared" si="0"/>
        <v>887302.2651428571</v>
      </c>
      <c r="Q11" s="225">
        <f t="shared" si="0"/>
        <v>877008.60675000004</v>
      </c>
      <c r="R11" s="225">
        <f t="shared" si="0"/>
        <v>880113.33675000002</v>
      </c>
      <c r="S11" s="225">
        <f>'CF 2026'!G11</f>
        <v>883218.06675</v>
      </c>
      <c r="T11" s="225">
        <f>'CF 2026'!H11</f>
        <v>904873.55850000004</v>
      </c>
      <c r="U11" s="225">
        <f>'CF 2026'!I11</f>
        <v>911083.01849999989</v>
      </c>
      <c r="V11" s="225">
        <f>SUM(G11:R11)</f>
        <v>10310913.874392858</v>
      </c>
    </row>
    <row r="12" spans="1:22" x14ac:dyDescent="0.3">
      <c r="B12" s="361" t="s">
        <v>290</v>
      </c>
      <c r="C12" s="358"/>
      <c r="D12" s="358"/>
      <c r="E12" s="358"/>
      <c r="F12" s="358"/>
      <c r="G12" s="225">
        <f>'IS 2025'!F12</f>
        <v>18261.935999999994</v>
      </c>
      <c r="H12" s="225">
        <f>'IS 2025'!G12</f>
        <v>18499.104000000003</v>
      </c>
      <c r="I12" s="225">
        <f>'IS 2025'!H12</f>
        <v>17278.549714285709</v>
      </c>
      <c r="J12" s="225">
        <f>'IS 2025'!I12</f>
        <v>17752.321607142858</v>
      </c>
      <c r="K12" s="225">
        <f>'IS 2025'!J12</f>
        <v>17593.321499999998</v>
      </c>
      <c r="L12" s="225">
        <f>'IS 2025'!K12</f>
        <v>17722.458642857142</v>
      </c>
      <c r="M12" s="225">
        <f>'IS 2025'!L12</f>
        <v>18235.77878571429</v>
      </c>
      <c r="N12" s="225">
        <f>'IS 2025'!M12</f>
        <v>17980.732928571426</v>
      </c>
      <c r="O12" s="225">
        <f>'IS 2025'!N12</f>
        <v>18686.144571428566</v>
      </c>
      <c r="P12" s="225">
        <f>'IS 2025'!O12</f>
        <v>18750.713142857141</v>
      </c>
      <c r="Q12" s="225">
        <f>'IS 2025'!P12</f>
        <v>18533.18475</v>
      </c>
      <c r="R12" s="225">
        <f>'IS 2025'!Q12</f>
        <v>18598.794749999997</v>
      </c>
      <c r="S12" s="225">
        <f>'CF 2026'!G12</f>
        <v>18664.404750000002</v>
      </c>
      <c r="T12" s="225">
        <f>'CF 2026'!H12</f>
        <v>19122.034500000002</v>
      </c>
      <c r="U12" s="225">
        <f>'CF 2026'!I12</f>
        <v>19253.254499999999</v>
      </c>
      <c r="V12" s="358"/>
    </row>
    <row r="13" spans="1:22" x14ac:dyDescent="0.3">
      <c r="B13" s="361" t="s">
        <v>291</v>
      </c>
      <c r="C13" s="358"/>
      <c r="D13" s="358"/>
      <c r="E13" s="358"/>
      <c r="F13" s="358"/>
      <c r="G13" s="225">
        <f>'IS 2025'!F13</f>
        <v>25701.983999999993</v>
      </c>
      <c r="H13" s="225">
        <f>'IS 2025'!G13</f>
        <v>26035.776000000002</v>
      </c>
      <c r="I13" s="225">
        <f>'IS 2025'!H13</f>
        <v>24317.95885714285</v>
      </c>
      <c r="J13" s="225">
        <f>'IS 2025'!I13</f>
        <v>24984.748928571429</v>
      </c>
      <c r="K13" s="225">
        <f>'IS 2025'!J13</f>
        <v>24760.970999999998</v>
      </c>
      <c r="L13" s="225">
        <f>'IS 2025'!K13</f>
        <v>24942.719571428574</v>
      </c>
      <c r="M13" s="225">
        <f>'IS 2025'!L13</f>
        <v>25665.17014285715</v>
      </c>
      <c r="N13" s="225">
        <f>'IS 2025'!M13</f>
        <v>25306.216714285711</v>
      </c>
      <c r="O13" s="225">
        <f>'IS 2025'!N13</f>
        <v>26299.018285714279</v>
      </c>
      <c r="P13" s="225">
        <f>'IS 2025'!O13</f>
        <v>26389.892571428569</v>
      </c>
      <c r="Q13" s="225">
        <f>'IS 2025'!P13</f>
        <v>26083.7415</v>
      </c>
      <c r="R13" s="225">
        <f>'IS 2025'!Q13</f>
        <v>26176.081499999997</v>
      </c>
      <c r="S13" s="225">
        <f>'CF 2026'!G13</f>
        <v>26268.4215</v>
      </c>
      <c r="T13" s="225">
        <f>'CF 2026'!H13</f>
        <v>26912.492999999999</v>
      </c>
      <c r="U13" s="225">
        <f>'CF 2026'!I13</f>
        <v>27097.172999999995</v>
      </c>
      <c r="V13" s="358"/>
    </row>
    <row r="14" spans="1:22" x14ac:dyDescent="0.3">
      <c r="B14" s="361" t="s">
        <v>292</v>
      </c>
      <c r="C14" s="358"/>
      <c r="D14" s="358"/>
      <c r="E14" s="358"/>
      <c r="F14" s="358"/>
      <c r="G14" s="225">
        <f>'IS 2025'!F14</f>
        <v>71695.007999999973</v>
      </c>
      <c r="H14" s="225">
        <f>'IS 2025'!G14</f>
        <v>72626.112000000008</v>
      </c>
      <c r="I14" s="225">
        <f>'IS 2025'!H14</f>
        <v>67834.306285714265</v>
      </c>
      <c r="J14" s="225">
        <f>'IS 2025'!I14</f>
        <v>69694.299642857135</v>
      </c>
      <c r="K14" s="225">
        <f>'IS 2025'!J14</f>
        <v>69070.07699999999</v>
      </c>
      <c r="L14" s="225">
        <f>'IS 2025'!K14</f>
        <v>69577.059857142856</v>
      </c>
      <c r="M14" s="225">
        <f>'IS 2025'!L14</f>
        <v>71592.316714285727</v>
      </c>
      <c r="N14" s="225">
        <f>'IS 2025'!M14</f>
        <v>70591.025571428559</v>
      </c>
      <c r="O14" s="225">
        <f>'IS 2025'!N14</f>
        <v>73360.419428571404</v>
      </c>
      <c r="P14" s="225">
        <f>'IS 2025'!O14</f>
        <v>73613.910857142851</v>
      </c>
      <c r="Q14" s="225">
        <f>'IS 2025'!P14</f>
        <v>72759.910499999998</v>
      </c>
      <c r="R14" s="225">
        <f>'IS 2025'!Q14</f>
        <v>73017.4905</v>
      </c>
      <c r="S14" s="225">
        <f>'CF 2026'!G14</f>
        <v>73275.070500000002</v>
      </c>
      <c r="T14" s="225">
        <f>'CF 2026'!H14</f>
        <v>75071.691000000006</v>
      </c>
      <c r="U14" s="225">
        <f>'CF 2026'!I14</f>
        <v>75586.850999999995</v>
      </c>
      <c r="V14" s="358"/>
    </row>
    <row r="15" spans="1:22" x14ac:dyDescent="0.3">
      <c r="B15" s="361" t="s">
        <v>294</v>
      </c>
      <c r="C15" s="358"/>
      <c r="D15" s="358"/>
      <c r="E15" s="358"/>
      <c r="F15" s="358"/>
      <c r="G15" s="225">
        <f>'IS 2025'!F15</f>
        <v>239885.18399999995</v>
      </c>
      <c r="H15" s="225">
        <f>'IS 2025'!G15</f>
        <v>243000.57600000003</v>
      </c>
      <c r="I15" s="225">
        <f>'IS 2025'!H15</f>
        <v>226967.61599999998</v>
      </c>
      <c r="J15" s="225">
        <f>'IS 2025'!I15</f>
        <v>233190.99000000002</v>
      </c>
      <c r="K15" s="225">
        <f>'IS 2025'!J15</f>
        <v>231102.39600000001</v>
      </c>
      <c r="L15" s="225">
        <f>'IS 2025'!K15</f>
        <v>232798.71600000004</v>
      </c>
      <c r="M15" s="225">
        <f>'IS 2025'!L15</f>
        <v>239541.58800000005</v>
      </c>
      <c r="N15" s="225">
        <f>'IS 2025'!M15</f>
        <v>236191.35600000003</v>
      </c>
      <c r="O15" s="225">
        <f>'IS 2025'!N15</f>
        <v>245457.50399999999</v>
      </c>
      <c r="P15" s="225">
        <f>'IS 2025'!O15</f>
        <v>246305.66400000002</v>
      </c>
      <c r="Q15" s="225">
        <f>'IS 2025'!P15</f>
        <v>243448.25400000002</v>
      </c>
      <c r="R15" s="225">
        <f>'IS 2025'!Q15</f>
        <v>244310.09400000004</v>
      </c>
      <c r="S15" s="225">
        <f>'CF 2026'!G15</f>
        <v>245171.93400000001</v>
      </c>
      <c r="T15" s="225">
        <f>'CF 2026'!H15</f>
        <v>251183.26800000001</v>
      </c>
      <c r="U15" s="225">
        <f>'CF 2026'!I15</f>
        <v>252906.94799999997</v>
      </c>
      <c r="V15" s="358"/>
    </row>
    <row r="16" spans="1:22" x14ac:dyDescent="0.3">
      <c r="B16" s="361" t="s">
        <v>293</v>
      </c>
      <c r="C16" s="358"/>
      <c r="D16" s="358"/>
      <c r="E16" s="358"/>
      <c r="F16" s="358"/>
      <c r="G16" s="225">
        <f>'IS 2025'!F16</f>
        <v>508628.73599999986</v>
      </c>
      <c r="H16" s="225">
        <f>'IS 2025'!G16</f>
        <v>515234.30400000006</v>
      </c>
      <c r="I16" s="225">
        <f>'IS 2025'!H16</f>
        <v>481239.60685714276</v>
      </c>
      <c r="J16" s="225">
        <f>'IS 2025'!I16</f>
        <v>494435.03142857144</v>
      </c>
      <c r="K16" s="225">
        <f>'IS 2025'!J16</f>
        <v>490006.58399999997</v>
      </c>
      <c r="L16" s="225">
        <f>'IS 2025'!K16</f>
        <v>493603.29257142858</v>
      </c>
      <c r="M16" s="225">
        <f>'IS 2025'!L16</f>
        <v>507900.20914285729</v>
      </c>
      <c r="N16" s="225">
        <f>'IS 2025'!M16</f>
        <v>500796.70971428568</v>
      </c>
      <c r="O16" s="225">
        <f>'IS 2025'!N16</f>
        <v>520443.73028571415</v>
      </c>
      <c r="P16" s="225">
        <f>'IS 2025'!O16</f>
        <v>522242.08457142848</v>
      </c>
      <c r="Q16" s="225">
        <f>'IS 2025'!P16</f>
        <v>516183.516</v>
      </c>
      <c r="R16" s="225">
        <f>'IS 2025'!Q16</f>
        <v>518010.87599999993</v>
      </c>
      <c r="S16" s="225">
        <f>'CF 2026'!G16</f>
        <v>519838.23600000003</v>
      </c>
      <c r="T16" s="225">
        <f>'CF 2026'!H16</f>
        <v>532584.07200000004</v>
      </c>
      <c r="U16" s="225">
        <f>'CF 2026'!I16</f>
        <v>536238.7919999999</v>
      </c>
      <c r="V16" s="358"/>
    </row>
    <row r="17" spans="1:22" x14ac:dyDescent="0.3">
      <c r="B17" s="362" t="s">
        <v>132</v>
      </c>
      <c r="C17" s="358"/>
      <c r="D17" s="358"/>
      <c r="E17" s="358"/>
      <c r="F17" s="358"/>
      <c r="G17" s="225"/>
      <c r="H17" s="225"/>
      <c r="I17" s="225"/>
      <c r="J17" s="225"/>
      <c r="K17" s="225"/>
      <c r="L17" s="225"/>
      <c r="M17" s="225"/>
      <c r="N17" s="225"/>
      <c r="O17" s="225"/>
      <c r="P17" s="358"/>
      <c r="Q17" s="225"/>
      <c r="R17" s="225"/>
      <c r="S17" s="225"/>
      <c r="T17" s="225"/>
      <c r="U17" s="225"/>
      <c r="V17" s="358"/>
    </row>
    <row r="18" spans="1:22" x14ac:dyDescent="0.3">
      <c r="B18" s="362" t="s">
        <v>133</v>
      </c>
      <c r="C18" s="358"/>
      <c r="D18" s="358"/>
      <c r="E18" s="358"/>
      <c r="F18" s="358"/>
      <c r="G18" s="225"/>
      <c r="H18" s="225"/>
      <c r="I18" s="225"/>
      <c r="J18" s="225"/>
      <c r="K18" s="225"/>
      <c r="L18" s="225"/>
      <c r="M18" s="225"/>
      <c r="N18" s="225"/>
      <c r="O18" s="225"/>
      <c r="P18" s="358"/>
      <c r="Q18" s="225"/>
      <c r="R18" s="225"/>
      <c r="S18" s="225"/>
      <c r="T18" s="225"/>
      <c r="U18" s="225"/>
      <c r="V18" s="358"/>
    </row>
    <row r="19" spans="1:22" x14ac:dyDescent="0.3">
      <c r="B19" s="360" t="s">
        <v>45</v>
      </c>
      <c r="C19" s="358"/>
      <c r="D19" s="358"/>
      <c r="E19" s="358"/>
      <c r="F19" s="358"/>
      <c r="G19" s="225">
        <v>-200</v>
      </c>
      <c r="H19" s="225">
        <v>-200</v>
      </c>
      <c r="I19" s="225">
        <v>-200</v>
      </c>
      <c r="J19" s="225">
        <v>-200</v>
      </c>
      <c r="K19" s="225">
        <v>-200</v>
      </c>
      <c r="L19" s="225">
        <v>-200</v>
      </c>
      <c r="M19" s="225">
        <v>-200</v>
      </c>
      <c r="N19" s="225">
        <v>-200</v>
      </c>
      <c r="O19" s="225">
        <v>-200</v>
      </c>
      <c r="P19" s="225">
        <v>-200</v>
      </c>
      <c r="Q19" s="225">
        <v>-200</v>
      </c>
      <c r="R19" s="225">
        <v>-200</v>
      </c>
      <c r="S19" s="225">
        <v>-200</v>
      </c>
      <c r="T19" s="225">
        <v>-200</v>
      </c>
      <c r="U19" s="225">
        <v>-200</v>
      </c>
      <c r="V19" s="225">
        <f>SUM(G19:R19)</f>
        <v>-2400</v>
      </c>
    </row>
    <row r="20" spans="1:22" x14ac:dyDescent="0.3">
      <c r="B20" s="360" t="s">
        <v>161</v>
      </c>
      <c r="C20" s="358"/>
      <c r="D20" s="358"/>
      <c r="E20" s="358"/>
      <c r="F20" s="358"/>
      <c r="G20" s="225">
        <f>'IS 2025'!F62</f>
        <v>0</v>
      </c>
      <c r="H20" s="225">
        <f>'IS 2025'!G62</f>
        <v>0</v>
      </c>
      <c r="I20" s="225">
        <f>'IS 2025'!H62</f>
        <v>0</v>
      </c>
      <c r="J20" s="225">
        <f>'IS 2025'!I62</f>
        <v>0</v>
      </c>
      <c r="K20" s="225">
        <f>'IS 2025'!J62</f>
        <v>0</v>
      </c>
      <c r="L20" s="225">
        <f>'IS 2025'!K62</f>
        <v>0</v>
      </c>
      <c r="M20" s="225">
        <f>'IS 2025'!L62</f>
        <v>0</v>
      </c>
      <c r="N20" s="225">
        <f>'IS 2025'!M62</f>
        <v>0</v>
      </c>
      <c r="O20" s="225">
        <f>'IS 2025'!N62</f>
        <v>0</v>
      </c>
      <c r="P20" s="225">
        <f>'IS 2025'!O62</f>
        <v>0</v>
      </c>
      <c r="Q20" s="225">
        <f>'IS 2025'!P62</f>
        <v>0</v>
      </c>
      <c r="R20" s="225">
        <f>'IS 2025'!Q62</f>
        <v>0</v>
      </c>
      <c r="S20" s="225">
        <f>'IS 2025'!R62</f>
        <v>0</v>
      </c>
      <c r="T20" s="225">
        <f>'IS 2025'!S62</f>
        <v>0</v>
      </c>
      <c r="U20" s="225">
        <f>'IS 2025'!T62</f>
        <v>0</v>
      </c>
      <c r="V20" s="358"/>
    </row>
    <row r="21" spans="1:22" x14ac:dyDescent="0.3">
      <c r="B21" s="360" t="s">
        <v>162</v>
      </c>
      <c r="C21" s="358"/>
      <c r="D21" s="358"/>
      <c r="E21" s="358"/>
      <c r="F21" s="358"/>
      <c r="G21" s="225">
        <f>'IS 2025'!F64</f>
        <v>-158933.16959999996</v>
      </c>
      <c r="H21" s="225">
        <f>'IS 2025'!G64</f>
        <v>-161177.77440000002</v>
      </c>
      <c r="I21" s="225">
        <f>'IS 2025'!H64</f>
        <v>-149626.20754285713</v>
      </c>
      <c r="J21" s="225">
        <f>'IS 2025'!I64</f>
        <v>-154110.07832142859</v>
      </c>
      <c r="K21" s="225">
        <f>'IS 2025'!J64</f>
        <v>-152605.26990000001</v>
      </c>
      <c r="L21" s="225">
        <f>'IS 2025'!K64</f>
        <v>-153827.44932857144</v>
      </c>
      <c r="M21" s="225">
        <f>'IS 2025'!L64</f>
        <v>-158685.61255714291</v>
      </c>
      <c r="N21" s="225">
        <f>'IS 2025'!M64</f>
        <v>-156271.80818571427</v>
      </c>
      <c r="O21" s="225">
        <f>'IS 2025'!N64</f>
        <v>-162947.96331428571</v>
      </c>
      <c r="P21" s="225">
        <f>'IS 2025'!O64</f>
        <v>-163559.05302857142</v>
      </c>
      <c r="Q21" s="225">
        <f>'IS 2025'!P64</f>
        <v>-161500.32135000001</v>
      </c>
      <c r="R21" s="225">
        <f>'IS 2025'!Q64</f>
        <v>-164368.06735000003</v>
      </c>
      <c r="S21" s="225">
        <f>'IS 2025'!R64</f>
        <v>-167106.21335000001</v>
      </c>
      <c r="T21" s="225">
        <f>'IS 2025'!S64</f>
        <v>-171437.31170000002</v>
      </c>
      <c r="U21" s="225">
        <f>'IS 2025'!T64</f>
        <v>-172679.20369999998</v>
      </c>
      <c r="V21" s="358"/>
    </row>
    <row r="22" spans="1:22" x14ac:dyDescent="0.3">
      <c r="A22" s="156"/>
      <c r="B22" s="186" t="s">
        <v>163</v>
      </c>
      <c r="C22" s="156"/>
      <c r="D22" s="156"/>
      <c r="E22" s="156"/>
      <c r="F22" s="156"/>
      <c r="G22" s="164">
        <f>G11</f>
        <v>864172.84799999977</v>
      </c>
      <c r="H22" s="164">
        <f t="shared" ref="H22:U22" si="1">H11</f>
        <v>875395.87200000009</v>
      </c>
      <c r="I22" s="164">
        <f t="shared" si="1"/>
        <v>817638.03771428554</v>
      </c>
      <c r="J22" s="164">
        <f t="shared" si="1"/>
        <v>840057.39160714287</v>
      </c>
      <c r="K22" s="164">
        <f t="shared" si="1"/>
        <v>832533.34950000001</v>
      </c>
      <c r="L22" s="164">
        <f t="shared" si="1"/>
        <v>838644.24664285721</v>
      </c>
      <c r="M22" s="164">
        <f t="shared" si="1"/>
        <v>862935.06278571452</v>
      </c>
      <c r="N22" s="164">
        <f t="shared" si="1"/>
        <v>850866.04092857137</v>
      </c>
      <c r="O22" s="164">
        <f t="shared" si="1"/>
        <v>884246.81657142844</v>
      </c>
      <c r="P22" s="164">
        <f t="shared" si="1"/>
        <v>887302.2651428571</v>
      </c>
      <c r="Q22" s="164">
        <f t="shared" si="1"/>
        <v>877008.60675000004</v>
      </c>
      <c r="R22" s="164">
        <f t="shared" si="1"/>
        <v>880113.33675000002</v>
      </c>
      <c r="S22" s="164">
        <f t="shared" si="1"/>
        <v>883218.06675</v>
      </c>
      <c r="T22" s="164">
        <f t="shared" si="1"/>
        <v>904873.55850000004</v>
      </c>
      <c r="U22" s="164">
        <f t="shared" si="1"/>
        <v>911083.01849999989</v>
      </c>
      <c r="V22" s="164">
        <f>SUM(G22:R22)</f>
        <v>10310913.874392858</v>
      </c>
    </row>
    <row r="23" spans="1:22" x14ac:dyDescent="0.3">
      <c r="A23" s="157"/>
      <c r="B23" s="212" t="s">
        <v>164</v>
      </c>
      <c r="C23" s="157"/>
      <c r="D23" s="157"/>
      <c r="E23" s="157"/>
      <c r="F23" s="157"/>
      <c r="G23" s="158">
        <f>SUM(G19:G21)</f>
        <v>-159133.16959999996</v>
      </c>
      <c r="H23" s="158">
        <f t="shared" ref="H23:U23" si="2">SUM(H19:H21)</f>
        <v>-161377.77440000002</v>
      </c>
      <c r="I23" s="158">
        <f t="shared" si="2"/>
        <v>-149826.20754285713</v>
      </c>
      <c r="J23" s="158">
        <f t="shared" si="2"/>
        <v>-154310.07832142859</v>
      </c>
      <c r="K23" s="158">
        <f t="shared" si="2"/>
        <v>-152805.26990000001</v>
      </c>
      <c r="L23" s="158">
        <f t="shared" si="2"/>
        <v>-154027.44932857144</v>
      </c>
      <c r="M23" s="158">
        <f t="shared" si="2"/>
        <v>-158885.61255714291</v>
      </c>
      <c r="N23" s="158">
        <f t="shared" si="2"/>
        <v>-156471.80818571427</v>
      </c>
      <c r="O23" s="158">
        <f t="shared" si="2"/>
        <v>-163147.96331428571</v>
      </c>
      <c r="P23" s="158">
        <f t="shared" si="2"/>
        <v>-163759.05302857142</v>
      </c>
      <c r="Q23" s="158">
        <f t="shared" si="2"/>
        <v>-161700.32135000001</v>
      </c>
      <c r="R23" s="158">
        <f t="shared" si="2"/>
        <v>-164568.06735000003</v>
      </c>
      <c r="S23" s="158">
        <f t="shared" si="2"/>
        <v>-167306.21335000001</v>
      </c>
      <c r="T23" s="158">
        <f t="shared" si="2"/>
        <v>-171637.31170000002</v>
      </c>
      <c r="U23" s="158">
        <f t="shared" si="2"/>
        <v>-172879.20369999998</v>
      </c>
      <c r="V23" s="158">
        <f>SUM(G23:R23)</f>
        <v>-1900012.7748785717</v>
      </c>
    </row>
    <row r="24" spans="1:22" x14ac:dyDescent="0.3">
      <c r="B24" s="159" t="s">
        <v>165</v>
      </c>
      <c r="C24" s="159"/>
      <c r="D24" s="159"/>
      <c r="E24" s="159"/>
      <c r="F24" s="159"/>
      <c r="G24" s="160">
        <f>SUM(G22:G23)</f>
        <v>705039.67839999986</v>
      </c>
      <c r="H24" s="160">
        <f t="shared" ref="H24:R24" si="3">SUM(H22:H23)</f>
        <v>714018.0976000001</v>
      </c>
      <c r="I24" s="160">
        <f t="shared" si="3"/>
        <v>667811.83017142839</v>
      </c>
      <c r="J24" s="160">
        <f t="shared" si="3"/>
        <v>685747.31328571425</v>
      </c>
      <c r="K24" s="160">
        <f t="shared" si="3"/>
        <v>679728.07960000006</v>
      </c>
      <c r="L24" s="160">
        <f t="shared" si="3"/>
        <v>684616.79731428577</v>
      </c>
      <c r="M24" s="160">
        <f t="shared" si="3"/>
        <v>704049.45022857166</v>
      </c>
      <c r="N24" s="160">
        <f t="shared" si="3"/>
        <v>694394.23274285707</v>
      </c>
      <c r="O24" s="160">
        <f t="shared" si="3"/>
        <v>721098.85325714271</v>
      </c>
      <c r="P24" s="160">
        <f t="shared" si="3"/>
        <v>723543.21211428568</v>
      </c>
      <c r="Q24" s="160">
        <f t="shared" si="3"/>
        <v>715308.28540000005</v>
      </c>
      <c r="R24" s="160">
        <f t="shared" si="3"/>
        <v>715545.26939999999</v>
      </c>
      <c r="S24" s="160">
        <f>'CF 2026'!G24</f>
        <v>650968.85340000002</v>
      </c>
      <c r="T24" s="160">
        <f>'CF 2026'!H24</f>
        <v>668293.24680000008</v>
      </c>
      <c r="U24" s="160">
        <f>'CF 2026'!I24</f>
        <v>673260.81479999993</v>
      </c>
      <c r="V24" s="160">
        <f>SUM(G24:R24)</f>
        <v>8410901.099514287</v>
      </c>
    </row>
    <row r="25" spans="1:22" ht="15" customHeight="1" x14ac:dyDescent="0.3">
      <c r="B25" s="159" t="s">
        <v>209</v>
      </c>
      <c r="C25" s="159"/>
      <c r="D25" s="159"/>
      <c r="E25" s="159"/>
      <c r="F25" s="159"/>
      <c r="G25" s="160">
        <f>'IS 2025'!F60+G24</f>
        <v>703189.67839999986</v>
      </c>
      <c r="H25" s="160">
        <f>'IS 2024'!G61-H24</f>
        <v>-715468.0976000001</v>
      </c>
      <c r="I25" s="160">
        <f>'IS 2024'!H61+I24</f>
        <v>666361.83017142839</v>
      </c>
      <c r="J25" s="160">
        <f>'IS 2024'!I61+J24</f>
        <v>684297.31328571425</v>
      </c>
      <c r="K25" s="160">
        <f>'IS 2024'!J61+K24</f>
        <v>678278.07960000006</v>
      </c>
      <c r="L25" s="160">
        <f>'IS 2024'!K61+L24</f>
        <v>683166.79731428577</v>
      </c>
      <c r="M25" s="160">
        <f>'IS 2024'!L61+M24</f>
        <v>702599.45022857166</v>
      </c>
      <c r="N25" s="160">
        <f>'IS 2024'!M61+N24</f>
        <v>692944.23274285707</v>
      </c>
      <c r="O25" s="160">
        <f>'IS 2024'!N61+O24</f>
        <v>719648.85325714271</v>
      </c>
      <c r="P25" s="160">
        <f>'IS 2024'!O61+P24</f>
        <v>722093.21211428568</v>
      </c>
      <c r="Q25" s="160">
        <f>'IS 2024'!P61+Q24</f>
        <v>713858.28540000005</v>
      </c>
      <c r="R25" s="160">
        <f>'IS 2024'!Q61+R24</f>
        <v>713695.26939999999</v>
      </c>
      <c r="S25" s="160">
        <f>'CF 2026'!G25</f>
        <v>652879.85340000002</v>
      </c>
      <c r="T25" s="160">
        <f>'CF 2026'!H25</f>
        <v>670204.24680000008</v>
      </c>
      <c r="U25" s="160">
        <f>'CF 2026'!I25</f>
        <v>675171.81479999993</v>
      </c>
      <c r="V25" s="160"/>
    </row>
    <row r="26" spans="1:22" ht="15" customHeight="1" x14ac:dyDescent="0.3">
      <c r="B26" s="364" t="s">
        <v>166</v>
      </c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60">
        <f>'CF 2026'!G26</f>
        <v>0</v>
      </c>
      <c r="T26" s="160">
        <f>'CF 2026'!H26</f>
        <v>0</v>
      </c>
      <c r="U26" s="160">
        <f>'CF 2026'!I26</f>
        <v>0</v>
      </c>
      <c r="V26" s="358"/>
    </row>
    <row r="27" spans="1:22" ht="15" customHeight="1" x14ac:dyDescent="0.3">
      <c r="B27" s="366" t="s">
        <v>167</v>
      </c>
      <c r="C27" s="159"/>
      <c r="D27" s="159"/>
      <c r="E27" s="159"/>
      <c r="F27" s="159"/>
      <c r="G27" s="160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60">
        <f>'CF 2026'!G27</f>
        <v>0</v>
      </c>
      <c r="T27" s="160">
        <f>'CF 2026'!H27</f>
        <v>0</v>
      </c>
      <c r="U27" s="160">
        <f>'CF 2026'!I27</f>
        <v>0</v>
      </c>
      <c r="V27" s="358"/>
    </row>
    <row r="28" spans="1:22" ht="15" customHeight="1" x14ac:dyDescent="0.3">
      <c r="B28" s="367" t="s">
        <v>127</v>
      </c>
      <c r="C28" s="159"/>
      <c r="D28" s="159"/>
      <c r="E28" s="159"/>
      <c r="F28" s="159"/>
      <c r="G28" s="160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368">
        <f>'CF 2026'!G28</f>
        <v>0</v>
      </c>
      <c r="T28" s="160">
        <f>'CF 2026'!H28</f>
        <v>0</v>
      </c>
      <c r="U28" s="160">
        <f>'CF 2026'!I28</f>
        <v>0</v>
      </c>
      <c r="V28" s="358"/>
    </row>
    <row r="29" spans="1:22" ht="15" customHeight="1" x14ac:dyDescent="0.3">
      <c r="B29" s="366" t="s">
        <v>168</v>
      </c>
      <c r="C29" s="159"/>
      <c r="D29" s="159"/>
      <c r="E29" s="159"/>
      <c r="F29" s="159"/>
      <c r="G29" s="160">
        <f>SUM(G27:G28)</f>
        <v>0</v>
      </c>
      <c r="H29" s="160">
        <f t="shared" ref="H29:R29" si="4">SUM(H27:H28)</f>
        <v>0</v>
      </c>
      <c r="I29" s="160">
        <f t="shared" si="4"/>
        <v>0</v>
      </c>
      <c r="J29" s="160">
        <f t="shared" si="4"/>
        <v>0</v>
      </c>
      <c r="K29" s="160">
        <f t="shared" si="4"/>
        <v>0</v>
      </c>
      <c r="L29" s="160">
        <f t="shared" si="4"/>
        <v>0</v>
      </c>
      <c r="M29" s="160">
        <f t="shared" si="4"/>
        <v>0</v>
      </c>
      <c r="N29" s="160">
        <f t="shared" si="4"/>
        <v>0</v>
      </c>
      <c r="O29" s="160">
        <f t="shared" si="4"/>
        <v>0</v>
      </c>
      <c r="P29" s="160">
        <f t="shared" si="4"/>
        <v>0</v>
      </c>
      <c r="Q29" s="160">
        <f t="shared" si="4"/>
        <v>0</v>
      </c>
      <c r="R29" s="160">
        <f t="shared" si="4"/>
        <v>0</v>
      </c>
      <c r="S29" s="160">
        <f>'CF 2026'!G29</f>
        <v>0</v>
      </c>
      <c r="T29" s="160">
        <f>'CF 2026'!H29</f>
        <v>0</v>
      </c>
      <c r="U29" s="160">
        <f>'CF 2026'!I29</f>
        <v>0</v>
      </c>
      <c r="V29" s="358"/>
    </row>
    <row r="30" spans="1:22" ht="15" customHeight="1" x14ac:dyDescent="0.3">
      <c r="B30" s="369" t="s">
        <v>169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60">
        <f>'CF 2026'!G30</f>
        <v>0</v>
      </c>
      <c r="T30" s="160">
        <f>'CF 2026'!H30</f>
        <v>0</v>
      </c>
      <c r="U30" s="160">
        <f>'CF 2026'!I30</f>
        <v>0</v>
      </c>
      <c r="V30" s="358"/>
    </row>
    <row r="31" spans="1:22" ht="15" customHeight="1" x14ac:dyDescent="0.3">
      <c r="B31" s="360" t="s">
        <v>170</v>
      </c>
      <c r="C31" s="358"/>
      <c r="D31" s="358"/>
      <c r="E31" s="358"/>
      <c r="F31" s="358"/>
      <c r="G31" s="225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225">
        <f>'CF 2026'!G31</f>
        <v>0</v>
      </c>
      <c r="T31" s="225">
        <f>'CF 2026'!H31</f>
        <v>0</v>
      </c>
      <c r="U31" s="225">
        <f>'CF 2026'!I31</f>
        <v>0</v>
      </c>
      <c r="V31" s="358"/>
    </row>
    <row r="32" spans="1:22" ht="15" customHeight="1" x14ac:dyDescent="0.3">
      <c r="B32" s="362" t="s">
        <v>127</v>
      </c>
      <c r="C32" s="358"/>
      <c r="D32" s="358"/>
      <c r="E32" s="358"/>
      <c r="F32" s="358"/>
      <c r="G32" s="225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225">
        <f>'CF 2026'!G32</f>
        <v>0</v>
      </c>
      <c r="T32" s="225">
        <f>'CF 2026'!H32</f>
        <v>0</v>
      </c>
      <c r="U32" s="225">
        <f>'CF 2026'!I32</f>
        <v>0</v>
      </c>
      <c r="V32" s="358"/>
    </row>
    <row r="33" spans="1:22" ht="15" customHeight="1" x14ac:dyDescent="0.3">
      <c r="B33" s="362" t="s">
        <v>128</v>
      </c>
      <c r="C33" s="358"/>
      <c r="D33" s="358"/>
      <c r="E33" s="358"/>
      <c r="F33" s="358"/>
      <c r="G33" s="225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225">
        <f>'CF 2026'!G33</f>
        <v>0</v>
      </c>
      <c r="T33" s="225">
        <f>'CF 2026'!H33</f>
        <v>0</v>
      </c>
      <c r="U33" s="225">
        <f>'CF 2026'!I33</f>
        <v>0</v>
      </c>
      <c r="V33" s="358"/>
    </row>
    <row r="34" spans="1:22" ht="15" customHeight="1" x14ac:dyDescent="0.3">
      <c r="B34" s="362" t="s">
        <v>129</v>
      </c>
      <c r="C34" s="358"/>
      <c r="D34" s="358"/>
      <c r="E34" s="358"/>
      <c r="F34" s="358"/>
      <c r="G34" s="225"/>
      <c r="H34" s="358"/>
      <c r="I34" s="358"/>
      <c r="J34" s="358"/>
      <c r="K34" s="358"/>
      <c r="L34" s="358"/>
      <c r="M34" s="358"/>
      <c r="N34" s="358"/>
      <c r="O34" s="358"/>
      <c r="P34" s="358"/>
      <c r="Q34" s="358"/>
      <c r="R34" s="358"/>
      <c r="S34" s="225">
        <f>'CF 2026'!G34</f>
        <v>0</v>
      </c>
      <c r="T34" s="225">
        <f>'CF 2026'!H34</f>
        <v>0</v>
      </c>
      <c r="U34" s="225">
        <f>'CF 2026'!I34</f>
        <v>0</v>
      </c>
      <c r="V34" s="358"/>
    </row>
    <row r="35" spans="1:22" ht="15" customHeight="1" x14ac:dyDescent="0.3">
      <c r="B35" s="360" t="s">
        <v>171</v>
      </c>
      <c r="C35" s="358"/>
      <c r="D35" s="358"/>
      <c r="E35" s="358"/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225"/>
      <c r="T35" s="225"/>
      <c r="U35" s="225"/>
      <c r="V35" s="225">
        <f>SUM(G31:R35)</f>
        <v>0</v>
      </c>
    </row>
    <row r="36" spans="1:22" ht="15" customHeight="1" x14ac:dyDescent="0.3">
      <c r="B36" s="362" t="s">
        <v>127</v>
      </c>
      <c r="C36" s="358"/>
      <c r="D36" s="358"/>
      <c r="E36" s="358"/>
      <c r="F36" s="358"/>
      <c r="G36" s="358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>
        <f>'CF 2026'!G36</f>
        <v>0</v>
      </c>
      <c r="T36" s="225">
        <f>'CF 2026'!H36</f>
        <v>0</v>
      </c>
      <c r="U36" s="225">
        <f>'CF 2026'!I36</f>
        <v>0</v>
      </c>
      <c r="V36" s="358"/>
    </row>
    <row r="37" spans="1:22" ht="15" customHeight="1" x14ac:dyDescent="0.3">
      <c r="B37" s="360" t="s">
        <v>172</v>
      </c>
      <c r="C37" s="358"/>
      <c r="D37" s="358"/>
      <c r="E37" s="358"/>
      <c r="F37" s="358"/>
      <c r="G37" s="225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225">
        <f>'CF 2026'!G37</f>
        <v>0</v>
      </c>
      <c r="T37" s="225">
        <f>'CF 2026'!H37</f>
        <v>0</v>
      </c>
      <c r="U37" s="225">
        <f>'CF 2026'!I37</f>
        <v>0</v>
      </c>
      <c r="V37" s="358"/>
    </row>
    <row r="38" spans="1:22" ht="15" customHeight="1" x14ac:dyDescent="0.3">
      <c r="B38" s="362" t="s">
        <v>127</v>
      </c>
      <c r="C38" s="358"/>
      <c r="D38" s="358"/>
      <c r="E38" s="358"/>
      <c r="F38" s="358"/>
      <c r="G38" s="225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225">
        <f>'CF 2026'!G38</f>
        <v>0</v>
      </c>
      <c r="T38" s="225">
        <f>'CF 2026'!H38</f>
        <v>0</v>
      </c>
      <c r="U38" s="225">
        <f>'CF 2026'!I38</f>
        <v>0</v>
      </c>
      <c r="V38" s="358"/>
    </row>
    <row r="39" spans="1:22" ht="15" customHeight="1" x14ac:dyDescent="0.3">
      <c r="B39" s="360" t="s">
        <v>173</v>
      </c>
      <c r="C39" s="358"/>
      <c r="D39" s="358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225">
        <f>'CF 2026'!G39</f>
        <v>0</v>
      </c>
      <c r="T39" s="225">
        <f>'CF 2026'!H39</f>
        <v>0</v>
      </c>
      <c r="U39" s="225">
        <f>'CF 2026'!I39</f>
        <v>0</v>
      </c>
      <c r="V39" s="358"/>
    </row>
    <row r="40" spans="1:22" ht="15" customHeight="1" x14ac:dyDescent="0.3">
      <c r="B40" s="362" t="s">
        <v>127</v>
      </c>
      <c r="C40" s="358"/>
      <c r="D40" s="358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58"/>
      <c r="P40" s="358"/>
      <c r="Q40" s="358"/>
      <c r="R40" s="358"/>
      <c r="S40" s="225">
        <f>'CF 2026'!G40</f>
        <v>0</v>
      </c>
      <c r="T40" s="225">
        <f>'CF 2026'!H40</f>
        <v>0</v>
      </c>
      <c r="U40" s="225">
        <f>'CF 2026'!I40</f>
        <v>0</v>
      </c>
      <c r="V40" s="358"/>
    </row>
    <row r="41" spans="1:22" ht="15" customHeight="1" x14ac:dyDescent="0.3">
      <c r="B41" s="360" t="s">
        <v>174</v>
      </c>
      <c r="C41" s="358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225">
        <f>'CF 2026'!G41</f>
        <v>0</v>
      </c>
      <c r="T41" s="225">
        <f>'CF 2026'!H41</f>
        <v>0</v>
      </c>
      <c r="U41" s="225">
        <f>'CF 2026'!I41</f>
        <v>0</v>
      </c>
      <c r="V41" s="358"/>
    </row>
    <row r="42" spans="1:22" ht="15" customHeight="1" x14ac:dyDescent="0.3">
      <c r="B42" s="362" t="s">
        <v>127</v>
      </c>
      <c r="C42" s="358"/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225">
        <f>'CF 2026'!G42</f>
        <v>0</v>
      </c>
      <c r="T42" s="225">
        <f>'CF 2026'!H42</f>
        <v>0</v>
      </c>
      <c r="U42" s="225">
        <f>'CF 2026'!I42</f>
        <v>0</v>
      </c>
      <c r="V42" s="358"/>
    </row>
    <row r="43" spans="1:22" ht="15" customHeight="1" x14ac:dyDescent="0.3">
      <c r="B43" s="360" t="s">
        <v>52</v>
      </c>
      <c r="C43" s="358"/>
      <c r="D43" s="358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225">
        <f>'CF 2026'!G43</f>
        <v>0</v>
      </c>
      <c r="T43" s="225">
        <f>'CF 2026'!H43</f>
        <v>0</v>
      </c>
      <c r="U43" s="225">
        <f>'CF 2026'!I43</f>
        <v>0</v>
      </c>
      <c r="V43" s="358"/>
    </row>
    <row r="44" spans="1:22" ht="15" customHeight="1" x14ac:dyDescent="0.3">
      <c r="B44" s="360" t="s">
        <v>175</v>
      </c>
      <c r="C44" s="358"/>
      <c r="D44" s="358"/>
      <c r="E44" s="358"/>
      <c r="F44" s="358"/>
      <c r="G44" s="225">
        <f>SUM(G31:G43)</f>
        <v>0</v>
      </c>
      <c r="H44" s="225">
        <f t="shared" ref="H44:R44" si="5">SUM(H31:H43)</f>
        <v>0</v>
      </c>
      <c r="I44" s="225">
        <f t="shared" si="5"/>
        <v>0</v>
      </c>
      <c r="J44" s="225">
        <f t="shared" si="5"/>
        <v>0</v>
      </c>
      <c r="K44" s="225">
        <f t="shared" si="5"/>
        <v>0</v>
      </c>
      <c r="L44" s="225">
        <f t="shared" si="5"/>
        <v>0</v>
      </c>
      <c r="M44" s="225">
        <f t="shared" si="5"/>
        <v>0</v>
      </c>
      <c r="N44" s="225">
        <f t="shared" si="5"/>
        <v>0</v>
      </c>
      <c r="O44" s="225">
        <f t="shared" si="5"/>
        <v>0</v>
      </c>
      <c r="P44" s="225">
        <f t="shared" si="5"/>
        <v>0</v>
      </c>
      <c r="Q44" s="225">
        <f t="shared" si="5"/>
        <v>0</v>
      </c>
      <c r="R44" s="225">
        <f t="shared" si="5"/>
        <v>0</v>
      </c>
      <c r="S44" s="225">
        <f>'CF 2026'!G44</f>
        <v>0</v>
      </c>
      <c r="T44" s="225">
        <f>'CF 2026'!H44</f>
        <v>0</v>
      </c>
      <c r="U44" s="225">
        <f>'CF 2026'!I44</f>
        <v>0</v>
      </c>
      <c r="V44" s="358"/>
    </row>
    <row r="45" spans="1:22" ht="15" customHeight="1" x14ac:dyDescent="0.3">
      <c r="B45" s="370" t="s">
        <v>176</v>
      </c>
      <c r="C45" s="371"/>
      <c r="D45" s="371"/>
      <c r="E45" s="371"/>
      <c r="F45" s="371"/>
      <c r="G45" s="378">
        <f>G54</f>
        <v>705039.67839999986</v>
      </c>
      <c r="H45" s="378">
        <f>H24+H44</f>
        <v>714018.0976000001</v>
      </c>
      <c r="I45" s="378">
        <f>I24+I44</f>
        <v>667811.83017142839</v>
      </c>
      <c r="J45" s="378">
        <f>J24+J44</f>
        <v>685747.31328571425</v>
      </c>
      <c r="K45" s="378">
        <f t="shared" ref="K45:U45" si="6">K24+K44</f>
        <v>679728.07960000006</v>
      </c>
      <c r="L45" s="378">
        <f t="shared" si="6"/>
        <v>684616.79731428577</v>
      </c>
      <c r="M45" s="378">
        <f t="shared" si="6"/>
        <v>704049.45022857166</v>
      </c>
      <c r="N45" s="378">
        <f t="shared" si="6"/>
        <v>694394.23274285707</v>
      </c>
      <c r="O45" s="378">
        <f t="shared" si="6"/>
        <v>721098.85325714271</v>
      </c>
      <c r="P45" s="378">
        <f t="shared" si="6"/>
        <v>723543.21211428568</v>
      </c>
      <c r="Q45" s="378">
        <f t="shared" si="6"/>
        <v>715308.28540000005</v>
      </c>
      <c r="R45" s="378">
        <f t="shared" si="6"/>
        <v>715545.26939999999</v>
      </c>
      <c r="S45" s="378">
        <f t="shared" si="6"/>
        <v>650968.85340000002</v>
      </c>
      <c r="T45" s="378">
        <f t="shared" si="6"/>
        <v>668293.24680000008</v>
      </c>
      <c r="U45" s="378">
        <f t="shared" si="6"/>
        <v>673260.81479999993</v>
      </c>
      <c r="V45" s="373">
        <f>SUM(G45:R45)</f>
        <v>8410901.099514287</v>
      </c>
    </row>
    <row r="46" spans="1:22" x14ac:dyDescent="0.3">
      <c r="A46" s="156"/>
      <c r="B46" s="183" t="s">
        <v>177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</row>
    <row r="47" spans="1:22" x14ac:dyDescent="0.3">
      <c r="B47" s="374" t="s">
        <v>168</v>
      </c>
      <c r="C47" s="374"/>
      <c r="D47" s="374"/>
      <c r="E47" s="374"/>
      <c r="F47" s="374"/>
      <c r="G47" s="376">
        <f>G29</f>
        <v>0</v>
      </c>
      <c r="H47" s="376">
        <f t="shared" ref="H47:U47" si="7">H29</f>
        <v>0</v>
      </c>
      <c r="I47" s="376">
        <f t="shared" si="7"/>
        <v>0</v>
      </c>
      <c r="J47" s="376">
        <f t="shared" si="7"/>
        <v>0</v>
      </c>
      <c r="K47" s="376">
        <f t="shared" si="7"/>
        <v>0</v>
      </c>
      <c r="L47" s="376">
        <f t="shared" si="7"/>
        <v>0</v>
      </c>
      <c r="M47" s="376">
        <f t="shared" si="7"/>
        <v>0</v>
      </c>
      <c r="N47" s="376">
        <f t="shared" si="7"/>
        <v>0</v>
      </c>
      <c r="O47" s="376">
        <f t="shared" si="7"/>
        <v>0</v>
      </c>
      <c r="P47" s="376">
        <f t="shared" si="7"/>
        <v>0</v>
      </c>
      <c r="Q47" s="376">
        <f t="shared" si="7"/>
        <v>0</v>
      </c>
      <c r="R47" s="376">
        <f t="shared" si="7"/>
        <v>0</v>
      </c>
      <c r="S47" s="376">
        <f t="shared" si="7"/>
        <v>0</v>
      </c>
      <c r="T47" s="376">
        <f t="shared" si="7"/>
        <v>0</v>
      </c>
      <c r="U47" s="376">
        <f t="shared" si="7"/>
        <v>0</v>
      </c>
    </row>
    <row r="48" spans="1:22" x14ac:dyDescent="0.3">
      <c r="B48" s="159" t="s">
        <v>175</v>
      </c>
      <c r="C48" s="159"/>
      <c r="D48" s="159"/>
      <c r="E48" s="159"/>
      <c r="F48" s="159"/>
      <c r="G48" s="160">
        <f>G44</f>
        <v>0</v>
      </c>
      <c r="H48" s="160">
        <f t="shared" ref="H48:U48" si="8">H44</f>
        <v>0</v>
      </c>
      <c r="I48" s="160">
        <f t="shared" si="8"/>
        <v>0</v>
      </c>
      <c r="J48" s="160">
        <f t="shared" si="8"/>
        <v>0</v>
      </c>
      <c r="K48" s="160">
        <f t="shared" si="8"/>
        <v>0</v>
      </c>
      <c r="L48" s="160">
        <f t="shared" si="8"/>
        <v>0</v>
      </c>
      <c r="M48" s="160">
        <f t="shared" si="8"/>
        <v>0</v>
      </c>
      <c r="N48" s="160">
        <f t="shared" si="8"/>
        <v>0</v>
      </c>
      <c r="O48" s="160">
        <f t="shared" si="8"/>
        <v>0</v>
      </c>
      <c r="P48" s="160">
        <f t="shared" si="8"/>
        <v>0</v>
      </c>
      <c r="Q48" s="160">
        <f t="shared" si="8"/>
        <v>0</v>
      </c>
      <c r="R48" s="160">
        <f t="shared" si="8"/>
        <v>0</v>
      </c>
      <c r="S48" s="160">
        <f t="shared" si="8"/>
        <v>0</v>
      </c>
      <c r="T48" s="160">
        <f t="shared" si="8"/>
        <v>0</v>
      </c>
      <c r="U48" s="160">
        <f t="shared" si="8"/>
        <v>0</v>
      </c>
    </row>
    <row r="49" spans="1:22" x14ac:dyDescent="0.3">
      <c r="B49" s="159" t="s">
        <v>44</v>
      </c>
      <c r="C49" s="159"/>
      <c r="D49" s="159"/>
      <c r="E49" s="159"/>
      <c r="F49" s="159"/>
      <c r="G49" s="160">
        <f>G11</f>
        <v>864172.84799999977</v>
      </c>
      <c r="H49" s="160">
        <f t="shared" ref="H49:U49" si="9">H11</f>
        <v>875395.87200000009</v>
      </c>
      <c r="I49" s="160">
        <f t="shared" si="9"/>
        <v>817638.03771428554</v>
      </c>
      <c r="J49" s="160">
        <f t="shared" si="9"/>
        <v>840057.39160714287</v>
      </c>
      <c r="K49" s="160">
        <f t="shared" si="9"/>
        <v>832533.34950000001</v>
      </c>
      <c r="L49" s="160">
        <f t="shared" si="9"/>
        <v>838644.24664285721</v>
      </c>
      <c r="M49" s="160">
        <f t="shared" si="9"/>
        <v>862935.06278571452</v>
      </c>
      <c r="N49" s="160">
        <f t="shared" si="9"/>
        <v>850866.04092857137</v>
      </c>
      <c r="O49" s="160">
        <f t="shared" si="9"/>
        <v>884246.81657142844</v>
      </c>
      <c r="P49" s="160">
        <f t="shared" si="9"/>
        <v>887302.2651428571</v>
      </c>
      <c r="Q49" s="160">
        <f t="shared" si="9"/>
        <v>877008.60675000004</v>
      </c>
      <c r="R49" s="160">
        <f t="shared" si="9"/>
        <v>880113.33675000002</v>
      </c>
      <c r="S49" s="160">
        <f t="shared" si="9"/>
        <v>883218.06675</v>
      </c>
      <c r="T49" s="160">
        <f t="shared" si="9"/>
        <v>904873.55850000004</v>
      </c>
      <c r="U49" s="160">
        <f t="shared" si="9"/>
        <v>911083.01849999989</v>
      </c>
    </row>
    <row r="50" spans="1:22" x14ac:dyDescent="0.3">
      <c r="B50" s="159" t="s">
        <v>45</v>
      </c>
      <c r="C50" s="159"/>
      <c r="D50" s="159"/>
      <c r="E50" s="159"/>
      <c r="F50" s="159"/>
      <c r="G50" s="160">
        <f>G19</f>
        <v>-200</v>
      </c>
      <c r="H50" s="160">
        <f t="shared" ref="H50:U50" si="10">H19</f>
        <v>-200</v>
      </c>
      <c r="I50" s="160">
        <f t="shared" si="10"/>
        <v>-200</v>
      </c>
      <c r="J50" s="160">
        <f t="shared" si="10"/>
        <v>-200</v>
      </c>
      <c r="K50" s="160">
        <f t="shared" si="10"/>
        <v>-200</v>
      </c>
      <c r="L50" s="160">
        <f t="shared" si="10"/>
        <v>-200</v>
      </c>
      <c r="M50" s="160">
        <f t="shared" si="10"/>
        <v>-200</v>
      </c>
      <c r="N50" s="160">
        <f t="shared" si="10"/>
        <v>-200</v>
      </c>
      <c r="O50" s="160">
        <f t="shared" si="10"/>
        <v>-200</v>
      </c>
      <c r="P50" s="160">
        <f t="shared" si="10"/>
        <v>-200</v>
      </c>
      <c r="Q50" s="160">
        <f t="shared" si="10"/>
        <v>-200</v>
      </c>
      <c r="R50" s="160">
        <f t="shared" si="10"/>
        <v>-200</v>
      </c>
      <c r="S50" s="160">
        <f t="shared" si="10"/>
        <v>-200</v>
      </c>
      <c r="T50" s="160">
        <f t="shared" si="10"/>
        <v>-200</v>
      </c>
      <c r="U50" s="160">
        <f t="shared" si="10"/>
        <v>-200</v>
      </c>
    </row>
    <row r="51" spans="1:22" x14ac:dyDescent="0.3">
      <c r="B51" s="159" t="s">
        <v>178</v>
      </c>
      <c r="C51" s="159"/>
      <c r="D51" s="159"/>
      <c r="E51" s="159"/>
      <c r="F51" s="159"/>
      <c r="G51" s="160">
        <f>SUM(G47:G50)</f>
        <v>863972.84799999977</v>
      </c>
      <c r="H51" s="160">
        <f t="shared" ref="H51:U51" si="11">SUM(H47:H50)</f>
        <v>875195.87200000009</v>
      </c>
      <c r="I51" s="160">
        <f t="shared" si="11"/>
        <v>817438.03771428554</v>
      </c>
      <c r="J51" s="160">
        <f t="shared" si="11"/>
        <v>839857.39160714287</v>
      </c>
      <c r="K51" s="160">
        <f t="shared" si="11"/>
        <v>832333.34950000001</v>
      </c>
      <c r="L51" s="160">
        <f t="shared" si="11"/>
        <v>838444.24664285721</v>
      </c>
      <c r="M51" s="160">
        <f t="shared" si="11"/>
        <v>862735.06278571452</v>
      </c>
      <c r="N51" s="160">
        <f t="shared" si="11"/>
        <v>850666.04092857137</v>
      </c>
      <c r="O51" s="160">
        <f t="shared" si="11"/>
        <v>884046.81657142844</v>
      </c>
      <c r="P51" s="160">
        <f t="shared" si="11"/>
        <v>887102.2651428571</v>
      </c>
      <c r="Q51" s="160">
        <f t="shared" si="11"/>
        <v>876808.60675000004</v>
      </c>
      <c r="R51" s="160">
        <f t="shared" si="11"/>
        <v>879913.33675000002</v>
      </c>
      <c r="S51" s="160">
        <f t="shared" si="11"/>
        <v>883018.06675</v>
      </c>
      <c r="T51" s="160">
        <f t="shared" si="11"/>
        <v>904673.55850000004</v>
      </c>
      <c r="U51" s="160">
        <f t="shared" si="11"/>
        <v>910883.01849999989</v>
      </c>
    </row>
    <row r="52" spans="1:22" x14ac:dyDescent="0.3">
      <c r="B52" s="159" t="s">
        <v>161</v>
      </c>
      <c r="C52" s="159"/>
      <c r="D52" s="159"/>
      <c r="E52" s="159"/>
      <c r="F52" s="159"/>
      <c r="G52" s="160">
        <f>G20</f>
        <v>0</v>
      </c>
      <c r="H52" s="160">
        <f t="shared" ref="H52:U52" si="12">H20</f>
        <v>0</v>
      </c>
      <c r="I52" s="160">
        <f t="shared" si="12"/>
        <v>0</v>
      </c>
      <c r="J52" s="160">
        <f t="shared" si="12"/>
        <v>0</v>
      </c>
      <c r="K52" s="160">
        <f t="shared" si="12"/>
        <v>0</v>
      </c>
      <c r="L52" s="160">
        <f t="shared" si="12"/>
        <v>0</v>
      </c>
      <c r="M52" s="160">
        <f t="shared" si="12"/>
        <v>0</v>
      </c>
      <c r="N52" s="160">
        <f t="shared" si="12"/>
        <v>0</v>
      </c>
      <c r="O52" s="160">
        <f t="shared" si="12"/>
        <v>0</v>
      </c>
      <c r="P52" s="160">
        <f t="shared" si="12"/>
        <v>0</v>
      </c>
      <c r="Q52" s="160">
        <f t="shared" si="12"/>
        <v>0</v>
      </c>
      <c r="R52" s="160">
        <f t="shared" si="12"/>
        <v>0</v>
      </c>
      <c r="S52" s="160">
        <f t="shared" si="12"/>
        <v>0</v>
      </c>
      <c r="T52" s="160">
        <f t="shared" si="12"/>
        <v>0</v>
      </c>
      <c r="U52" s="160">
        <f t="shared" si="12"/>
        <v>0</v>
      </c>
    </row>
    <row r="53" spans="1:22" x14ac:dyDescent="0.3">
      <c r="B53" s="159" t="s">
        <v>162</v>
      </c>
      <c r="C53" s="159"/>
      <c r="D53" s="159"/>
      <c r="E53" s="159"/>
      <c r="F53" s="159"/>
      <c r="G53" s="379">
        <f>G21</f>
        <v>-158933.16959999996</v>
      </c>
      <c r="H53" s="379">
        <f t="shared" ref="H53:U53" si="13">H21</f>
        <v>-161177.77440000002</v>
      </c>
      <c r="I53" s="379">
        <f t="shared" si="13"/>
        <v>-149626.20754285713</v>
      </c>
      <c r="J53" s="379">
        <f t="shared" si="13"/>
        <v>-154110.07832142859</v>
      </c>
      <c r="K53" s="379">
        <f t="shared" si="13"/>
        <v>-152605.26990000001</v>
      </c>
      <c r="L53" s="379">
        <f t="shared" si="13"/>
        <v>-153827.44932857144</v>
      </c>
      <c r="M53" s="379">
        <f t="shared" si="13"/>
        <v>-158685.61255714291</v>
      </c>
      <c r="N53" s="379">
        <f t="shared" si="13"/>
        <v>-156271.80818571427</v>
      </c>
      <c r="O53" s="379">
        <f t="shared" si="13"/>
        <v>-162947.96331428571</v>
      </c>
      <c r="P53" s="379">
        <f t="shared" si="13"/>
        <v>-163559.05302857142</v>
      </c>
      <c r="Q53" s="379">
        <f t="shared" si="13"/>
        <v>-161500.32135000001</v>
      </c>
      <c r="R53" s="379">
        <f t="shared" si="13"/>
        <v>-164368.06735000003</v>
      </c>
      <c r="S53" s="379">
        <f t="shared" si="13"/>
        <v>-167106.21335000001</v>
      </c>
      <c r="T53" s="379">
        <f t="shared" si="13"/>
        <v>-171437.31170000002</v>
      </c>
      <c r="U53" s="379">
        <f t="shared" si="13"/>
        <v>-172679.20369999998</v>
      </c>
    </row>
    <row r="54" spans="1:22" x14ac:dyDescent="0.3">
      <c r="B54" s="159" t="s">
        <v>176</v>
      </c>
      <c r="C54" s="159"/>
      <c r="D54" s="159"/>
      <c r="E54" s="159"/>
      <c r="F54" s="159"/>
      <c r="G54" s="160">
        <f>SUM(G51:G53)</f>
        <v>705039.67839999986</v>
      </c>
      <c r="H54" s="160">
        <f>SUM(H51:H53)</f>
        <v>714018.0976000001</v>
      </c>
      <c r="I54" s="160">
        <f t="shared" ref="I54:U54" si="14">SUM(I51:I53)</f>
        <v>667811.83017142839</v>
      </c>
      <c r="J54" s="160">
        <f t="shared" si="14"/>
        <v>685747.31328571425</v>
      </c>
      <c r="K54" s="160">
        <f t="shared" si="14"/>
        <v>679728.07960000006</v>
      </c>
      <c r="L54" s="160">
        <f t="shared" si="14"/>
        <v>684616.79731428577</v>
      </c>
      <c r="M54" s="160">
        <f t="shared" si="14"/>
        <v>704049.45022857166</v>
      </c>
      <c r="N54" s="160">
        <f t="shared" si="14"/>
        <v>694394.23274285707</v>
      </c>
      <c r="O54" s="160">
        <f t="shared" si="14"/>
        <v>721098.85325714271</v>
      </c>
      <c r="P54" s="160">
        <f t="shared" si="14"/>
        <v>723543.21211428568</v>
      </c>
      <c r="Q54" s="160">
        <f t="shared" si="14"/>
        <v>715308.28540000005</v>
      </c>
      <c r="R54" s="160">
        <f t="shared" si="14"/>
        <v>715545.26939999999</v>
      </c>
      <c r="S54" s="160">
        <f t="shared" si="14"/>
        <v>715911.85340000002</v>
      </c>
      <c r="T54" s="160">
        <f t="shared" si="14"/>
        <v>733236.24680000008</v>
      </c>
      <c r="U54" s="160">
        <f t="shared" si="14"/>
        <v>738203.81479999993</v>
      </c>
    </row>
    <row r="55" spans="1:22" x14ac:dyDescent="0.3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2" x14ac:dyDescent="0.3">
      <c r="A56" s="156"/>
      <c r="B56" s="183" t="s">
        <v>179</v>
      </c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</row>
    <row r="57" spans="1:22" x14ac:dyDescent="0.3">
      <c r="B57" s="358" t="s">
        <v>180</v>
      </c>
      <c r="C57" s="358"/>
      <c r="D57" s="358"/>
      <c r="E57" s="358"/>
      <c r="F57" s="358"/>
      <c r="G57" s="225">
        <f>SUM(G24+G29)</f>
        <v>705039.67839999986</v>
      </c>
      <c r="H57" s="225">
        <f t="shared" ref="H57:U57" si="15">SUM(H24+H29)</f>
        <v>714018.0976000001</v>
      </c>
      <c r="I57" s="225">
        <f t="shared" si="15"/>
        <v>667811.83017142839</v>
      </c>
      <c r="J57" s="225">
        <f t="shared" si="15"/>
        <v>685747.31328571425</v>
      </c>
      <c r="K57" s="225">
        <f t="shared" si="15"/>
        <v>679728.07960000006</v>
      </c>
      <c r="L57" s="225">
        <f t="shared" si="15"/>
        <v>684616.79731428577</v>
      </c>
      <c r="M57" s="225">
        <f t="shared" si="15"/>
        <v>704049.45022857166</v>
      </c>
      <c r="N57" s="225">
        <f t="shared" si="15"/>
        <v>694394.23274285707</v>
      </c>
      <c r="O57" s="225">
        <f t="shared" si="15"/>
        <v>721098.85325714271</v>
      </c>
      <c r="P57" s="225">
        <f t="shared" si="15"/>
        <v>723543.21211428568</v>
      </c>
      <c r="Q57" s="225">
        <f t="shared" si="15"/>
        <v>715308.28540000005</v>
      </c>
      <c r="R57" s="225">
        <f t="shared" si="15"/>
        <v>715545.26939999999</v>
      </c>
      <c r="S57" s="225">
        <f t="shared" si="15"/>
        <v>650968.85340000002</v>
      </c>
      <c r="T57" s="225">
        <f t="shared" si="15"/>
        <v>668293.24680000008</v>
      </c>
      <c r="U57" s="225">
        <f t="shared" si="15"/>
        <v>673260.81479999993</v>
      </c>
    </row>
    <row r="58" spans="1:22" x14ac:dyDescent="0.3">
      <c r="B58" s="358" t="s">
        <v>181</v>
      </c>
      <c r="C58" s="358"/>
      <c r="D58" s="358"/>
      <c r="E58" s="358"/>
      <c r="F58" s="358"/>
      <c r="G58" s="225">
        <f>G54</f>
        <v>705039.67839999986</v>
      </c>
      <c r="H58" s="225">
        <f t="shared" ref="H58:U58" si="16">H54</f>
        <v>714018.0976000001</v>
      </c>
      <c r="I58" s="225">
        <f t="shared" si="16"/>
        <v>667811.83017142839</v>
      </c>
      <c r="J58" s="225">
        <f t="shared" si="16"/>
        <v>685747.31328571425</v>
      </c>
      <c r="K58" s="225">
        <f t="shared" si="16"/>
        <v>679728.07960000006</v>
      </c>
      <c r="L58" s="225">
        <f t="shared" si="16"/>
        <v>684616.79731428577</v>
      </c>
      <c r="M58" s="225">
        <f t="shared" si="16"/>
        <v>704049.45022857166</v>
      </c>
      <c r="N58" s="225">
        <f t="shared" si="16"/>
        <v>694394.23274285707</v>
      </c>
      <c r="O58" s="225">
        <f t="shared" si="16"/>
        <v>721098.85325714271</v>
      </c>
      <c r="P58" s="225">
        <f t="shared" si="16"/>
        <v>723543.21211428568</v>
      </c>
      <c r="Q58" s="225">
        <f t="shared" si="16"/>
        <v>715308.28540000005</v>
      </c>
      <c r="R58" s="225">
        <f t="shared" si="16"/>
        <v>715545.26939999999</v>
      </c>
      <c r="S58" s="225">
        <f t="shared" si="16"/>
        <v>715911.85340000002</v>
      </c>
      <c r="T58" s="225">
        <f t="shared" si="16"/>
        <v>733236.24680000008</v>
      </c>
      <c r="U58" s="225">
        <f t="shared" si="16"/>
        <v>738203.81479999993</v>
      </c>
    </row>
    <row r="59" spans="1:22" x14ac:dyDescent="0.3">
      <c r="B59" s="358" t="s">
        <v>182</v>
      </c>
      <c r="C59" s="358"/>
      <c r="D59" s="358"/>
      <c r="E59" s="358"/>
      <c r="F59" s="358"/>
      <c r="G59" s="225">
        <f>G54</f>
        <v>705039.67839999986</v>
      </c>
      <c r="H59" s="225">
        <f t="shared" ref="H59:T59" si="17">H54</f>
        <v>714018.0976000001</v>
      </c>
      <c r="I59" s="225">
        <f t="shared" si="17"/>
        <v>667811.83017142839</v>
      </c>
      <c r="J59" s="225">
        <f t="shared" si="17"/>
        <v>685747.31328571425</v>
      </c>
      <c r="K59" s="225">
        <f t="shared" si="17"/>
        <v>679728.07960000006</v>
      </c>
      <c r="L59" s="225">
        <f t="shared" si="17"/>
        <v>684616.79731428577</v>
      </c>
      <c r="M59" s="225">
        <f t="shared" si="17"/>
        <v>704049.45022857166</v>
      </c>
      <c r="N59" s="225">
        <f t="shared" si="17"/>
        <v>694394.23274285707</v>
      </c>
      <c r="O59" s="225">
        <f t="shared" si="17"/>
        <v>721098.85325714271</v>
      </c>
      <c r="P59" s="225">
        <f t="shared" si="17"/>
        <v>723543.21211428568</v>
      </c>
      <c r="Q59" s="225">
        <f t="shared" si="17"/>
        <v>715308.28540000005</v>
      </c>
      <c r="R59" s="225">
        <f t="shared" si="17"/>
        <v>715545.26939999999</v>
      </c>
      <c r="S59" s="225">
        <f t="shared" si="17"/>
        <v>715911.85340000002</v>
      </c>
      <c r="T59" s="225">
        <f t="shared" si="17"/>
        <v>733236.24680000008</v>
      </c>
      <c r="U59" s="225">
        <f>U54</f>
        <v>738203.81479999993</v>
      </c>
    </row>
    <row r="60" spans="1:22" x14ac:dyDescent="0.3">
      <c r="B60" s="358" t="s">
        <v>174</v>
      </c>
      <c r="C60" s="358"/>
      <c r="D60" s="358"/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</row>
    <row r="61" spans="1:22" x14ac:dyDescent="0.3">
      <c r="B61" s="358" t="s">
        <v>176</v>
      </c>
      <c r="C61" s="358"/>
      <c r="D61" s="358"/>
      <c r="E61" s="358"/>
      <c r="F61" s="358"/>
      <c r="G61" s="225">
        <f>G54</f>
        <v>705039.67839999986</v>
      </c>
      <c r="H61" s="225">
        <f t="shared" ref="H61:U61" si="18">H54</f>
        <v>714018.0976000001</v>
      </c>
      <c r="I61" s="225">
        <f t="shared" si="18"/>
        <v>667811.83017142839</v>
      </c>
      <c r="J61" s="225">
        <f t="shared" si="18"/>
        <v>685747.31328571425</v>
      </c>
      <c r="K61" s="225">
        <f t="shared" si="18"/>
        <v>679728.07960000006</v>
      </c>
      <c r="L61" s="225">
        <f t="shared" si="18"/>
        <v>684616.79731428577</v>
      </c>
      <c r="M61" s="225">
        <f t="shared" si="18"/>
        <v>704049.45022857166</v>
      </c>
      <c r="N61" s="225">
        <f t="shared" si="18"/>
        <v>694394.23274285707</v>
      </c>
      <c r="O61" s="225">
        <f t="shared" si="18"/>
        <v>721098.85325714271</v>
      </c>
      <c r="P61" s="225">
        <f t="shared" si="18"/>
        <v>723543.21211428568</v>
      </c>
      <c r="Q61" s="225">
        <f t="shared" si="18"/>
        <v>715308.28540000005</v>
      </c>
      <c r="R61" s="225">
        <f t="shared" si="18"/>
        <v>715545.26939999999</v>
      </c>
      <c r="S61" s="225">
        <f t="shared" si="18"/>
        <v>715911.85340000002</v>
      </c>
      <c r="T61" s="225">
        <f t="shared" si="18"/>
        <v>733236.24680000008</v>
      </c>
      <c r="U61" s="225">
        <f t="shared" si="18"/>
        <v>738203.81479999993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A06A4-FE60-4CEF-8D7C-51890E14B25E}">
  <sheetPr codeName="Sheet30"/>
  <dimension ref="A1:Y470"/>
  <sheetViews>
    <sheetView showGridLines="0" topLeftCell="A4" workbookViewId="0">
      <selection activeCell="F24" sqref="F24:T24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88671875" style="136" bestFit="1" customWidth="1"/>
    <col min="7" max="7" width="9.88671875" bestFit="1" customWidth="1"/>
    <col min="8" max="8" width="10.33203125" customWidth="1"/>
    <col min="9" max="9" width="10.44140625" customWidth="1"/>
    <col min="10" max="10" width="9.6640625" customWidth="1"/>
    <col min="11" max="11" width="10.109375" customWidth="1"/>
    <col min="12" max="13" width="9.77734375" customWidth="1"/>
    <col min="14" max="14" width="10.5546875" customWidth="1"/>
    <col min="15" max="15" width="9.88671875" customWidth="1"/>
    <col min="16" max="16" width="9.77734375" customWidth="1"/>
    <col min="17" max="17" width="10.33203125" customWidth="1"/>
    <col min="18" max="18" width="9.88671875" bestFit="1" customWidth="1"/>
    <col min="19" max="19" width="10" customWidth="1"/>
    <col min="20" max="20" width="10.109375" customWidth="1"/>
    <col min="21" max="21" width="11.3320312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184</v>
      </c>
      <c r="F2"/>
    </row>
    <row r="3" spans="1:25" x14ac:dyDescent="0.3">
      <c r="B3" t="s">
        <v>153</v>
      </c>
      <c r="F3"/>
    </row>
    <row r="4" spans="1:25" x14ac:dyDescent="0.3">
      <c r="F4"/>
    </row>
    <row r="5" spans="1:25" x14ac:dyDescent="0.3">
      <c r="A5" s="156"/>
      <c r="B5" s="183" t="s">
        <v>185</v>
      </c>
      <c r="C5" s="156"/>
      <c r="D5" s="156"/>
      <c r="E5" s="156"/>
      <c r="F5" s="215">
        <v>2025</v>
      </c>
      <c r="G5" s="215">
        <v>2025</v>
      </c>
      <c r="H5" s="215">
        <v>2025</v>
      </c>
      <c r="I5" s="215">
        <v>2025</v>
      </c>
      <c r="J5" s="215">
        <v>2025</v>
      </c>
      <c r="K5" s="215">
        <v>2025</v>
      </c>
      <c r="L5" s="215">
        <v>2025</v>
      </c>
      <c r="M5" s="215">
        <v>2025</v>
      </c>
      <c r="N5" s="215">
        <v>2025</v>
      </c>
      <c r="O5" s="215">
        <v>2025</v>
      </c>
      <c r="P5" s="215">
        <v>2025</v>
      </c>
      <c r="Q5" s="215">
        <v>2025</v>
      </c>
      <c r="R5" s="215">
        <v>2026</v>
      </c>
      <c r="S5" s="215">
        <v>2026</v>
      </c>
      <c r="T5" s="215">
        <v>2026</v>
      </c>
      <c r="U5" s="156"/>
    </row>
    <row r="6" spans="1:25" ht="15" thickBot="1" x14ac:dyDescent="0.35">
      <c r="A6" s="168"/>
      <c r="B6" s="169" t="s">
        <v>71</v>
      </c>
      <c r="C6" s="157"/>
      <c r="D6" s="157"/>
      <c r="E6" s="157"/>
      <c r="F6" s="214" t="s">
        <v>32</v>
      </c>
      <c r="G6" s="214" t="s">
        <v>33</v>
      </c>
      <c r="H6" s="214" t="s">
        <v>34</v>
      </c>
      <c r="I6" s="214" t="s">
        <v>35</v>
      </c>
      <c r="J6" s="214" t="s">
        <v>36</v>
      </c>
      <c r="K6" s="214" t="s">
        <v>37</v>
      </c>
      <c r="L6" s="214" t="s">
        <v>38</v>
      </c>
      <c r="M6" s="214" t="s">
        <v>39</v>
      </c>
      <c r="N6" s="214" t="s">
        <v>40</v>
      </c>
      <c r="O6" s="214" t="s">
        <v>41</v>
      </c>
      <c r="P6" s="214" t="s">
        <v>42</v>
      </c>
      <c r="Q6" s="214" t="s">
        <v>43</v>
      </c>
      <c r="R6" s="214" t="s">
        <v>32</v>
      </c>
      <c r="S6" s="214" t="s">
        <v>33</v>
      </c>
      <c r="T6" s="214" t="s">
        <v>34</v>
      </c>
      <c r="U6" s="211" t="s">
        <v>80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78" t="s">
        <v>186</v>
      </c>
      <c r="F8"/>
    </row>
    <row r="9" spans="1:25" x14ac:dyDescent="0.3">
      <c r="C9" s="179"/>
      <c r="F9"/>
    </row>
    <row r="10" spans="1:25" x14ac:dyDescent="0.3">
      <c r="C10" s="178" t="s">
        <v>55</v>
      </c>
      <c r="F10"/>
      <c r="G10" s="180"/>
      <c r="H10" s="180"/>
      <c r="I10" s="180"/>
      <c r="J10" s="180"/>
      <c r="K10" s="180"/>
      <c r="L10" s="179"/>
      <c r="M10" s="180"/>
      <c r="N10" s="180"/>
      <c r="O10" s="180"/>
      <c r="P10" s="180"/>
      <c r="Q10" s="180"/>
      <c r="R10" s="180"/>
      <c r="S10" s="180"/>
      <c r="T10" s="180"/>
      <c r="V10" s="1"/>
    </row>
    <row r="11" spans="1:25" x14ac:dyDescent="0.3">
      <c r="C11" s="179" t="s">
        <v>187</v>
      </c>
      <c r="F11" s="180">
        <f>'BS 2024'!Q14+'CF 2025'!G54</f>
        <v>13642072.847168</v>
      </c>
      <c r="G11" s="180">
        <f>F14+'CF 2025'!H54</f>
        <v>14356090.944768</v>
      </c>
      <c r="H11" s="180">
        <f>G14+'CF 2025'!I54</f>
        <v>15023902.774939429</v>
      </c>
      <c r="I11" s="180">
        <f>H14+'CF 2025'!J54</f>
        <v>15709650.088225143</v>
      </c>
      <c r="J11" s="180">
        <f>I14+'CF 2025'!K54</f>
        <v>16389378.167825144</v>
      </c>
      <c r="K11" s="180">
        <f>J14+'CF 2025'!L54</f>
        <v>17073994.96513943</v>
      </c>
      <c r="L11" s="180">
        <f>K14+'CF 2025'!M54</f>
        <v>17778044.415368002</v>
      </c>
      <c r="M11" s="180">
        <f>L14+'CF 2025'!N54</f>
        <v>18472438.648110859</v>
      </c>
      <c r="N11" s="180">
        <f>M14+'CF 2025'!O54</f>
        <v>19193537.501368001</v>
      </c>
      <c r="O11" s="180">
        <f>N14+'CF 2025'!P54</f>
        <v>19917080.713482287</v>
      </c>
      <c r="P11" s="180">
        <f>O14+'CF 2025'!Q54</f>
        <v>20632388.998882286</v>
      </c>
      <c r="Q11" s="180">
        <f>P14+'CF 2025'!R54</f>
        <v>21347934.268282287</v>
      </c>
      <c r="R11" s="180">
        <f>'BS 2026'!F11</f>
        <v>22068210.121682286</v>
      </c>
      <c r="S11" s="180">
        <f>'BS 2026'!G11</f>
        <v>22736503.368482288</v>
      </c>
      <c r="T11" s="180">
        <f>'BS 2026'!H11</f>
        <v>23409764.18328229</v>
      </c>
      <c r="V11" s="1"/>
    </row>
    <row r="12" spans="1:25" x14ac:dyDescent="0.3">
      <c r="C12" s="179" t="s">
        <v>188</v>
      </c>
      <c r="F12" s="180"/>
      <c r="G12" s="179"/>
      <c r="H12" s="179"/>
      <c r="I12" s="179" t="s">
        <v>205</v>
      </c>
      <c r="J12" s="179"/>
      <c r="K12" s="179" t="s">
        <v>205</v>
      </c>
      <c r="L12" s="179"/>
      <c r="M12" s="179"/>
      <c r="N12" s="179"/>
      <c r="O12" s="179"/>
      <c r="P12" s="179"/>
      <c r="Q12" s="179"/>
      <c r="R12" s="179"/>
      <c r="S12" s="179" t="s">
        <v>205</v>
      </c>
      <c r="T12" s="179" t="s">
        <v>205</v>
      </c>
      <c r="V12" s="1"/>
    </row>
    <row r="13" spans="1:25" x14ac:dyDescent="0.3">
      <c r="C13" s="179" t="s">
        <v>189</v>
      </c>
      <c r="F13"/>
      <c r="I13" s="180"/>
      <c r="K13" s="180"/>
      <c r="S13" s="180"/>
      <c r="T13" s="180"/>
      <c r="V13" s="1"/>
    </row>
    <row r="14" spans="1:25" x14ac:dyDescent="0.3">
      <c r="C14" s="179" t="s">
        <v>190</v>
      </c>
      <c r="F14" s="180">
        <f>SUM(F11:F13)</f>
        <v>13642072.847168</v>
      </c>
      <c r="G14" s="180">
        <f t="shared" ref="G14:Q14" si="0">SUM(G11:G13)</f>
        <v>14356090.944768</v>
      </c>
      <c r="H14" s="180">
        <f t="shared" si="0"/>
        <v>15023902.774939429</v>
      </c>
      <c r="I14" s="180">
        <f t="shared" si="0"/>
        <v>15709650.088225143</v>
      </c>
      <c r="J14" s="180">
        <f t="shared" si="0"/>
        <v>16389378.167825144</v>
      </c>
      <c r="K14" s="180">
        <f t="shared" si="0"/>
        <v>17073994.96513943</v>
      </c>
      <c r="L14" s="180">
        <f t="shared" si="0"/>
        <v>17778044.415368002</v>
      </c>
      <c r="M14" s="180">
        <f t="shared" si="0"/>
        <v>18472438.648110859</v>
      </c>
      <c r="N14" s="180">
        <f t="shared" si="0"/>
        <v>19193537.501368001</v>
      </c>
      <c r="O14" s="180">
        <f t="shared" si="0"/>
        <v>19917080.713482287</v>
      </c>
      <c r="P14" s="180">
        <f t="shared" si="0"/>
        <v>20632388.998882286</v>
      </c>
      <c r="Q14" s="180">
        <f t="shared" si="0"/>
        <v>21347934.268282287</v>
      </c>
      <c r="R14" s="180">
        <f t="shared" ref="R14" si="1">SUM(R11:R13)</f>
        <v>22068210.121682286</v>
      </c>
      <c r="S14" s="180">
        <f t="shared" ref="S14" si="2">SUM(S11:S13)</f>
        <v>22736503.368482288</v>
      </c>
      <c r="T14" s="180">
        <f t="shared" ref="T14" si="3">SUM(T11:T13)</f>
        <v>23409764.18328229</v>
      </c>
      <c r="U14" s="225">
        <f>SUM(F14:Q14)</f>
        <v>209536514.33355889</v>
      </c>
      <c r="V14" s="1"/>
    </row>
    <row r="15" spans="1:25" x14ac:dyDescent="0.3">
      <c r="C15" s="178" t="s">
        <v>56</v>
      </c>
      <c r="F15"/>
      <c r="G15" s="179"/>
      <c r="H15" s="179"/>
      <c r="I15" s="179"/>
      <c r="J15" s="182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V15" s="1"/>
    </row>
    <row r="16" spans="1:25" x14ac:dyDescent="0.3">
      <c r="C16" s="181" t="s">
        <v>191</v>
      </c>
      <c r="F16" s="180">
        <f>'BS 2024'!Q16-'IS 2025'!F60</f>
        <v>490182</v>
      </c>
      <c r="G16" s="180">
        <f>F16-'IS 2025'!G60</f>
        <v>492032</v>
      </c>
      <c r="H16" s="180">
        <f>G16-'IS 2025'!H60</f>
        <v>493882</v>
      </c>
      <c r="I16" s="180">
        <f>H16-'IS 2025'!I60</f>
        <v>495593</v>
      </c>
      <c r="J16" s="180">
        <f>I16-'IS 2025'!J60</f>
        <v>497304</v>
      </c>
      <c r="K16" s="180">
        <f>J16-'IS 2025'!K60</f>
        <v>499015</v>
      </c>
      <c r="L16" s="180">
        <f>K16-'IS 2025'!L60</f>
        <v>500726</v>
      </c>
      <c r="M16" s="180">
        <f>L16-'IS 2025'!M60</f>
        <v>502437</v>
      </c>
      <c r="N16" s="180">
        <f>M16-'IS 2025'!N60</f>
        <v>504148</v>
      </c>
      <c r="O16" s="180">
        <f>N16-'IS 2025'!O60</f>
        <v>505859</v>
      </c>
      <c r="P16" s="180">
        <f>O16-'IS 2025'!P60</f>
        <v>507570</v>
      </c>
      <c r="Q16" s="180">
        <f>P16-'IS 2025'!Q60</f>
        <v>509481</v>
      </c>
      <c r="R16" s="180">
        <f>'BS 2026'!F16</f>
        <v>511392</v>
      </c>
      <c r="S16" s="187">
        <f>R16-'IS 2025'!G60</f>
        <v>513242</v>
      </c>
      <c r="T16" s="187">
        <f>S16-'IS 2025'!H60</f>
        <v>515092</v>
      </c>
      <c r="V16" s="1"/>
    </row>
    <row r="17" spans="1:22" x14ac:dyDescent="0.3">
      <c r="C17" s="181" t="s">
        <v>192</v>
      </c>
      <c r="F17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V17" s="1"/>
    </row>
    <row r="18" spans="1:22" x14ac:dyDescent="0.3">
      <c r="C18" s="181" t="s">
        <v>193</v>
      </c>
      <c r="F18" s="187">
        <f>SUM(F16:F17)</f>
        <v>490182</v>
      </c>
      <c r="G18" s="187">
        <f t="shared" ref="G18:T19" si="4">SUM(G16:G17)</f>
        <v>492032</v>
      </c>
      <c r="H18" s="187">
        <f t="shared" si="4"/>
        <v>493882</v>
      </c>
      <c r="I18" s="187">
        <f t="shared" si="4"/>
        <v>495593</v>
      </c>
      <c r="J18" s="187">
        <f t="shared" si="4"/>
        <v>497304</v>
      </c>
      <c r="K18" s="187">
        <f t="shared" si="4"/>
        <v>499015</v>
      </c>
      <c r="L18" s="187">
        <f t="shared" si="4"/>
        <v>500726</v>
      </c>
      <c r="M18" s="187">
        <f t="shared" si="4"/>
        <v>502437</v>
      </c>
      <c r="N18" s="187">
        <f t="shared" si="4"/>
        <v>504148</v>
      </c>
      <c r="O18" s="187">
        <f t="shared" si="4"/>
        <v>505859</v>
      </c>
      <c r="P18" s="187">
        <f t="shared" si="4"/>
        <v>507570</v>
      </c>
      <c r="Q18" s="187">
        <f t="shared" si="4"/>
        <v>509481</v>
      </c>
      <c r="R18" s="187">
        <f t="shared" si="4"/>
        <v>511392</v>
      </c>
      <c r="S18" s="187">
        <f t="shared" si="4"/>
        <v>513242</v>
      </c>
      <c r="T18" s="187">
        <f t="shared" si="4"/>
        <v>515092</v>
      </c>
      <c r="V18" s="1"/>
    </row>
    <row r="19" spans="1:22" x14ac:dyDescent="0.3">
      <c r="A19" s="151"/>
      <c r="B19" s="156"/>
      <c r="C19" s="190" t="s">
        <v>194</v>
      </c>
      <c r="D19" s="156"/>
      <c r="E19" s="156"/>
      <c r="F19" s="191">
        <f>SUM(F17:F18)</f>
        <v>490182</v>
      </c>
      <c r="G19" s="191">
        <f t="shared" si="4"/>
        <v>492032</v>
      </c>
      <c r="H19" s="191">
        <f t="shared" si="4"/>
        <v>493882</v>
      </c>
      <c r="I19" s="191">
        <f t="shared" si="4"/>
        <v>495593</v>
      </c>
      <c r="J19" s="191">
        <f t="shared" si="4"/>
        <v>497304</v>
      </c>
      <c r="K19" s="191">
        <f t="shared" si="4"/>
        <v>499015</v>
      </c>
      <c r="L19" s="191">
        <f t="shared" si="4"/>
        <v>500726</v>
      </c>
      <c r="M19" s="191">
        <f t="shared" si="4"/>
        <v>502437</v>
      </c>
      <c r="N19" s="191">
        <f t="shared" si="4"/>
        <v>504148</v>
      </c>
      <c r="O19" s="191">
        <f t="shared" si="4"/>
        <v>505859</v>
      </c>
      <c r="P19" s="191">
        <f t="shared" si="4"/>
        <v>507570</v>
      </c>
      <c r="Q19" s="191">
        <f t="shared" si="4"/>
        <v>509481</v>
      </c>
      <c r="R19" s="191">
        <f t="shared" si="4"/>
        <v>511392</v>
      </c>
      <c r="S19" s="191">
        <f t="shared" si="4"/>
        <v>513242</v>
      </c>
      <c r="T19" s="191">
        <f t="shared" si="4"/>
        <v>515092</v>
      </c>
      <c r="U19" s="164">
        <f>SUM(F19:Q19)</f>
        <v>5998229</v>
      </c>
      <c r="V19" s="1"/>
    </row>
    <row r="20" spans="1:22" x14ac:dyDescent="0.3">
      <c r="A20" s="168"/>
      <c r="B20" s="157"/>
      <c r="C20" s="192" t="s">
        <v>57</v>
      </c>
      <c r="D20" s="157"/>
      <c r="E20" s="157"/>
      <c r="F20" s="193">
        <f>F14+F19</f>
        <v>14132254.847168</v>
      </c>
      <c r="G20" s="193">
        <f>G14+G19</f>
        <v>14848122.944768</v>
      </c>
      <c r="H20" s="193">
        <f t="shared" ref="H20:T20" si="5">H14+H19</f>
        <v>15517784.774939429</v>
      </c>
      <c r="I20" s="193">
        <f t="shared" si="5"/>
        <v>16205243.088225143</v>
      </c>
      <c r="J20" s="193">
        <f t="shared" si="5"/>
        <v>16886682.167825144</v>
      </c>
      <c r="K20" s="193">
        <f t="shared" si="5"/>
        <v>17573009.96513943</v>
      </c>
      <c r="L20" s="193">
        <f t="shared" si="5"/>
        <v>18278770.415368002</v>
      </c>
      <c r="M20" s="193">
        <f t="shared" si="5"/>
        <v>18974875.648110859</v>
      </c>
      <c r="N20" s="193">
        <f t="shared" si="5"/>
        <v>19697685.501368001</v>
      </c>
      <c r="O20" s="193">
        <f t="shared" si="5"/>
        <v>20422939.713482287</v>
      </c>
      <c r="P20" s="193">
        <f t="shared" si="5"/>
        <v>21139958.998882286</v>
      </c>
      <c r="Q20" s="193">
        <f t="shared" si="5"/>
        <v>21857415.268282287</v>
      </c>
      <c r="R20" s="193">
        <f t="shared" si="5"/>
        <v>22579602.121682286</v>
      </c>
      <c r="S20" s="193">
        <f t="shared" si="5"/>
        <v>23249745.368482288</v>
      </c>
      <c r="T20" s="193">
        <f t="shared" si="5"/>
        <v>23924856.18328229</v>
      </c>
      <c r="U20" s="158">
        <f>SUM(F20:Q20)</f>
        <v>215534743.33355889</v>
      </c>
      <c r="V20" s="1"/>
    </row>
    <row r="21" spans="1:22" x14ac:dyDescent="0.3">
      <c r="C21" s="189" t="s">
        <v>58</v>
      </c>
      <c r="F21"/>
      <c r="I21" s="182"/>
      <c r="K21" s="182"/>
      <c r="S21" s="182"/>
      <c r="T21" s="182"/>
      <c r="V21" s="1"/>
    </row>
    <row r="22" spans="1:22" x14ac:dyDescent="0.3">
      <c r="C22" s="181" t="s">
        <v>195</v>
      </c>
      <c r="F22" s="182"/>
      <c r="G22" s="182"/>
      <c r="Q22" s="182"/>
      <c r="V22" s="1"/>
    </row>
    <row r="23" spans="1:22" x14ac:dyDescent="0.3">
      <c r="C23" s="181" t="s">
        <v>196</v>
      </c>
      <c r="F23"/>
      <c r="H23" s="182"/>
      <c r="J23" s="182"/>
      <c r="V23" s="1"/>
    </row>
    <row r="24" spans="1:22" x14ac:dyDescent="0.3">
      <c r="C24" s="179" t="s">
        <v>197</v>
      </c>
      <c r="F24" s="180">
        <f>'CF 2025'!G53</f>
        <v>-158933.16959999996</v>
      </c>
      <c r="G24" s="180">
        <f>'CF 2025'!H53</f>
        <v>-161177.77440000002</v>
      </c>
      <c r="H24" s="180">
        <f>'CF 2025'!I53</f>
        <v>-149626.20754285713</v>
      </c>
      <c r="I24" s="180">
        <f>'CF 2025'!J53</f>
        <v>-154110.07832142859</v>
      </c>
      <c r="J24" s="180">
        <f>'CF 2025'!K53</f>
        <v>-152605.26990000001</v>
      </c>
      <c r="K24" s="180">
        <f>'CF 2025'!L53</f>
        <v>-153827.44932857144</v>
      </c>
      <c r="L24" s="180">
        <f>'CF 2025'!M53</f>
        <v>-158685.61255714291</v>
      </c>
      <c r="M24" s="180">
        <f>'CF 2025'!N53</f>
        <v>-156271.80818571427</v>
      </c>
      <c r="N24" s="180">
        <f>'CF 2025'!O53</f>
        <v>-162947.96331428571</v>
      </c>
      <c r="O24" s="180">
        <f>'CF 2025'!P53</f>
        <v>-163559.05302857142</v>
      </c>
      <c r="P24" s="180">
        <f>'CF 2025'!Q53</f>
        <v>-161500.32135000001</v>
      </c>
      <c r="Q24" s="180">
        <f>'CF 2025'!R53</f>
        <v>-164368.06735000003</v>
      </c>
      <c r="R24" s="180">
        <f>'CF 2025'!S53</f>
        <v>-167106.21335000001</v>
      </c>
      <c r="S24" s="180">
        <f>'CF 2025'!T53</f>
        <v>-171437.31170000002</v>
      </c>
      <c r="T24" s="180">
        <f>'CF 2025'!U53</f>
        <v>-172679.20369999998</v>
      </c>
      <c r="V24" s="1"/>
    </row>
    <row r="25" spans="1:22" x14ac:dyDescent="0.3">
      <c r="A25" s="156"/>
      <c r="B25" s="156"/>
      <c r="C25" s="183" t="s">
        <v>198</v>
      </c>
      <c r="D25" s="156"/>
      <c r="E25" s="156"/>
      <c r="F25" s="164">
        <f>SUM(F22:F24)</f>
        <v>-158933.16959999996</v>
      </c>
      <c r="G25" s="164">
        <f t="shared" ref="G25:T25" si="6">SUM(G22:G24)</f>
        <v>-161177.77440000002</v>
      </c>
      <c r="H25" s="164">
        <f t="shared" si="6"/>
        <v>-149626.20754285713</v>
      </c>
      <c r="I25" s="164">
        <f t="shared" si="6"/>
        <v>-154110.07832142859</v>
      </c>
      <c r="J25" s="164">
        <f t="shared" si="6"/>
        <v>-152605.26990000001</v>
      </c>
      <c r="K25" s="164">
        <f t="shared" si="6"/>
        <v>-153827.44932857144</v>
      </c>
      <c r="L25" s="164">
        <f t="shared" si="6"/>
        <v>-158685.61255714291</v>
      </c>
      <c r="M25" s="164">
        <f t="shared" si="6"/>
        <v>-156271.80818571427</v>
      </c>
      <c r="N25" s="164">
        <f t="shared" si="6"/>
        <v>-162947.96331428571</v>
      </c>
      <c r="O25" s="164">
        <f t="shared" si="6"/>
        <v>-163559.05302857142</v>
      </c>
      <c r="P25" s="164">
        <f t="shared" si="6"/>
        <v>-161500.32135000001</v>
      </c>
      <c r="Q25" s="164">
        <f t="shared" si="6"/>
        <v>-164368.06735000003</v>
      </c>
      <c r="R25" s="164">
        <f t="shared" si="6"/>
        <v>-167106.21335000001</v>
      </c>
      <c r="S25" s="164">
        <f t="shared" si="6"/>
        <v>-171437.31170000002</v>
      </c>
      <c r="T25" s="164">
        <f t="shared" si="6"/>
        <v>-172679.20369999998</v>
      </c>
      <c r="U25" s="164">
        <f>SUM(F25:Q25)</f>
        <v>-1897612.7748785717</v>
      </c>
      <c r="V25" s="1"/>
    </row>
    <row r="26" spans="1:22" x14ac:dyDescent="0.3">
      <c r="A26" s="157"/>
      <c r="B26" s="157"/>
      <c r="C26" s="194" t="s">
        <v>59</v>
      </c>
      <c r="D26" s="157"/>
      <c r="E26" s="157"/>
      <c r="F26" s="158"/>
      <c r="G26" s="157"/>
      <c r="H26" s="157"/>
      <c r="I26" s="158"/>
      <c r="J26" s="157"/>
      <c r="K26" s="158"/>
      <c r="L26" s="195"/>
      <c r="M26" s="195"/>
      <c r="N26" s="195"/>
      <c r="O26" s="195"/>
      <c r="P26" s="195"/>
      <c r="Q26" s="157"/>
      <c r="R26" s="195"/>
      <c r="S26" s="158"/>
      <c r="T26" s="158"/>
      <c r="U26" s="157"/>
      <c r="V26" s="1"/>
    </row>
    <row r="27" spans="1:22" x14ac:dyDescent="0.3">
      <c r="C27" s="178" t="s">
        <v>199</v>
      </c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225">
        <f>SUM(F27:Q27)</f>
        <v>0</v>
      </c>
      <c r="V27" s="1"/>
    </row>
    <row r="28" spans="1:22" ht="12.6" customHeight="1" x14ac:dyDescent="0.3">
      <c r="C28" s="179"/>
      <c r="F28"/>
      <c r="J28" s="180" t="s">
        <v>205</v>
      </c>
      <c r="U28" s="358"/>
      <c r="V28" s="1"/>
    </row>
    <row r="29" spans="1:22" x14ac:dyDescent="0.3">
      <c r="C29" s="178" t="s">
        <v>200</v>
      </c>
      <c r="F29" s="180"/>
      <c r="G29" s="180"/>
      <c r="H29" s="180"/>
      <c r="Q29" s="180"/>
      <c r="U29" s="358"/>
      <c r="V29" s="1"/>
    </row>
    <row r="30" spans="1:22" x14ac:dyDescent="0.3">
      <c r="C30" s="181" t="s">
        <v>208</v>
      </c>
      <c r="F30" s="180"/>
      <c r="G30" s="180"/>
      <c r="H30" s="180"/>
      <c r="Q30" s="180"/>
      <c r="U30" s="358"/>
      <c r="V30" s="1"/>
    </row>
    <row r="31" spans="1:22" x14ac:dyDescent="0.3">
      <c r="C31" s="178" t="s">
        <v>201</v>
      </c>
      <c r="F31" s="187">
        <f>SUM(F27:F29)</f>
        <v>0</v>
      </c>
      <c r="G31" s="187">
        <f t="shared" ref="G31:T31" si="7">SUM(G27:G29)</f>
        <v>0</v>
      </c>
      <c r="H31" s="187">
        <f t="shared" si="7"/>
        <v>0</v>
      </c>
      <c r="I31" s="187">
        <f t="shared" si="7"/>
        <v>0</v>
      </c>
      <c r="J31" s="187">
        <f t="shared" si="7"/>
        <v>0</v>
      </c>
      <c r="K31" s="187">
        <f t="shared" si="7"/>
        <v>0</v>
      </c>
      <c r="L31" s="187">
        <f t="shared" si="7"/>
        <v>0</v>
      </c>
      <c r="M31" s="187">
        <f t="shared" si="7"/>
        <v>0</v>
      </c>
      <c r="N31" s="187">
        <f t="shared" si="7"/>
        <v>0</v>
      </c>
      <c r="O31" s="187">
        <f t="shared" si="7"/>
        <v>0</v>
      </c>
      <c r="P31" s="187">
        <f t="shared" si="7"/>
        <v>0</v>
      </c>
      <c r="Q31" s="187">
        <f t="shared" si="7"/>
        <v>0</v>
      </c>
      <c r="R31" s="187">
        <f t="shared" si="7"/>
        <v>0</v>
      </c>
      <c r="S31" s="187">
        <f t="shared" si="7"/>
        <v>0</v>
      </c>
      <c r="T31" s="187">
        <f t="shared" si="7"/>
        <v>0</v>
      </c>
      <c r="U31" s="358"/>
      <c r="V31" s="1"/>
    </row>
    <row r="32" spans="1:22" x14ac:dyDescent="0.3">
      <c r="C32" s="178" t="s">
        <v>60</v>
      </c>
      <c r="F32" s="187">
        <f>F31+F25</f>
        <v>-158933.16959999996</v>
      </c>
      <c r="G32" s="187">
        <f t="shared" ref="G32:T32" si="8">G31+G24</f>
        <v>-161177.77440000002</v>
      </c>
      <c r="H32" s="187">
        <f t="shared" si="8"/>
        <v>-149626.20754285713</v>
      </c>
      <c r="I32" s="187">
        <f t="shared" si="8"/>
        <v>-154110.07832142859</v>
      </c>
      <c r="J32" s="187">
        <f t="shared" si="8"/>
        <v>-152605.26990000001</v>
      </c>
      <c r="K32" s="187">
        <f t="shared" si="8"/>
        <v>-153827.44932857144</v>
      </c>
      <c r="L32" s="187">
        <f t="shared" si="8"/>
        <v>-158685.61255714291</v>
      </c>
      <c r="M32" s="187">
        <f t="shared" si="8"/>
        <v>-156271.80818571427</v>
      </c>
      <c r="N32" s="187">
        <f t="shared" si="8"/>
        <v>-162947.96331428571</v>
      </c>
      <c r="O32" s="187">
        <f t="shared" si="8"/>
        <v>-163559.05302857142</v>
      </c>
      <c r="P32" s="187">
        <f t="shared" si="8"/>
        <v>-161500.32135000001</v>
      </c>
      <c r="Q32" s="187">
        <f t="shared" si="8"/>
        <v>-164368.06735000003</v>
      </c>
      <c r="R32" s="187">
        <f t="shared" si="8"/>
        <v>-167106.21335000001</v>
      </c>
      <c r="S32" s="187">
        <f t="shared" si="8"/>
        <v>-171437.31170000002</v>
      </c>
      <c r="T32" s="187">
        <f t="shared" si="8"/>
        <v>-172679.20369999998</v>
      </c>
      <c r="U32" s="358"/>
      <c r="V32" s="1"/>
    </row>
    <row r="33" spans="3:22" x14ac:dyDescent="0.3">
      <c r="C33" s="178" t="s">
        <v>61</v>
      </c>
      <c r="F33" s="224">
        <f>F20+F27+F32</f>
        <v>13973321.677568</v>
      </c>
      <c r="G33" s="224">
        <f>G20+G27+G32</f>
        <v>14686945.170368001</v>
      </c>
      <c r="H33" s="224">
        <f t="shared" ref="H33:T33" si="9">H20+H27+H32</f>
        <v>15368158.567396572</v>
      </c>
      <c r="I33" s="224">
        <f t="shared" si="9"/>
        <v>16051133.009903714</v>
      </c>
      <c r="J33" s="224">
        <f t="shared" si="9"/>
        <v>16734076.897925144</v>
      </c>
      <c r="K33" s="224">
        <f t="shared" si="9"/>
        <v>17419182.515810858</v>
      </c>
      <c r="L33" s="224">
        <f t="shared" si="9"/>
        <v>18120084.802810859</v>
      </c>
      <c r="M33" s="224">
        <f t="shared" si="9"/>
        <v>18818603.839925144</v>
      </c>
      <c r="N33" s="224">
        <f t="shared" si="9"/>
        <v>19534737.538053714</v>
      </c>
      <c r="O33" s="224">
        <f t="shared" si="9"/>
        <v>20259380.660453714</v>
      </c>
      <c r="P33" s="224">
        <f t="shared" si="9"/>
        <v>20978458.677532285</v>
      </c>
      <c r="Q33" s="224">
        <f t="shared" si="9"/>
        <v>21693047.200932287</v>
      </c>
      <c r="R33" s="224">
        <f t="shared" si="9"/>
        <v>22412495.908332285</v>
      </c>
      <c r="S33" s="224">
        <f t="shared" si="9"/>
        <v>23078308.056782287</v>
      </c>
      <c r="T33" s="224">
        <f t="shared" si="9"/>
        <v>23752176.979582291</v>
      </c>
      <c r="U33" s="359">
        <f>SUM(F33:Q33)</f>
        <v>213637130.5586803</v>
      </c>
      <c r="V33" s="1"/>
    </row>
    <row r="34" spans="3:22" x14ac:dyDescent="0.3">
      <c r="C34" s="181" t="s">
        <v>63</v>
      </c>
      <c r="F34" s="179"/>
      <c r="G34" s="179"/>
      <c r="H34" s="179"/>
      <c r="I34" s="179"/>
      <c r="J34" s="180"/>
      <c r="K34" s="180"/>
      <c r="L34" s="180"/>
      <c r="M34" s="180"/>
      <c r="N34" s="180"/>
      <c r="O34" s="180"/>
      <c r="P34" s="180"/>
      <c r="Q34" s="179"/>
      <c r="R34" s="180"/>
      <c r="S34" s="180"/>
      <c r="T34" s="180"/>
      <c r="U34" s="358"/>
      <c r="V34" s="1"/>
    </row>
    <row r="35" spans="3:22" x14ac:dyDescent="0.3">
      <c r="C35" s="181" t="s">
        <v>65</v>
      </c>
      <c r="F35" s="180">
        <f>SUM(F33:F34)</f>
        <v>13973321.677568</v>
      </c>
      <c r="G35" s="180">
        <f t="shared" ref="G35:T35" si="10">SUM(G33:G34)</f>
        <v>14686945.170368001</v>
      </c>
      <c r="H35" s="180">
        <f t="shared" si="10"/>
        <v>15368158.567396572</v>
      </c>
      <c r="I35" s="180">
        <f t="shared" si="10"/>
        <v>16051133.009903714</v>
      </c>
      <c r="J35" s="180">
        <f t="shared" si="10"/>
        <v>16734076.897925144</v>
      </c>
      <c r="K35" s="180">
        <f t="shared" si="10"/>
        <v>17419182.515810858</v>
      </c>
      <c r="L35" s="180">
        <f t="shared" si="10"/>
        <v>18120084.802810859</v>
      </c>
      <c r="M35" s="180">
        <f t="shared" si="10"/>
        <v>18818603.839925144</v>
      </c>
      <c r="N35" s="180">
        <f t="shared" si="10"/>
        <v>19534737.538053714</v>
      </c>
      <c r="O35" s="180">
        <f t="shared" si="10"/>
        <v>20259380.660453714</v>
      </c>
      <c r="P35" s="180">
        <f t="shared" si="10"/>
        <v>20978458.677532285</v>
      </c>
      <c r="Q35" s="180">
        <f t="shared" si="10"/>
        <v>21693047.200932287</v>
      </c>
      <c r="R35" s="180">
        <f t="shared" si="10"/>
        <v>22412495.908332285</v>
      </c>
      <c r="S35" s="180">
        <f t="shared" si="10"/>
        <v>23078308.056782287</v>
      </c>
      <c r="T35" s="180">
        <f t="shared" si="10"/>
        <v>23752176.979582291</v>
      </c>
      <c r="V35" s="1"/>
    </row>
    <row r="36" spans="3:22" x14ac:dyDescent="0.3">
      <c r="C36" s="188" t="s">
        <v>66</v>
      </c>
      <c r="F36" s="180">
        <f>F34+F35</f>
        <v>13973321.677568</v>
      </c>
      <c r="G36" s="180">
        <f t="shared" ref="G36:T36" si="11">G34+G35</f>
        <v>14686945.170368001</v>
      </c>
      <c r="H36" s="180">
        <f t="shared" si="11"/>
        <v>15368158.567396572</v>
      </c>
      <c r="I36" s="180">
        <f t="shared" si="11"/>
        <v>16051133.009903714</v>
      </c>
      <c r="J36" s="180">
        <f t="shared" si="11"/>
        <v>16734076.897925144</v>
      </c>
      <c r="K36" s="180">
        <f t="shared" si="11"/>
        <v>17419182.515810858</v>
      </c>
      <c r="L36" s="180">
        <f t="shared" si="11"/>
        <v>18120084.802810859</v>
      </c>
      <c r="M36" s="180">
        <f t="shared" si="11"/>
        <v>18818603.839925144</v>
      </c>
      <c r="N36" s="180">
        <f t="shared" si="11"/>
        <v>19534737.538053714</v>
      </c>
      <c r="O36" s="180">
        <f t="shared" si="11"/>
        <v>20259380.660453714</v>
      </c>
      <c r="P36" s="180">
        <f t="shared" si="11"/>
        <v>20978458.677532285</v>
      </c>
      <c r="Q36" s="180">
        <f t="shared" si="11"/>
        <v>21693047.200932287</v>
      </c>
      <c r="R36" s="180">
        <f t="shared" si="11"/>
        <v>22412495.908332285</v>
      </c>
      <c r="S36" s="180">
        <f t="shared" si="11"/>
        <v>23078308.056782287</v>
      </c>
      <c r="T36" s="180">
        <f t="shared" si="11"/>
        <v>23752176.979582291</v>
      </c>
      <c r="V36" s="1"/>
    </row>
    <row r="37" spans="3:22" x14ac:dyDescent="0.3">
      <c r="C37" s="181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V37" s="1"/>
    </row>
    <row r="38" spans="3:22" x14ac:dyDescent="0.3">
      <c r="C38" s="181" t="s">
        <v>202</v>
      </c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V38" s="1"/>
    </row>
    <row r="39" spans="3:22" x14ac:dyDescent="0.3">
      <c r="C39" s="181" t="s">
        <v>203</v>
      </c>
      <c r="F3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V39" s="1"/>
    </row>
    <row r="40" spans="3:22" x14ac:dyDescent="0.3">
      <c r="C40" s="181" t="s">
        <v>204</v>
      </c>
      <c r="F40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V40" s="1"/>
    </row>
    <row r="41" spans="3:22" x14ac:dyDescent="0.3">
      <c r="C41" s="181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DD3E6-C11A-48DF-A19E-6AAEA800A5EA}">
  <sheetPr codeName="Sheet36"/>
  <dimension ref="B2:V101"/>
  <sheetViews>
    <sheetView showGridLines="0" topLeftCell="B28" zoomScale="97" zoomScaleNormal="97" workbookViewId="0">
      <selection activeCell="K55" sqref="K55"/>
    </sheetView>
  </sheetViews>
  <sheetFormatPr defaultRowHeight="14.4" x14ac:dyDescent="0.3"/>
  <cols>
    <col min="1" max="1" width="3" customWidth="1"/>
    <col min="5" max="5" width="10.88671875" customWidth="1"/>
    <col min="6" max="6" width="11.6640625" bestFit="1" customWidth="1"/>
    <col min="7" max="7" width="11.44140625" customWidth="1"/>
    <col min="8" max="8" width="11.21875" customWidth="1"/>
    <col min="9" max="9" width="11.109375" customWidth="1"/>
    <col min="10" max="10" width="4.33203125" customWidth="1"/>
    <col min="11" max="11" width="10.6640625" customWidth="1"/>
    <col min="12" max="14" width="10.5546875" bestFit="1" customWidth="1"/>
    <col min="15" max="15" width="10.21875" customWidth="1"/>
    <col min="16" max="22" width="10.5546875" bestFit="1" customWidth="1"/>
  </cols>
  <sheetData>
    <row r="2" spans="2:22" x14ac:dyDescent="0.3">
      <c r="B2" s="183" t="s">
        <v>275</v>
      </c>
      <c r="C2" s="183"/>
      <c r="D2" s="183"/>
      <c r="E2" s="183"/>
      <c r="F2" s="156"/>
      <c r="G2" s="156"/>
      <c r="H2" s="156"/>
      <c r="I2" s="156"/>
      <c r="J2" s="156"/>
      <c r="K2" s="387" t="s">
        <v>280</v>
      </c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</row>
    <row r="4" spans="2:22" x14ac:dyDescent="0.3">
      <c r="B4" s="201" t="s">
        <v>27</v>
      </c>
      <c r="C4" s="201"/>
      <c r="D4" s="201"/>
      <c r="E4" s="202">
        <v>2023</v>
      </c>
      <c r="F4" s="202">
        <v>2024</v>
      </c>
      <c r="G4" s="202">
        <v>2025</v>
      </c>
      <c r="H4" s="202">
        <v>2026</v>
      </c>
      <c r="I4" s="202">
        <v>2027</v>
      </c>
      <c r="J4" s="201"/>
      <c r="K4" s="202" t="s">
        <v>32</v>
      </c>
      <c r="L4" s="202" t="s">
        <v>33</v>
      </c>
      <c r="M4" s="202" t="s">
        <v>34</v>
      </c>
      <c r="N4" s="202" t="s">
        <v>35</v>
      </c>
      <c r="O4" s="202" t="s">
        <v>36</v>
      </c>
      <c r="P4" s="202" t="s">
        <v>37</v>
      </c>
      <c r="Q4" s="202" t="s">
        <v>38</v>
      </c>
      <c r="R4" s="202" t="s">
        <v>39</v>
      </c>
      <c r="S4" s="202" t="s">
        <v>40</v>
      </c>
      <c r="T4" s="202" t="s">
        <v>41</v>
      </c>
      <c r="U4" s="202" t="s">
        <v>42</v>
      </c>
      <c r="V4" s="202" t="s">
        <v>43</v>
      </c>
    </row>
    <row r="5" spans="2:22" x14ac:dyDescent="0.3">
      <c r="B5" t="s">
        <v>44</v>
      </c>
      <c r="E5" s="213">
        <f>'Statements Summary 2023'!V5</f>
        <v>794028.94800000021</v>
      </c>
      <c r="F5" s="213">
        <f>'Statements Summary 2024'!V5</f>
        <v>860665.65300000017</v>
      </c>
      <c r="G5" s="213">
        <f t="shared" ref="G5:G17" si="0">V5</f>
        <v>880113.33675000002</v>
      </c>
      <c r="H5" s="213">
        <f>'Statements Summary 2026'!V5</f>
        <v>994677.8737499998</v>
      </c>
      <c r="I5" s="213">
        <f>'Statements Summary 2027'!V5</f>
        <v>1115374.2525000002</v>
      </c>
      <c r="K5" s="213">
        <f>'CF 2025'!G11</f>
        <v>864172.84799999977</v>
      </c>
      <c r="L5" s="213">
        <f>'CF 2025'!H11</f>
        <v>875395.87200000009</v>
      </c>
      <c r="M5" s="213">
        <f>'CF 2025'!I11</f>
        <v>817638.03771428554</v>
      </c>
      <c r="N5" s="213">
        <f>'CF 2025'!J11</f>
        <v>840057.39160714287</v>
      </c>
      <c r="O5" s="213">
        <f>'CF 2025'!K11</f>
        <v>832533.34950000001</v>
      </c>
      <c r="P5" s="213">
        <f>'CF 2025'!L11</f>
        <v>838644.24664285721</v>
      </c>
      <c r="Q5" s="213">
        <f>'CF 2025'!M11</f>
        <v>862935.06278571452</v>
      </c>
      <c r="R5" s="213">
        <f>'CF 2025'!N11</f>
        <v>850866.04092857137</v>
      </c>
      <c r="S5" s="213">
        <f>'CF 2025'!O11</f>
        <v>884246.81657142844</v>
      </c>
      <c r="T5" s="213">
        <f>'CF 2025'!P11</f>
        <v>887302.2651428571</v>
      </c>
      <c r="U5" s="213">
        <f>'CF 2025'!Q11</f>
        <v>877008.60675000004</v>
      </c>
      <c r="V5" s="213">
        <f>'CF 2025'!R11</f>
        <v>880113.33675000002</v>
      </c>
    </row>
    <row r="6" spans="2:22" x14ac:dyDescent="0.3">
      <c r="B6" t="s">
        <v>45</v>
      </c>
      <c r="E6" s="213">
        <f>'Statements Summary 2023'!V6</f>
        <v>-200</v>
      </c>
      <c r="F6" s="213">
        <f>'Statements Summary 2024'!V6</f>
        <v>-200</v>
      </c>
      <c r="G6" s="213">
        <f t="shared" si="0"/>
        <v>-200</v>
      </c>
      <c r="H6" s="213">
        <f>'Statements Summary 2026'!V6</f>
        <v>-200</v>
      </c>
      <c r="I6" s="213">
        <f>'Statements Summary 2027'!V6</f>
        <v>-200</v>
      </c>
      <c r="K6" s="213">
        <f>'CF 2025'!G19</f>
        <v>-200</v>
      </c>
      <c r="L6" s="213">
        <f>'CF 2025'!H19</f>
        <v>-200</v>
      </c>
      <c r="M6" s="213">
        <f>'CF 2025'!I19</f>
        <v>-200</v>
      </c>
      <c r="N6" s="213">
        <f>'CF 2025'!J19</f>
        <v>-200</v>
      </c>
      <c r="O6" s="213">
        <f>'CF 2025'!K19</f>
        <v>-200</v>
      </c>
      <c r="P6" s="213">
        <f>'CF 2025'!L19</f>
        <v>-200</v>
      </c>
      <c r="Q6" s="213">
        <f>'CF 2025'!M19</f>
        <v>-200</v>
      </c>
      <c r="R6" s="213">
        <f>'CF 2025'!N19</f>
        <v>-200</v>
      </c>
      <c r="S6" s="213">
        <f>'CF 2025'!O19</f>
        <v>-200</v>
      </c>
      <c r="T6" s="213">
        <f>'CF 2025'!P19</f>
        <v>-200</v>
      </c>
      <c r="U6" s="213">
        <f>'CF 2025'!Q19</f>
        <v>-200</v>
      </c>
      <c r="V6" s="213">
        <f>'CF 2025'!R19</f>
        <v>-200</v>
      </c>
    </row>
    <row r="7" spans="2:22" x14ac:dyDescent="0.3">
      <c r="B7" t="s">
        <v>46</v>
      </c>
      <c r="E7" s="213">
        <f>'Statements Summary 2023'!V7</f>
        <v>-16818</v>
      </c>
      <c r="F7" s="213">
        <f>'Statements Summary 2024'!V7</f>
        <v>-16818</v>
      </c>
      <c r="G7" s="213">
        <f t="shared" si="0"/>
        <v>0</v>
      </c>
      <c r="H7" s="213">
        <f>'Statements Summary 2026'!V7</f>
        <v>0</v>
      </c>
      <c r="I7" s="213">
        <f>'Statements Summary 2027'!V7</f>
        <v>0</v>
      </c>
      <c r="K7" s="213" t="s">
        <v>205</v>
      </c>
      <c r="L7" s="213">
        <f>'CF 2025'!H35</f>
        <v>0</v>
      </c>
      <c r="M7" s="213">
        <f>'CF 2025'!I35</f>
        <v>0</v>
      </c>
      <c r="N7" s="213">
        <f>'CF 2025'!J35</f>
        <v>0</v>
      </c>
      <c r="O7" s="213">
        <f>'CF 2025'!K35</f>
        <v>0</v>
      </c>
      <c r="P7" s="213">
        <f>'CF 2025'!L35</f>
        <v>0</v>
      </c>
      <c r="Q7" s="213">
        <f>'CF 2025'!M35</f>
        <v>0</v>
      </c>
      <c r="R7" s="213">
        <f>'CF 2025'!N35</f>
        <v>0</v>
      </c>
      <c r="S7" s="213">
        <f>'CF 2025'!O35</f>
        <v>0</v>
      </c>
      <c r="T7" s="213">
        <f>'CF 2025'!P35</f>
        <v>0</v>
      </c>
      <c r="U7" s="213">
        <f>'CF 2025'!Q35</f>
        <v>0</v>
      </c>
      <c r="V7" s="213">
        <f>'CF 2025'!R35</f>
        <v>0</v>
      </c>
    </row>
    <row r="8" spans="2:22" x14ac:dyDescent="0.3">
      <c r="B8" t="s">
        <v>18</v>
      </c>
      <c r="E8" s="213">
        <f>'Statements Summary 2023'!V8</f>
        <v>571786.75840000017</v>
      </c>
      <c r="F8" s="213">
        <f>'Statements Summary 2024'!V8</f>
        <v>625096.12240000011</v>
      </c>
      <c r="G8" s="213">
        <f t="shared" si="0"/>
        <v>715545.26939999999</v>
      </c>
      <c r="H8" s="213">
        <f>'Statements Summary 2026'!V8</f>
        <v>749123.89899999986</v>
      </c>
      <c r="I8" s="213">
        <f>'Statements Summary 2027'!V8</f>
        <v>840961.00200000009</v>
      </c>
      <c r="K8" s="213">
        <f>'CF 2025'!G24</f>
        <v>705039.67839999986</v>
      </c>
      <c r="L8" s="213">
        <f>'CF 2025'!H24</f>
        <v>714018.0976000001</v>
      </c>
      <c r="M8" s="213">
        <f>'CF 2025'!I24</f>
        <v>667811.83017142839</v>
      </c>
      <c r="N8" s="213">
        <f>'CF 2025'!J24</f>
        <v>685747.31328571425</v>
      </c>
      <c r="O8" s="213">
        <f>'CF 2025'!K24</f>
        <v>679728.07960000006</v>
      </c>
      <c r="P8" s="213">
        <f>'CF 2025'!L24</f>
        <v>684616.79731428577</v>
      </c>
      <c r="Q8" s="213">
        <f>'CF 2025'!M24</f>
        <v>704049.45022857166</v>
      </c>
      <c r="R8" s="213">
        <f>'CF 2025'!N24</f>
        <v>694394.23274285707</v>
      </c>
      <c r="S8" s="213">
        <f>'CF 2025'!O24</f>
        <v>721098.85325714271</v>
      </c>
      <c r="T8" s="213">
        <f>'CF 2025'!P24</f>
        <v>723543.21211428568</v>
      </c>
      <c r="U8" s="213">
        <f>'CF 2025'!Q24</f>
        <v>715308.28540000005</v>
      </c>
      <c r="V8" s="213">
        <f>'CF 2025'!R24</f>
        <v>715545.26939999999</v>
      </c>
    </row>
    <row r="9" spans="2:22" x14ac:dyDescent="0.3">
      <c r="B9" t="s">
        <v>47</v>
      </c>
      <c r="E9" s="213" t="str">
        <f>'Statements Summary 2023'!V9</f>
        <v>-</v>
      </c>
      <c r="F9" s="213" t="str">
        <f>'Statements Summary 2024'!V9</f>
        <v>-</v>
      </c>
      <c r="G9" s="213">
        <f t="shared" si="0"/>
        <v>0</v>
      </c>
      <c r="H9" s="213">
        <f>'Statements Summary 2026'!V9</f>
        <v>0</v>
      </c>
      <c r="I9" s="213">
        <f>'Statements Summary 2027'!V9</f>
        <v>0</v>
      </c>
      <c r="K9" s="213">
        <f>'CF 2025'!G29</f>
        <v>0</v>
      </c>
      <c r="L9" s="213">
        <f>'CF 2025'!H29</f>
        <v>0</v>
      </c>
      <c r="M9" s="213">
        <f>'CF 2025'!I29</f>
        <v>0</v>
      </c>
      <c r="N9" s="213">
        <f>'CF 2025'!J29</f>
        <v>0</v>
      </c>
      <c r="O9" s="213">
        <f>'CF 2025'!K29</f>
        <v>0</v>
      </c>
      <c r="P9" s="213">
        <f>'CF 2025'!L29</f>
        <v>0</v>
      </c>
      <c r="Q9" s="213">
        <f>'CF 2025'!M29</f>
        <v>0</v>
      </c>
      <c r="R9" s="213">
        <f>'CF 2025'!N29</f>
        <v>0</v>
      </c>
      <c r="S9" s="213">
        <f>'CF 2025'!O29</f>
        <v>0</v>
      </c>
      <c r="T9" s="213">
        <f>'CF 2025'!P29</f>
        <v>0</v>
      </c>
      <c r="U9" s="213">
        <f>'CF 2025'!Q29</f>
        <v>0</v>
      </c>
      <c r="V9" s="213">
        <f>'CF 2025'!R29</f>
        <v>0</v>
      </c>
    </row>
    <row r="10" spans="2:22" x14ac:dyDescent="0.3">
      <c r="B10" t="s">
        <v>48</v>
      </c>
      <c r="E10" s="213" t="str">
        <f>'Statements Summary 2023'!V10</f>
        <v>-</v>
      </c>
      <c r="F10" s="213" t="str">
        <f>'Statements Summary 2024'!V10</f>
        <v>-</v>
      </c>
      <c r="G10" s="213" t="str">
        <f t="shared" si="0"/>
        <v>-</v>
      </c>
      <c r="H10" s="213" t="str">
        <f>'Statements Summary 2026'!V10</f>
        <v>-</v>
      </c>
      <c r="I10" s="213" t="str">
        <f>'Statements Summary 2027'!V10</f>
        <v>-</v>
      </c>
      <c r="K10" s="213" t="s">
        <v>205</v>
      </c>
      <c r="L10" s="213" t="s">
        <v>205</v>
      </c>
      <c r="M10" s="213" t="s">
        <v>205</v>
      </c>
      <c r="N10" s="213" t="s">
        <v>205</v>
      </c>
      <c r="O10" s="213" t="s">
        <v>205</v>
      </c>
      <c r="P10" s="213" t="s">
        <v>205</v>
      </c>
      <c r="Q10" s="213" t="s">
        <v>205</v>
      </c>
      <c r="R10" s="213" t="s">
        <v>205</v>
      </c>
      <c r="S10" s="213" t="s">
        <v>205</v>
      </c>
      <c r="T10" s="213" t="s">
        <v>205</v>
      </c>
      <c r="U10" s="213" t="s">
        <v>205</v>
      </c>
      <c r="V10" s="213" t="s">
        <v>205</v>
      </c>
    </row>
    <row r="11" spans="2:22" x14ac:dyDescent="0.3">
      <c r="B11" t="s">
        <v>49</v>
      </c>
      <c r="E11" s="213" t="str">
        <f>'Statements Summary 2023'!V11</f>
        <v>-</v>
      </c>
      <c r="F11" s="213" t="str">
        <f>'Statements Summary 2024'!V11</f>
        <v>-</v>
      </c>
      <c r="G11" s="213" t="str">
        <f t="shared" si="0"/>
        <v>-</v>
      </c>
      <c r="H11" s="213" t="str">
        <f>'Statements Summary 2026'!V11</f>
        <v>-</v>
      </c>
      <c r="I11" s="213" t="str">
        <f>'Statements Summary 2027'!V11</f>
        <v>-</v>
      </c>
      <c r="K11" s="213">
        <f>'CF 2025'!G29</f>
        <v>0</v>
      </c>
      <c r="L11" s="213" t="s">
        <v>205</v>
      </c>
      <c r="M11" s="213" t="s">
        <v>205</v>
      </c>
      <c r="N11" s="213" t="s">
        <v>205</v>
      </c>
      <c r="O11" s="213" t="s">
        <v>205</v>
      </c>
      <c r="P11" s="213" t="s">
        <v>205</v>
      </c>
      <c r="Q11" s="213" t="s">
        <v>205</v>
      </c>
      <c r="R11" s="213" t="s">
        <v>205</v>
      </c>
      <c r="S11" s="213" t="s">
        <v>205</v>
      </c>
      <c r="T11" s="213" t="s">
        <v>205</v>
      </c>
      <c r="U11" s="213" t="s">
        <v>205</v>
      </c>
      <c r="V11" s="213" t="s">
        <v>205</v>
      </c>
    </row>
    <row r="12" spans="2:22" x14ac:dyDescent="0.3">
      <c r="B12" t="s">
        <v>50</v>
      </c>
      <c r="E12" s="213">
        <f>'Statements Summary 2023'!V12</f>
        <v>-16818</v>
      </c>
      <c r="F12" s="213">
        <f>'Statements Summary 2024'!V12</f>
        <v>-16818</v>
      </c>
      <c r="G12" s="213">
        <f t="shared" si="0"/>
        <v>0</v>
      </c>
      <c r="H12" s="213">
        <f>'Statements Summary 2026'!V12</f>
        <v>0</v>
      </c>
      <c r="I12" s="213">
        <f>'Statements Summary 2027'!V12</f>
        <v>0</v>
      </c>
      <c r="K12" s="213" t="s">
        <v>205</v>
      </c>
      <c r="L12" s="213">
        <f>'CF 2025'!H35</f>
        <v>0</v>
      </c>
      <c r="M12" s="213">
        <f>'CF 2025'!I35</f>
        <v>0</v>
      </c>
      <c r="N12" s="213">
        <f>'CF 2025'!J35</f>
        <v>0</v>
      </c>
      <c r="O12" s="213">
        <f>'CF 2025'!K35</f>
        <v>0</v>
      </c>
      <c r="P12" s="213">
        <f>'CF 2025'!L35</f>
        <v>0</v>
      </c>
      <c r="Q12" s="213">
        <f>'CF 2025'!M35</f>
        <v>0</v>
      </c>
      <c r="R12" s="213">
        <f>'CF 2025'!N35</f>
        <v>0</v>
      </c>
      <c r="S12" s="213">
        <f>'CF 2025'!O35</f>
        <v>0</v>
      </c>
      <c r="T12" s="213">
        <f>'CF 2025'!P35</f>
        <v>0</v>
      </c>
      <c r="U12" s="213">
        <f>'CF 2025'!Q35</f>
        <v>0</v>
      </c>
      <c r="V12" s="213">
        <f>'CF 2025'!R35</f>
        <v>0</v>
      </c>
    </row>
    <row r="13" spans="2:22" x14ac:dyDescent="0.3">
      <c r="B13" t="s">
        <v>51</v>
      </c>
      <c r="E13" s="213" t="str">
        <f>'Statements Summary 2023'!V13</f>
        <v>-</v>
      </c>
      <c r="F13" s="213" t="str">
        <f>'Statements Summary 2024'!V13</f>
        <v>-</v>
      </c>
      <c r="G13" s="213" t="str">
        <f t="shared" si="0"/>
        <v>-</v>
      </c>
      <c r="H13" s="213" t="str">
        <f>'Statements Summary 2026'!V13</f>
        <v>-</v>
      </c>
      <c r="I13" s="213" t="str">
        <f>'Statements Summary 2027'!V13</f>
        <v>-</v>
      </c>
      <c r="K13" s="213" t="s">
        <v>205</v>
      </c>
      <c r="L13" s="213" t="s">
        <v>205</v>
      </c>
      <c r="M13" s="213" t="s">
        <v>205</v>
      </c>
      <c r="N13" s="213" t="s">
        <v>205</v>
      </c>
      <c r="O13" s="213" t="s">
        <v>205</v>
      </c>
      <c r="P13" s="213" t="s">
        <v>205</v>
      </c>
      <c r="Q13" s="213" t="s">
        <v>205</v>
      </c>
      <c r="R13" s="213" t="s">
        <v>205</v>
      </c>
      <c r="S13" s="213" t="s">
        <v>205</v>
      </c>
      <c r="T13" s="213" t="s">
        <v>205</v>
      </c>
      <c r="U13" s="213" t="s">
        <v>205</v>
      </c>
      <c r="V13" s="213" t="s">
        <v>205</v>
      </c>
    </row>
    <row r="14" spans="2:22" x14ac:dyDescent="0.3">
      <c r="B14" t="s">
        <v>52</v>
      </c>
      <c r="E14" s="213" t="str">
        <f>'Statements Summary 2023'!V14</f>
        <v>-</v>
      </c>
      <c r="F14" s="213" t="str">
        <f>'Statements Summary 2024'!V14</f>
        <v>-</v>
      </c>
      <c r="G14" s="213" t="str">
        <f t="shared" si="0"/>
        <v>-</v>
      </c>
      <c r="H14" s="213" t="str">
        <f>'Statements Summary 2026'!V14</f>
        <v>-</v>
      </c>
      <c r="I14" s="213" t="str">
        <f>'Statements Summary 2027'!V14</f>
        <v>-</v>
      </c>
      <c r="K14" s="213" t="s">
        <v>205</v>
      </c>
      <c r="L14" s="213" t="s">
        <v>205</v>
      </c>
      <c r="M14" s="213" t="s">
        <v>205</v>
      </c>
      <c r="N14" s="213" t="s">
        <v>205</v>
      </c>
      <c r="O14" s="213" t="s">
        <v>205</v>
      </c>
      <c r="P14" s="213" t="s">
        <v>205</v>
      </c>
      <c r="Q14" s="213" t="s">
        <v>205</v>
      </c>
      <c r="R14" s="213" t="s">
        <v>205</v>
      </c>
      <c r="S14" s="213" t="s">
        <v>205</v>
      </c>
      <c r="T14" s="213" t="s">
        <v>205</v>
      </c>
      <c r="U14" s="213" t="s">
        <v>205</v>
      </c>
      <c r="V14" s="213" t="s">
        <v>205</v>
      </c>
    </row>
    <row r="15" spans="2:22" x14ac:dyDescent="0.3">
      <c r="B15" t="s">
        <v>53</v>
      </c>
      <c r="E15" s="213">
        <f>'Statements Summary 2023'!V15</f>
        <v>-16818</v>
      </c>
      <c r="F15" s="213">
        <f>'Statements Summary 2024'!V15</f>
        <v>-16818</v>
      </c>
      <c r="G15" s="213">
        <f t="shared" si="0"/>
        <v>0</v>
      </c>
      <c r="H15" s="213">
        <f>'Statements Summary 2026'!V15</f>
        <v>0</v>
      </c>
      <c r="I15" s="213">
        <f>'Statements Summary 2027'!V15</f>
        <v>0</v>
      </c>
      <c r="K15" s="213" t="s">
        <v>205</v>
      </c>
      <c r="L15" s="213">
        <f>'CF 2025'!H35</f>
        <v>0</v>
      </c>
      <c r="M15" s="213">
        <f>'CF 2025'!I35</f>
        <v>0</v>
      </c>
      <c r="N15" s="213">
        <f>'CF 2025'!J35</f>
        <v>0</v>
      </c>
      <c r="O15" s="213">
        <f>'CF 2025'!K35</f>
        <v>0</v>
      </c>
      <c r="P15" s="213">
        <f>'CF 2025'!L35</f>
        <v>0</v>
      </c>
      <c r="Q15" s="213">
        <f>'CF 2025'!M35</f>
        <v>0</v>
      </c>
      <c r="R15" s="213">
        <f>'CF 2025'!N35</f>
        <v>0</v>
      </c>
      <c r="S15" s="213">
        <f>'CF 2025'!O35</f>
        <v>0</v>
      </c>
      <c r="T15" s="213">
        <f>'CF 2025'!P35</f>
        <v>0</v>
      </c>
      <c r="U15" s="213">
        <f>'CF 2025'!Q35</f>
        <v>0</v>
      </c>
      <c r="V15" s="213">
        <f>'CF 2025'!R35</f>
        <v>0</v>
      </c>
    </row>
    <row r="16" spans="2:22" x14ac:dyDescent="0.3">
      <c r="B16" t="s">
        <v>210</v>
      </c>
      <c r="E16" s="213">
        <f>'Statements Summary 2023'!V16</f>
        <v>571786.75840000017</v>
      </c>
      <c r="F16" s="213">
        <f>'Statements Summary 2024'!V16</f>
        <v>625096.12240000011</v>
      </c>
      <c r="G16" s="213">
        <f t="shared" si="0"/>
        <v>715545.26939999999</v>
      </c>
      <c r="H16" s="213">
        <f>'Statements Summary 2026'!V16</f>
        <v>749123.89899999986</v>
      </c>
      <c r="I16" s="213">
        <f>'Statements Summary 2027'!V16</f>
        <v>840961.00200000009</v>
      </c>
      <c r="K16" s="213">
        <f>'CF 2025'!G24</f>
        <v>705039.67839999986</v>
      </c>
      <c r="L16" s="213">
        <f>'CF 2025'!H24</f>
        <v>714018.0976000001</v>
      </c>
      <c r="M16" s="213">
        <f>'CF 2025'!I24</f>
        <v>667811.83017142839</v>
      </c>
      <c r="N16" s="213">
        <f>'CF 2025'!J24</f>
        <v>685747.31328571425</v>
      </c>
      <c r="O16" s="213">
        <f>'CF 2025'!K24</f>
        <v>679728.07960000006</v>
      </c>
      <c r="P16" s="213">
        <f>'CF 2025'!L24</f>
        <v>684616.79731428577</v>
      </c>
      <c r="Q16" s="213">
        <f>'CF 2025'!M24</f>
        <v>704049.45022857166</v>
      </c>
      <c r="R16" s="213">
        <f>'CF 2025'!N24</f>
        <v>694394.23274285707</v>
      </c>
      <c r="S16" s="213">
        <f>'CF 2025'!O24</f>
        <v>721098.85325714271</v>
      </c>
      <c r="T16" s="213">
        <f>'CF 2025'!P24</f>
        <v>723543.21211428568</v>
      </c>
      <c r="U16" s="213">
        <f>'CF 2025'!Q24</f>
        <v>715308.28540000005</v>
      </c>
      <c r="V16" s="213">
        <f>'CF 2025'!R24</f>
        <v>715545.26939999999</v>
      </c>
    </row>
    <row r="17" spans="2:22" x14ac:dyDescent="0.3">
      <c r="B17" t="s">
        <v>54</v>
      </c>
      <c r="E17" s="213">
        <f>'Statements Summary 2023'!V17</f>
        <v>1148646.1168000004</v>
      </c>
      <c r="F17" s="213">
        <f>'Statements Summary 2024'!V17</f>
        <v>1295628.0448</v>
      </c>
      <c r="G17" s="213">
        <f t="shared" si="0"/>
        <v>1431090.5387999997</v>
      </c>
      <c r="H17" s="213">
        <f>'Statements Summary 2026'!V17</f>
        <v>1556320.7979999995</v>
      </c>
      <c r="I17" s="213">
        <f>'Statements Summary 2027'!V17</f>
        <v>1745895.0040000002</v>
      </c>
      <c r="K17" s="213">
        <f>'CF 2025'!G45+'CF 2025'!G22+'CF 2025'!G23</f>
        <v>1410079.3567999997</v>
      </c>
      <c r="L17" s="213">
        <f>'CF 2025'!H45+'CF 2025'!H22+'CF 2025'!H23</f>
        <v>1428036.1952000002</v>
      </c>
      <c r="M17" s="213">
        <f>'CF 2025'!I45+'CF 2025'!I22+'CF 2025'!I23</f>
        <v>1335623.6603428568</v>
      </c>
      <c r="N17" s="213">
        <f>'CF 2025'!J45+'CF 2025'!J22+'CF 2025'!J23</f>
        <v>1371494.6265714285</v>
      </c>
      <c r="O17" s="213">
        <f>'CF 2025'!K45+'CF 2025'!K22+'CF 2025'!K23</f>
        <v>1359456.1592000001</v>
      </c>
      <c r="P17" s="213">
        <f>'CF 2025'!L45+'CF 2025'!L22+'CF 2025'!L23</f>
        <v>1369233.5946285715</v>
      </c>
      <c r="Q17" s="213">
        <f>'CF 2025'!M45+'CF 2025'!M22+'CF 2025'!M23</f>
        <v>1408098.9004571433</v>
      </c>
      <c r="R17" s="213">
        <f>'CF 2025'!N45+'CF 2025'!N22+'CF 2025'!N23</f>
        <v>1388788.4654857141</v>
      </c>
      <c r="S17" s="213">
        <f>'CF 2025'!O45+'CF 2025'!O22+'CF 2025'!O23</f>
        <v>1442197.7065142854</v>
      </c>
      <c r="T17" s="213">
        <f>'CF 2025'!P45+'CF 2025'!P22+'CF 2025'!P23</f>
        <v>1447086.4242285714</v>
      </c>
      <c r="U17" s="213">
        <f>'CF 2025'!Q45+'CF 2025'!Q22+'CF 2025'!Q23</f>
        <v>1430616.5708000001</v>
      </c>
      <c r="V17" s="213">
        <f>'CF 2025'!R45+'CF 2025'!R22+'CF 2025'!R23</f>
        <v>1431090.5387999997</v>
      </c>
    </row>
    <row r="19" spans="2:22" x14ac:dyDescent="0.3">
      <c r="B19" s="183" t="s">
        <v>275</v>
      </c>
      <c r="C19" s="156"/>
      <c r="D19" s="156"/>
      <c r="E19" s="156"/>
      <c r="F19" s="156"/>
      <c r="G19" s="156"/>
      <c r="H19" s="156"/>
      <c r="I19" s="156"/>
      <c r="K19" s="387" t="s">
        <v>280</v>
      </c>
      <c r="L19" s="387"/>
      <c r="M19" s="387"/>
      <c r="N19" s="387"/>
      <c r="O19" s="387"/>
      <c r="P19" s="387"/>
      <c r="Q19" s="387"/>
      <c r="R19" s="387"/>
      <c r="S19" s="387"/>
      <c r="T19" s="387"/>
      <c r="U19" s="387"/>
      <c r="V19" s="387"/>
    </row>
    <row r="42" spans="2:22" x14ac:dyDescent="0.3">
      <c r="B42" s="183" t="s">
        <v>276</v>
      </c>
      <c r="C42" s="183"/>
      <c r="D42" s="183"/>
      <c r="E42" s="183"/>
      <c r="F42" s="156"/>
      <c r="G42" s="156"/>
      <c r="H42" s="156"/>
      <c r="I42" s="156"/>
      <c r="J42" s="156"/>
      <c r="K42" s="387" t="s">
        <v>281</v>
      </c>
      <c r="L42" s="387"/>
      <c r="M42" s="387"/>
      <c r="N42" s="387"/>
      <c r="O42" s="387"/>
      <c r="P42" s="387"/>
      <c r="Q42" s="387"/>
      <c r="R42" s="387"/>
      <c r="S42" s="387"/>
      <c r="T42" s="387"/>
      <c r="U42" s="387"/>
      <c r="V42" s="387"/>
    </row>
    <row r="44" spans="2:22" x14ac:dyDescent="0.3">
      <c r="B44" s="201" t="s">
        <v>27</v>
      </c>
      <c r="C44" s="201"/>
      <c r="D44" s="201"/>
      <c r="E44" s="202">
        <v>2023</v>
      </c>
      <c r="F44" s="202">
        <v>2024</v>
      </c>
      <c r="G44" s="202">
        <v>2025</v>
      </c>
      <c r="H44" s="202">
        <v>2026</v>
      </c>
      <c r="I44" s="202">
        <v>2027</v>
      </c>
      <c r="J44" s="201"/>
      <c r="K44" s="201" t="s">
        <v>32</v>
      </c>
      <c r="L44" s="201" t="s">
        <v>33</v>
      </c>
      <c r="M44" s="201" t="s">
        <v>34</v>
      </c>
      <c r="N44" s="201" t="s">
        <v>35</v>
      </c>
      <c r="O44" s="201" t="s">
        <v>36</v>
      </c>
      <c r="P44" s="201" t="s">
        <v>37</v>
      </c>
      <c r="Q44" s="201" t="s">
        <v>38</v>
      </c>
      <c r="R44" s="201" t="s">
        <v>39</v>
      </c>
      <c r="S44" s="201" t="s">
        <v>40</v>
      </c>
      <c r="T44" s="201" t="s">
        <v>41</v>
      </c>
      <c r="U44" s="201" t="s">
        <v>42</v>
      </c>
      <c r="V44" s="201" t="s">
        <v>43</v>
      </c>
    </row>
    <row r="45" spans="2:22" x14ac:dyDescent="0.3">
      <c r="B45" s="23" t="s">
        <v>2</v>
      </c>
      <c r="C45" s="23"/>
      <c r="D45" s="23"/>
      <c r="E45" s="203">
        <f>'Statements Summary 2023'!V44</f>
        <v>794028.94800000021</v>
      </c>
      <c r="F45" s="203">
        <f>'Statements Summary 2024'!V45</f>
        <v>860665.65300000017</v>
      </c>
      <c r="G45" s="203">
        <f t="shared" ref="G45:G65" si="1">V45</f>
        <v>880113.33675000002</v>
      </c>
      <c r="H45" s="203">
        <f>'Statements Summary 2026'!V45</f>
        <v>994677.8737499998</v>
      </c>
      <c r="I45" s="203">
        <f>'Statements Summary 2027'!V45</f>
        <v>1115374.2525000002</v>
      </c>
      <c r="K45" s="203">
        <f>'IS 2025'!F17</f>
        <v>864172.84799999977</v>
      </c>
      <c r="L45" s="203">
        <f>'IS 2025'!G17</f>
        <v>875395.87200000009</v>
      </c>
      <c r="M45" s="203">
        <f>'IS 2025'!H17</f>
        <v>817638.03771428554</v>
      </c>
      <c r="N45" s="203">
        <f>'IS 2025'!I17</f>
        <v>840057.39160714287</v>
      </c>
      <c r="O45" s="203">
        <f>'IS 2025'!J17</f>
        <v>832533.34950000001</v>
      </c>
      <c r="P45" s="203">
        <f>'IS 2025'!K17</f>
        <v>838644.24664285721</v>
      </c>
      <c r="Q45" s="203">
        <f>'IS 2025'!L17</f>
        <v>862935.06278571452</v>
      </c>
      <c r="R45" s="203">
        <f>'IS 2025'!M17</f>
        <v>850866.04092857137</v>
      </c>
      <c r="S45" s="203">
        <f>'IS 2025'!N17</f>
        <v>884246.81657142844</v>
      </c>
      <c r="T45" s="203">
        <f>'IS 2025'!O17</f>
        <v>887302.2651428571</v>
      </c>
      <c r="U45" s="203">
        <f>'IS 2025'!P17</f>
        <v>877008.60675000004</v>
      </c>
      <c r="V45" s="203">
        <f>'IS 2025'!Q17</f>
        <v>880113.33675000002</v>
      </c>
    </row>
    <row r="46" spans="2:22" x14ac:dyDescent="0.3">
      <c r="B46" t="s">
        <v>28</v>
      </c>
      <c r="E46" s="1">
        <f>'Statements Summary 2023'!V45</f>
        <v>7.095553453169369E-2</v>
      </c>
      <c r="F46" s="2">
        <f>'Statements Summary 2024'!V46</f>
        <v>4.0916530278233164E-3</v>
      </c>
      <c r="G46" s="2">
        <f t="shared" si="1"/>
        <v>3.5401362952473458E-3</v>
      </c>
      <c r="H46" s="2">
        <f>'Statements Summary 2026'!V46</f>
        <v>6.2819002748327451E-3</v>
      </c>
      <c r="I46" s="2">
        <f>'Statements Summary 2027'!V46</f>
        <v>5.5983205038490219E-3</v>
      </c>
      <c r="K46" s="2"/>
      <c r="L46" s="2">
        <f t="shared" ref="L46" si="2">(L45-K45)/K45</f>
        <v>1.2987012987013366E-2</v>
      </c>
      <c r="M46" s="2">
        <f>(M45-L45)/L45</f>
        <v>-6.5979102864349062E-2</v>
      </c>
      <c r="N46" s="2">
        <f>(N45-M45)/M45</f>
        <v>2.741965620328872E-2</v>
      </c>
      <c r="O46" s="2">
        <f t="shared" ref="O46:T46" si="3">(O45-N45)/N45</f>
        <v>-8.9565810411457152E-3</v>
      </c>
      <c r="P46" s="2">
        <f t="shared" si="3"/>
        <v>7.3401229470594275E-3</v>
      </c>
      <c r="Q46" s="2">
        <f t="shared" si="3"/>
        <v>2.8964386556152848E-2</v>
      </c>
      <c r="R46" s="2">
        <f t="shared" si="3"/>
        <v>-1.3986013986014317E-2</v>
      </c>
      <c r="S46" s="2">
        <f t="shared" si="3"/>
        <v>3.9231528862554904E-2</v>
      </c>
      <c r="T46" s="2">
        <f t="shared" si="3"/>
        <v>3.455425017277222E-3</v>
      </c>
      <c r="U46" s="2">
        <f>(U45-T45)/T45</f>
        <v>-1.1601073047187325E-2</v>
      </c>
      <c r="V46" s="2">
        <f t="shared" ref="V46" si="4">(V45-U45)/U45</f>
        <v>3.5401362952473458E-3</v>
      </c>
    </row>
    <row r="47" spans="2:22" x14ac:dyDescent="0.3">
      <c r="B47" t="s">
        <v>3</v>
      </c>
      <c r="E47" s="1">
        <f>'Statements Summary 2023'!V46</f>
        <v>-32544</v>
      </c>
      <c r="F47" s="1">
        <f>'Statements Summary 2024'!V47</f>
        <v>-32544</v>
      </c>
      <c r="G47" s="1">
        <f t="shared" si="1"/>
        <v>-32544</v>
      </c>
      <c r="H47" s="1">
        <f>'Statements Summary 2026'!V47</f>
        <v>-32544</v>
      </c>
      <c r="I47" s="1">
        <f>'Statements Summary 2027'!V47</f>
        <v>-38444</v>
      </c>
      <c r="K47" s="1">
        <f>'IS 2025'!F18</f>
        <v>-32544</v>
      </c>
      <c r="L47" s="1">
        <f>'IS 2025'!G18</f>
        <v>-32544</v>
      </c>
      <c r="M47" s="1">
        <f>'IS 2025'!H18</f>
        <v>-32544</v>
      </c>
      <c r="N47" s="1">
        <f>'IS 2025'!I18</f>
        <v>-32544</v>
      </c>
      <c r="O47" s="1">
        <f>'IS 2025'!J18</f>
        <v>-32544</v>
      </c>
      <c r="P47" s="1">
        <f>'IS 2025'!K18</f>
        <v>-32544</v>
      </c>
      <c r="Q47" s="1">
        <f>'IS 2025'!L18</f>
        <v>-32544</v>
      </c>
      <c r="R47" s="1">
        <f>'IS 2025'!M18</f>
        <v>-32544</v>
      </c>
      <c r="S47" s="1">
        <f>'IS 2025'!N18</f>
        <v>-32544</v>
      </c>
      <c r="T47" s="1">
        <f>'IS 2025'!O18</f>
        <v>-32544</v>
      </c>
      <c r="U47" s="1">
        <f>'IS 2025'!P18</f>
        <v>-32544</v>
      </c>
      <c r="V47" s="1">
        <f>'IS 2025'!Q18</f>
        <v>-32544</v>
      </c>
    </row>
    <row r="48" spans="2:22" x14ac:dyDescent="0.3">
      <c r="B48" t="s">
        <v>29</v>
      </c>
      <c r="E48" s="2">
        <f>'Statements Summary 2023'!V47</f>
        <v>-4.0985911259245417E-2</v>
      </c>
      <c r="F48" s="2">
        <f>'Statements Summary 2024'!V48</f>
        <v>-3.7812592946589903E-2</v>
      </c>
      <c r="G48" s="2">
        <f t="shared" si="1"/>
        <v>-3.6977055841666294E-2</v>
      </c>
      <c r="H48" s="2">
        <f>'Statements Summary 2026'!V48</f>
        <v>-3.2718130018623032E-2</v>
      </c>
      <c r="I48" s="2">
        <f>'Statements Summary 2027'!V48</f>
        <v>-3.4467354714197145E-2</v>
      </c>
      <c r="K48" s="2">
        <f>K47/K45</f>
        <v>-3.7659132747943046E-2</v>
      </c>
      <c r="L48" s="2">
        <f t="shared" ref="L48:V48" si="5">L47/L45</f>
        <v>-3.7176323353738633E-2</v>
      </c>
      <c r="M48" s="2">
        <f t="shared" si="5"/>
        <v>-3.9802453529408983E-2</v>
      </c>
      <c r="N48" s="2">
        <f t="shared" si="5"/>
        <v>-3.8740210282227204E-2</v>
      </c>
      <c r="O48" s="2">
        <f t="shared" si="5"/>
        <v>-3.9090325954564055E-2</v>
      </c>
      <c r="P48" s="2">
        <f t="shared" si="5"/>
        <v>-3.8805488895053614E-2</v>
      </c>
      <c r="Q48" s="2">
        <f t="shared" si="5"/>
        <v>-3.7713150622182307E-2</v>
      </c>
      <c r="R48" s="2">
        <f t="shared" si="5"/>
        <v>-3.8248088928879945E-2</v>
      </c>
      <c r="S48" s="2">
        <f t="shared" si="5"/>
        <v>-3.6804203747304226E-2</v>
      </c>
      <c r="T48" s="2">
        <f t="shared" si="5"/>
        <v>-3.6677467508504966E-2</v>
      </c>
      <c r="U48" s="2">
        <f t="shared" si="5"/>
        <v>-3.7107959659142764E-2</v>
      </c>
      <c r="V48" s="2">
        <f t="shared" si="5"/>
        <v>-3.6977055841666294E-2</v>
      </c>
    </row>
    <row r="49" spans="2:22" x14ac:dyDescent="0.3">
      <c r="B49" t="s">
        <v>4</v>
      </c>
      <c r="E49" s="1">
        <f>'Statements Summary 2023'!V48</f>
        <v>761484.94800000021</v>
      </c>
      <c r="F49" s="1">
        <f>'Statements Summary 2024'!V49</f>
        <v>828121.65300000017</v>
      </c>
      <c r="G49" s="1">
        <f t="shared" si="1"/>
        <v>847569.33675000002</v>
      </c>
      <c r="H49" s="1">
        <f>'Statements Summary 2026'!V49</f>
        <v>962133.8737499998</v>
      </c>
      <c r="I49" s="1">
        <f>'Statements Summary 2027'!V49</f>
        <v>1076930.2525000002</v>
      </c>
      <c r="K49" s="1">
        <f>'IS 2025'!F26</f>
        <v>831628.84799999977</v>
      </c>
      <c r="L49" s="1">
        <f>'IS 2025'!G26</f>
        <v>842851.87200000009</v>
      </c>
      <c r="M49" s="1">
        <f>'IS 2025'!H26</f>
        <v>785094.03771428554</v>
      </c>
      <c r="N49" s="1">
        <f>'IS 2025'!I26</f>
        <v>807513.39160714287</v>
      </c>
      <c r="O49" s="1">
        <f>'IS 2025'!J26</f>
        <v>799989.34950000001</v>
      </c>
      <c r="P49" s="1">
        <f>'IS 2025'!K26</f>
        <v>806100.24664285721</v>
      </c>
      <c r="Q49" s="1">
        <f>'IS 2025'!L26</f>
        <v>830391.06278571452</v>
      </c>
      <c r="R49" s="1">
        <f>'IS 2025'!M26</f>
        <v>818322.04092857137</v>
      </c>
      <c r="S49" s="1">
        <f>'IS 2025'!N26</f>
        <v>851702.81657142844</v>
      </c>
      <c r="T49" s="1">
        <f>'IS 2025'!O26</f>
        <v>854758.2651428571</v>
      </c>
      <c r="U49" s="1">
        <f>'IS 2025'!P26</f>
        <v>844464.60675000004</v>
      </c>
      <c r="V49" s="1">
        <f>'IS 2025'!Q26</f>
        <v>847569.33675000002</v>
      </c>
    </row>
    <row r="50" spans="2:22" x14ac:dyDescent="0.3">
      <c r="B50" t="s">
        <v>30</v>
      </c>
      <c r="E50" s="2">
        <f>'Statements Summary 2023'!V49</f>
        <v>0.95901408874075456</v>
      </c>
      <c r="F50" s="2">
        <f>'Statements Summary 2024'!V50</f>
        <v>0.9621874070534101</v>
      </c>
      <c r="G50" s="2">
        <f t="shared" si="1"/>
        <v>0.96302294415833367</v>
      </c>
      <c r="H50" s="2">
        <f>'Statements Summary 2026'!V50</f>
        <v>0.967281869981377</v>
      </c>
      <c r="I50" s="2">
        <f>'Statements Summary 2027'!V50</f>
        <v>0.96553264528580285</v>
      </c>
      <c r="K50" s="2">
        <f>K49/K45</f>
        <v>0.96234086725205692</v>
      </c>
      <c r="L50" s="2">
        <f t="shared" ref="L50:V50" si="6">L49/L45</f>
        <v>0.96282367664626134</v>
      </c>
      <c r="M50" s="2">
        <f t="shared" si="6"/>
        <v>0.96019754647059097</v>
      </c>
      <c r="N50" s="2">
        <f t="shared" si="6"/>
        <v>0.96125978971777282</v>
      </c>
      <c r="O50" s="2">
        <f t="shared" si="6"/>
        <v>0.96090967404543592</v>
      </c>
      <c r="P50" s="2">
        <f t="shared" si="6"/>
        <v>0.96119451110494636</v>
      </c>
      <c r="Q50" s="2">
        <f t="shared" si="6"/>
        <v>0.96228684937781772</v>
      </c>
      <c r="R50" s="2">
        <f t="shared" si="6"/>
        <v>0.96175191107112001</v>
      </c>
      <c r="S50" s="2">
        <f t="shared" si="6"/>
        <v>0.9631957962526958</v>
      </c>
      <c r="T50" s="2">
        <f t="shared" si="6"/>
        <v>0.96332253249149502</v>
      </c>
      <c r="U50" s="2">
        <f t="shared" si="6"/>
        <v>0.96289204034085729</v>
      </c>
      <c r="V50" s="2">
        <f t="shared" si="6"/>
        <v>0.96302294415833367</v>
      </c>
    </row>
    <row r="51" spans="2:22" x14ac:dyDescent="0.3">
      <c r="B51" t="s">
        <v>6</v>
      </c>
      <c r="E51" s="1">
        <f>'Statements Summary 2023'!V50</f>
        <v>-17479</v>
      </c>
      <c r="F51" s="1">
        <f>'Statements Summary 2024'!V51</f>
        <v>-17479</v>
      </c>
      <c r="G51" s="1">
        <f t="shared" si="1"/>
        <v>-17479</v>
      </c>
      <c r="H51" s="1">
        <f>'Statements Summary 2026'!V51</f>
        <v>-17479</v>
      </c>
      <c r="I51" s="1">
        <f>'Statements Summary 2027'!V51</f>
        <v>-17479</v>
      </c>
      <c r="K51" s="1">
        <f>'IS 2025'!F38</f>
        <v>-28713</v>
      </c>
      <c r="L51" s="1">
        <f>'IS 2025'!G38</f>
        <v>-28713</v>
      </c>
      <c r="M51" s="1">
        <f>'IS 2025'!H38</f>
        <v>-28713</v>
      </c>
      <c r="N51" s="1">
        <f>'IS 2025'!I38</f>
        <v>-28713</v>
      </c>
      <c r="O51" s="1">
        <f>'IS 2025'!J38</f>
        <v>-28713</v>
      </c>
      <c r="P51" s="1">
        <f>'IS 2025'!K38</f>
        <v>-28713</v>
      </c>
      <c r="Q51" s="1">
        <f>'IS 2025'!L38</f>
        <v>-28713</v>
      </c>
      <c r="R51" s="1">
        <f>'IS 2025'!M38</f>
        <v>-28713</v>
      </c>
      <c r="S51" s="1">
        <f>'IS 2025'!N38</f>
        <v>-28713</v>
      </c>
      <c r="T51" s="1">
        <f>'IS 2025'!O38</f>
        <v>-28713</v>
      </c>
      <c r="U51" s="1">
        <f>'IS 2025'!P38</f>
        <v>-28713</v>
      </c>
      <c r="V51" s="1">
        <f>'IS 2025'!Q38</f>
        <v>-17479</v>
      </c>
    </row>
    <row r="52" spans="2:22" x14ac:dyDescent="0.3">
      <c r="B52" t="s">
        <v>29</v>
      </c>
      <c r="E52" s="2">
        <f>'Statements Summary 2023'!V51</f>
        <v>-2.2013051342808218E-2</v>
      </c>
      <c r="F52" s="2">
        <f>'Statements Summary 2024'!V52</f>
        <v>-2.0308699364351184E-2</v>
      </c>
      <c r="G52" s="2">
        <f t="shared" si="1"/>
        <v>-1.9859942203063086E-2</v>
      </c>
      <c r="H52" s="2">
        <f>'Statements Summary 2026'!V52</f>
        <v>-1.7572523186931907E-2</v>
      </c>
      <c r="I52" s="2">
        <f>'Statements Summary 2027'!V52</f>
        <v>-1.5670973183057223E-2</v>
      </c>
      <c r="K52" s="2">
        <f>K51/K45</f>
        <v>-3.3225991844631535E-2</v>
      </c>
      <c r="L52" s="2">
        <f t="shared" ref="L52:V52" si="7">L51/L45</f>
        <v>-3.2800017590213171E-2</v>
      </c>
      <c r="M52" s="2">
        <f t="shared" si="7"/>
        <v>-3.5117006151361853E-2</v>
      </c>
      <c r="N52" s="2">
        <f t="shared" si="7"/>
        <v>-3.4179807578465761E-2</v>
      </c>
      <c r="O52" s="2">
        <f t="shared" si="7"/>
        <v>-3.4488708491070483E-2</v>
      </c>
      <c r="P52" s="2">
        <f t="shared" si="7"/>
        <v>-3.4237401752816941E-2</v>
      </c>
      <c r="Q52" s="2">
        <f t="shared" si="7"/>
        <v>-3.3273650866971503E-2</v>
      </c>
      <c r="R52" s="2">
        <f t="shared" si="7"/>
        <v>-3.3745617545935649E-2</v>
      </c>
      <c r="S52" s="2">
        <f t="shared" si="7"/>
        <v>-3.2471702992758922E-2</v>
      </c>
      <c r="T52" s="2">
        <f t="shared" si="7"/>
        <v>-3.2359885833692939E-2</v>
      </c>
      <c r="U52" s="2">
        <f t="shared" si="7"/>
        <v>-3.2739701502364986E-2</v>
      </c>
      <c r="V52" s="2">
        <f t="shared" si="7"/>
        <v>-1.9859942203063086E-2</v>
      </c>
    </row>
    <row r="53" spans="2:22" x14ac:dyDescent="0.3">
      <c r="B53" t="s">
        <v>206</v>
      </c>
      <c r="E53" s="1">
        <f>'Statements Summary 2023'!V52</f>
        <v>-45063</v>
      </c>
      <c r="F53" s="1">
        <f>'Statements Summary 2024'!V53</f>
        <v>-45063</v>
      </c>
      <c r="G53" s="1">
        <f t="shared" si="1"/>
        <v>-45063</v>
      </c>
      <c r="H53" s="1">
        <f>'Statements Summary 2026'!V53</f>
        <v>-45063</v>
      </c>
      <c r="I53" s="1">
        <f>'Statements Summary 2027'!V53</f>
        <v>-45063</v>
      </c>
      <c r="K53" s="1">
        <f>'IS 2025'!F39</f>
        <v>-45063</v>
      </c>
      <c r="L53" s="1">
        <f>'IS 2025'!G39</f>
        <v>-45063</v>
      </c>
      <c r="M53" s="1">
        <f>'IS 2025'!H39</f>
        <v>-45063</v>
      </c>
      <c r="N53" s="1">
        <f>'IS 2025'!I39</f>
        <v>-45063</v>
      </c>
      <c r="O53" s="1">
        <f>'IS 2025'!J39</f>
        <v>-45063</v>
      </c>
      <c r="P53" s="1">
        <f>'IS 2025'!K39</f>
        <v>-45063</v>
      </c>
      <c r="Q53" s="1">
        <f>'IS 2025'!L39</f>
        <v>-45063</v>
      </c>
      <c r="R53" s="1">
        <f>'IS 2025'!M39</f>
        <v>-45063</v>
      </c>
      <c r="S53" s="1">
        <f>'IS 2025'!N39</f>
        <v>-45063</v>
      </c>
      <c r="T53" s="1">
        <f>'IS 2025'!O39</f>
        <v>-45063</v>
      </c>
      <c r="U53" s="1">
        <f>'IS 2025'!P39</f>
        <v>-45063</v>
      </c>
      <c r="V53" s="1">
        <f>'IS 2025'!Q39</f>
        <v>-45063</v>
      </c>
    </row>
    <row r="54" spans="2:22" x14ac:dyDescent="0.3">
      <c r="B54" t="s">
        <v>29</v>
      </c>
      <c r="E54" s="2">
        <f>'Statements Summary 2023'!V53</f>
        <v>-5.6752338958805805E-2</v>
      </c>
      <c r="F54" s="2">
        <f>'Statements Summary 2024'!V54</f>
        <v>-5.2358311085059638E-2</v>
      </c>
      <c r="G54" s="2">
        <f t="shared" si="1"/>
        <v>-5.1201360232086039E-2</v>
      </c>
      <c r="H54" s="2">
        <f>'Statements Summary 2026'!V54</f>
        <v>-4.5304114215499319E-2</v>
      </c>
      <c r="I54" s="2">
        <f>'Statements Summary 2027'!V54</f>
        <v>-4.040168571131688E-2</v>
      </c>
      <c r="K54" s="2">
        <f>K53/K45</f>
        <v>-5.2145817939422245E-2</v>
      </c>
      <c r="L54" s="2">
        <f t="shared" ref="L54:V54" si="8">L53/L45</f>
        <v>-5.1477281811993736E-2</v>
      </c>
      <c r="M54" s="2">
        <f t="shared" si="8"/>
        <v>-5.5113629652032849E-2</v>
      </c>
      <c r="N54" s="2">
        <f t="shared" si="8"/>
        <v>-5.3642763518559622E-2</v>
      </c>
      <c r="O54" s="2">
        <f t="shared" si="8"/>
        <v>-5.4127561408877832E-2</v>
      </c>
      <c r="P54" s="2">
        <f t="shared" si="8"/>
        <v>-5.3733153456176283E-2</v>
      </c>
      <c r="Q54" s="2">
        <f t="shared" si="8"/>
        <v>-5.2220615366500779E-2</v>
      </c>
      <c r="R54" s="2">
        <f t="shared" si="8"/>
        <v>-5.2961333314961806E-2</v>
      </c>
      <c r="S54" s="2">
        <f t="shared" si="8"/>
        <v>-5.0962015531734586E-2</v>
      </c>
      <c r="T54" s="2">
        <f t="shared" si="8"/>
        <v>-5.0786526497534394E-2</v>
      </c>
      <c r="U54" s="2">
        <f t="shared" si="8"/>
        <v>-5.1382620025809685E-2</v>
      </c>
      <c r="V54" s="2">
        <f t="shared" si="8"/>
        <v>-5.1201360232086039E-2</v>
      </c>
    </row>
    <row r="55" spans="2:22" x14ac:dyDescent="0.3">
      <c r="B55" t="s">
        <v>31</v>
      </c>
      <c r="E55" s="1">
        <f>'Statements Summary 2023'!V54</f>
        <v>-8250</v>
      </c>
      <c r="F55" s="1">
        <f>'Statements Summary 2024'!V55</f>
        <v>-8250</v>
      </c>
      <c r="G55" s="1">
        <f t="shared" si="1"/>
        <v>-8250</v>
      </c>
      <c r="H55" s="1">
        <f>'Statements Summary 2026'!V55</f>
        <v>-8250</v>
      </c>
      <c r="I55" s="1">
        <f>'Statements Summary 2027'!V55</f>
        <v>-8250</v>
      </c>
      <c r="K55" s="1">
        <f>'IS 2025'!F58</f>
        <v>-8250</v>
      </c>
      <c r="L55" s="1">
        <f>'IS 2025'!G58</f>
        <v>-8250</v>
      </c>
      <c r="M55" s="1">
        <f>'IS 2025'!H58</f>
        <v>-8250</v>
      </c>
      <c r="N55" s="1">
        <f>'IS 2025'!I58</f>
        <v>-8250</v>
      </c>
      <c r="O55" s="1">
        <f>'IS 2025'!J58</f>
        <v>-8250</v>
      </c>
      <c r="P55" s="1">
        <f>'IS 2025'!K58</f>
        <v>-8250</v>
      </c>
      <c r="Q55" s="1">
        <f>'IS 2025'!L58</f>
        <v>-8250</v>
      </c>
      <c r="R55" s="1">
        <f>'IS 2025'!M58</f>
        <v>-8250</v>
      </c>
      <c r="S55" s="1">
        <f>'IS 2025'!N58</f>
        <v>-8250</v>
      </c>
      <c r="T55" s="1">
        <f>'IS 2025'!O58</f>
        <v>-8250</v>
      </c>
      <c r="U55" s="1">
        <f>'IS 2025'!P58</f>
        <v>-8250</v>
      </c>
      <c r="V55" s="1">
        <f>'IS 2025'!Q58</f>
        <v>-8250</v>
      </c>
    </row>
    <row r="56" spans="2:22" x14ac:dyDescent="0.3">
      <c r="B56" t="s">
        <v>29</v>
      </c>
      <c r="E56" s="2">
        <f>'Statements Summary 2023'!V55</f>
        <v>-1.0390049406611807E-2</v>
      </c>
      <c r="F56" s="2">
        <f>'Statements Summary 2024'!V56</f>
        <v>-9.5856038535326541E-3</v>
      </c>
      <c r="G56" s="2">
        <f t="shared" si="1"/>
        <v>-9.3737927327232941E-3</v>
      </c>
      <c r="H56" s="2">
        <f>'Statements Summary 2026'!V56</f>
        <v>-8.294142473378811E-3</v>
      </c>
      <c r="I56" s="2">
        <f>'Statements Summary 2027'!V56</f>
        <v>-7.3966204451182621E-3</v>
      </c>
      <c r="K56" s="2">
        <f>K55/K45</f>
        <v>-9.546701240490724E-3</v>
      </c>
      <c r="L56" s="2">
        <f t="shared" ref="L56:V56" si="9">L55/L45</f>
        <v>-9.4243076348434034E-3</v>
      </c>
      <c r="M56" s="2">
        <f t="shared" si="9"/>
        <v>-1.0090039381072521E-2</v>
      </c>
      <c r="N56" s="2">
        <f t="shared" si="9"/>
        <v>-9.8207575844510338E-3</v>
      </c>
      <c r="O56" s="2">
        <f t="shared" si="9"/>
        <v>-9.9095129401780193E-3</v>
      </c>
      <c r="P56" s="2">
        <f t="shared" si="9"/>
        <v>-9.8373059053648085E-3</v>
      </c>
      <c r="Q56" s="2">
        <f t="shared" si="9"/>
        <v>-9.5603949309551392E-3</v>
      </c>
      <c r="R56" s="2">
        <f t="shared" si="9"/>
        <v>-9.6960033696920946E-3</v>
      </c>
      <c r="S56" s="2">
        <f t="shared" si="9"/>
        <v>-9.3299742169143281E-3</v>
      </c>
      <c r="T56" s="2">
        <f t="shared" si="9"/>
        <v>-9.2978462065255035E-3</v>
      </c>
      <c r="U56" s="2">
        <f t="shared" si="9"/>
        <v>-9.4069772366005347E-3</v>
      </c>
      <c r="V56" s="2">
        <f t="shared" si="9"/>
        <v>-9.3737927327232941E-3</v>
      </c>
    </row>
    <row r="57" spans="2:22" x14ac:dyDescent="0.3">
      <c r="B57" s="23" t="s">
        <v>10</v>
      </c>
      <c r="C57" s="23"/>
      <c r="D57" s="23"/>
      <c r="E57" s="203">
        <f>'Statements Summary 2023'!V56</f>
        <v>735755.94800000021</v>
      </c>
      <c r="F57" s="203">
        <f>'Statements Summary 2024'!V57</f>
        <v>802392.65300000017</v>
      </c>
      <c r="G57" s="203">
        <f t="shared" si="1"/>
        <v>821840.33675000002</v>
      </c>
      <c r="H57" s="203">
        <f>'Statements Summary 2026'!V57</f>
        <v>936404.8737499998</v>
      </c>
      <c r="I57" s="203">
        <f>'Statements Summary 2027'!V57</f>
        <v>1051201.2525000002</v>
      </c>
      <c r="K57" s="203">
        <f>'IS 2025'!F59</f>
        <v>794665.84799999977</v>
      </c>
      <c r="L57" s="203">
        <f>'IS 2025'!G59</f>
        <v>805888.87200000009</v>
      </c>
      <c r="M57" s="203">
        <f>'IS 2025'!H59</f>
        <v>748131.03771428554</v>
      </c>
      <c r="N57" s="203">
        <f>'IS 2025'!I59</f>
        <v>770550.39160714287</v>
      </c>
      <c r="O57" s="203">
        <f>'IS 2025'!J59</f>
        <v>763026.34950000001</v>
      </c>
      <c r="P57" s="203">
        <f>'IS 2025'!K59</f>
        <v>769137.24664285721</v>
      </c>
      <c r="Q57" s="203">
        <f>'IS 2025'!L59</f>
        <v>793428.06278571452</v>
      </c>
      <c r="R57" s="203">
        <f>'IS 2025'!M59</f>
        <v>781359.04092857137</v>
      </c>
      <c r="S57" s="203">
        <f>'IS 2025'!N59</f>
        <v>814739.81657142844</v>
      </c>
      <c r="T57" s="203">
        <f>'IS 2025'!O59</f>
        <v>817795.2651428571</v>
      </c>
      <c r="U57" s="203">
        <f>'IS 2025'!P59</f>
        <v>807501.60675000004</v>
      </c>
      <c r="V57" s="203">
        <f>'IS 2025'!Q59</f>
        <v>821840.33675000002</v>
      </c>
    </row>
    <row r="58" spans="2:22" x14ac:dyDescent="0.3">
      <c r="B58" t="s">
        <v>22</v>
      </c>
      <c r="E58" s="2">
        <f>'Statements Summary 2023'!V57</f>
        <v>0.92661098799133457</v>
      </c>
      <c r="F58" s="2">
        <f>'Statements Summary 2024'!V58</f>
        <v>0.93229310383552622</v>
      </c>
      <c r="G58" s="2">
        <f t="shared" si="1"/>
        <v>0.93378920922254738</v>
      </c>
      <c r="H58" s="2">
        <f>'Statements Summary 2026'!V58</f>
        <v>0.94141520432106629</v>
      </c>
      <c r="I58" s="2">
        <f>'Statements Summary 2027'!V58</f>
        <v>0.9424650516576274</v>
      </c>
      <c r="K58" s="2">
        <f>K57/K45</f>
        <v>0.9195681741669347</v>
      </c>
      <c r="L58" s="2">
        <f t="shared" ref="L58:V58" si="10">L57/L45</f>
        <v>0.92059935142120475</v>
      </c>
      <c r="M58" s="2">
        <f t="shared" si="10"/>
        <v>0.91499050093815659</v>
      </c>
      <c r="N58" s="2">
        <f t="shared" si="10"/>
        <v>0.91725922455485598</v>
      </c>
      <c r="O58" s="2">
        <f t="shared" si="10"/>
        <v>0.91651145261418743</v>
      </c>
      <c r="P58" s="2">
        <f t="shared" si="10"/>
        <v>0.91711980344676469</v>
      </c>
      <c r="Q58" s="2">
        <f t="shared" si="10"/>
        <v>0.91945280357989101</v>
      </c>
      <c r="R58" s="2">
        <f t="shared" si="10"/>
        <v>0.91831029015549226</v>
      </c>
      <c r="S58" s="2">
        <f t="shared" si="10"/>
        <v>0.92139411904302249</v>
      </c>
      <c r="T58" s="2">
        <f t="shared" si="10"/>
        <v>0.92166480045127663</v>
      </c>
      <c r="U58" s="2">
        <f t="shared" si="10"/>
        <v>0.92074536160189169</v>
      </c>
      <c r="V58" s="2">
        <f t="shared" si="10"/>
        <v>0.93378920922254738</v>
      </c>
    </row>
    <row r="59" spans="2:22" x14ac:dyDescent="0.3">
      <c r="B59" t="s">
        <v>11</v>
      </c>
      <c r="E59" s="1">
        <f>'Statements Summary 2023'!V58</f>
        <v>-1711</v>
      </c>
      <c r="F59" s="1">
        <f>'Statements Summary 2024'!V59</f>
        <v>-1850</v>
      </c>
      <c r="G59" s="1">
        <f t="shared" si="1"/>
        <v>-1911</v>
      </c>
      <c r="H59" s="1">
        <f>'Statements Summary 2026'!V59</f>
        <v>-1756</v>
      </c>
      <c r="I59" s="1">
        <f>'Statements Summary 2027'!V59</f>
        <v>-1800</v>
      </c>
      <c r="K59">
        <f>'IS 2025'!F60</f>
        <v>-1850</v>
      </c>
      <c r="L59">
        <f>'IS 2025'!G60</f>
        <v>-1850</v>
      </c>
      <c r="M59">
        <f>'IS 2025'!H60</f>
        <v>-1850</v>
      </c>
      <c r="N59">
        <f>'IS 2025'!I60</f>
        <v>-1711</v>
      </c>
      <c r="O59">
        <f>'IS 2025'!J60</f>
        <v>-1711</v>
      </c>
      <c r="P59">
        <f>'IS 2025'!K60</f>
        <v>-1711</v>
      </c>
      <c r="Q59">
        <f>'IS 2025'!L60</f>
        <v>-1711</v>
      </c>
      <c r="R59">
        <f>'IS 2025'!M60</f>
        <v>-1711</v>
      </c>
      <c r="S59">
        <f>'IS 2025'!N60</f>
        <v>-1711</v>
      </c>
      <c r="T59">
        <f>'IS 2025'!O60</f>
        <v>-1711</v>
      </c>
      <c r="U59">
        <f>'IS 2025'!P60</f>
        <v>-1711</v>
      </c>
      <c r="V59">
        <f>'IS 2025'!Q60</f>
        <v>-1911</v>
      </c>
    </row>
    <row r="60" spans="2:22" x14ac:dyDescent="0.3">
      <c r="B60" t="s">
        <v>12</v>
      </c>
      <c r="E60" s="1">
        <f>'Statements Summary 2023'!V59</f>
        <v>734044.94800000021</v>
      </c>
      <c r="F60" s="1">
        <f>'Statements Summary 2024'!V60</f>
        <v>800542.65300000017</v>
      </c>
      <c r="G60" s="1">
        <f t="shared" si="1"/>
        <v>823751.33675000002</v>
      </c>
      <c r="H60" s="1">
        <f>'Statements Summary 2026'!V60</f>
        <v>934648.8737499998</v>
      </c>
      <c r="I60" s="1">
        <f>'Statements Summary 2027'!V60</f>
        <v>1049401.2525000002</v>
      </c>
      <c r="K60" s="1">
        <f>'IS 2025'!F61</f>
        <v>792815.84799999977</v>
      </c>
      <c r="L60" s="1">
        <f>'IS 2025'!G61</f>
        <v>804038.87200000009</v>
      </c>
      <c r="M60" s="1">
        <f>'IS 2025'!H61</f>
        <v>746281.03771428554</v>
      </c>
      <c r="N60" s="1">
        <f>'IS 2025'!I61</f>
        <v>772261.39160714287</v>
      </c>
      <c r="O60" s="1">
        <f>'IS 2025'!J61</f>
        <v>764737.34950000001</v>
      </c>
      <c r="P60" s="1">
        <f>'IS 2025'!K61</f>
        <v>770848.24664285721</v>
      </c>
      <c r="Q60" s="1">
        <f>'IS 2025'!L61</f>
        <v>795139.06278571452</v>
      </c>
      <c r="R60" s="1">
        <f>'IS 2025'!M61</f>
        <v>783070.04092857137</v>
      </c>
      <c r="S60" s="1">
        <f>'IS 2025'!N61</f>
        <v>816450.81657142844</v>
      </c>
      <c r="T60" s="1">
        <f>'IS 2025'!O61</f>
        <v>819506.2651428571</v>
      </c>
      <c r="U60" s="1">
        <f>'IS 2025'!P61</f>
        <v>809212.60675000004</v>
      </c>
      <c r="V60" s="1">
        <f>'IS 2025'!Q61</f>
        <v>823751.33675000002</v>
      </c>
    </row>
    <row r="61" spans="2:22" x14ac:dyDescent="0.3">
      <c r="B61" t="s">
        <v>13</v>
      </c>
      <c r="E61" s="1">
        <f>'Statements Summary 2023'!V60</f>
        <v>-53000.4</v>
      </c>
      <c r="F61" s="1">
        <f>'Statements Summary 2024'!V61</f>
        <v>-12637.2</v>
      </c>
      <c r="G61" s="1">
        <f t="shared" si="1"/>
        <v>0</v>
      </c>
      <c r="H61" s="1">
        <f>'Statements Summary 2026'!V61</f>
        <v>0</v>
      </c>
      <c r="I61" s="1">
        <f>'Statements Summary 2027'!V61</f>
        <v>0</v>
      </c>
      <c r="K61" s="3">
        <f>'IS 2025'!F62</f>
        <v>0</v>
      </c>
      <c r="L61" s="3">
        <f>'IS 2025'!G62</f>
        <v>0</v>
      </c>
      <c r="M61" s="3">
        <f>'IS 2025'!H62</f>
        <v>0</v>
      </c>
      <c r="N61" s="3">
        <f>'IS 2025'!I62</f>
        <v>0</v>
      </c>
      <c r="O61" s="3">
        <f>'IS 2025'!J62</f>
        <v>0</v>
      </c>
      <c r="P61" s="3">
        <f>'IS 2025'!K62</f>
        <v>0</v>
      </c>
      <c r="Q61" s="3">
        <f>'IS 2025'!L62</f>
        <v>0</v>
      </c>
      <c r="R61" s="3">
        <f>'IS 2025'!M62</f>
        <v>0</v>
      </c>
      <c r="S61" s="3">
        <f>'IS 2025'!N62</f>
        <v>0</v>
      </c>
      <c r="T61" s="3">
        <f>'IS 2025'!O62</f>
        <v>0</v>
      </c>
      <c r="U61" s="3">
        <f>'IS 2025'!P62</f>
        <v>0</v>
      </c>
      <c r="V61" s="3">
        <f>'IS 2025'!Q62</f>
        <v>0</v>
      </c>
    </row>
    <row r="62" spans="2:22" x14ac:dyDescent="0.3">
      <c r="B62" t="s">
        <v>14</v>
      </c>
      <c r="E62" s="1">
        <f>'Statements Summary 2023'!V61</f>
        <v>735755.94800000021</v>
      </c>
      <c r="F62" s="1">
        <f>'Statements Summary 2024'!V62</f>
        <v>802392.65300000017</v>
      </c>
      <c r="G62" s="1">
        <f t="shared" si="1"/>
        <v>821840.33675000002</v>
      </c>
      <c r="H62" s="1">
        <f>'Statements Summary 2026'!V62</f>
        <v>936404.8737499998</v>
      </c>
      <c r="I62" s="1">
        <f>'Statements Summary 2027'!V62</f>
        <v>1051201.2525000002</v>
      </c>
      <c r="K62" s="1">
        <f>'IS 2025'!F63</f>
        <v>794665.84799999977</v>
      </c>
      <c r="L62" s="1">
        <f>'IS 2025'!G63</f>
        <v>805888.87200000009</v>
      </c>
      <c r="M62" s="1">
        <f>'IS 2025'!H63</f>
        <v>748131.03771428554</v>
      </c>
      <c r="N62" s="1">
        <f>'IS 2025'!I63</f>
        <v>770550.39160714287</v>
      </c>
      <c r="O62" s="1">
        <f>'IS 2025'!J63</f>
        <v>763026.34950000001</v>
      </c>
      <c r="P62" s="1">
        <f>'IS 2025'!K63</f>
        <v>769137.24664285721</v>
      </c>
      <c r="Q62" s="1">
        <f>'IS 2025'!L63</f>
        <v>793428.06278571452</v>
      </c>
      <c r="R62" s="1">
        <f>'IS 2025'!M63</f>
        <v>781359.04092857137</v>
      </c>
      <c r="S62" s="1">
        <f>'IS 2025'!N63</f>
        <v>814739.81657142844</v>
      </c>
      <c r="T62" s="1">
        <f>'IS 2025'!O63</f>
        <v>817795.2651428571</v>
      </c>
      <c r="U62" s="1">
        <f>'IS 2025'!P63</f>
        <v>807501.60675000004</v>
      </c>
      <c r="V62" s="1">
        <f>'IS 2025'!Q63</f>
        <v>821840.33675000002</v>
      </c>
    </row>
    <row r="63" spans="2:22" x14ac:dyDescent="0.3">
      <c r="B63" t="s">
        <v>15</v>
      </c>
      <c r="E63" s="1">
        <f>'Statements Summary 2023'!V62</f>
        <v>-147151.18960000004</v>
      </c>
      <c r="F63" s="1">
        <f>'Statements Summary 2024'!V63</f>
        <v>-160478.53060000006</v>
      </c>
      <c r="G63" s="1">
        <f t="shared" si="1"/>
        <v>-164368.06735000003</v>
      </c>
      <c r="H63" s="1">
        <f>'Statements Summary 2026'!V63</f>
        <v>-187280.97474999996</v>
      </c>
      <c r="I63" s="1">
        <f>'Statements Summary 2027'!V63</f>
        <v>-187280.97474999996</v>
      </c>
      <c r="K63" s="1">
        <f>'IS 2025'!F64</f>
        <v>-158933.16959999996</v>
      </c>
      <c r="L63" s="1">
        <f>'IS 2025'!G64</f>
        <v>-161177.77440000002</v>
      </c>
      <c r="M63" s="1">
        <f>'IS 2025'!H64</f>
        <v>-149626.20754285713</v>
      </c>
      <c r="N63" s="1">
        <f>'IS 2025'!I64</f>
        <v>-154110.07832142859</v>
      </c>
      <c r="O63" s="1">
        <f>'IS 2025'!J64</f>
        <v>-152605.26990000001</v>
      </c>
      <c r="P63" s="1">
        <f>'IS 2025'!K64</f>
        <v>-153827.44932857144</v>
      </c>
      <c r="Q63" s="1">
        <f>'IS 2025'!L64</f>
        <v>-158685.61255714291</v>
      </c>
      <c r="R63" s="1">
        <f>'IS 2025'!M64</f>
        <v>-156271.80818571427</v>
      </c>
      <c r="S63" s="1">
        <f>'IS 2025'!N64</f>
        <v>-162947.96331428571</v>
      </c>
      <c r="T63" s="1">
        <f>'IS 2025'!O64</f>
        <v>-163559.05302857142</v>
      </c>
      <c r="U63" s="1">
        <f>'IS 2025'!P64</f>
        <v>-161500.32135000001</v>
      </c>
      <c r="V63" s="1">
        <f>'IS 2025'!Q64</f>
        <v>-164368.06735000003</v>
      </c>
    </row>
    <row r="64" spans="2:22" x14ac:dyDescent="0.3">
      <c r="B64" s="23" t="s">
        <v>16</v>
      </c>
      <c r="C64" s="23"/>
      <c r="D64" s="23"/>
      <c r="E64" s="203">
        <f>'Statements Summary 2023'!V63</f>
        <v>588604.75840000017</v>
      </c>
      <c r="F64" s="203">
        <f>'Statements Summary 2024'!V64</f>
        <v>641914.12240000011</v>
      </c>
      <c r="G64" s="203">
        <f t="shared" si="1"/>
        <v>657472.26939999999</v>
      </c>
      <c r="H64" s="203">
        <f>'Statements Summary 2026'!V64</f>
        <v>749123.89899999986</v>
      </c>
      <c r="I64" s="203">
        <f>'Statements Summary 2027'!V64</f>
        <v>840961.00200000009</v>
      </c>
      <c r="K64" s="203">
        <f>'IS 2025'!F65</f>
        <v>635732.67839999986</v>
      </c>
      <c r="L64" s="203">
        <f>'IS 2025'!G65</f>
        <v>644711.0976000001</v>
      </c>
      <c r="M64" s="203">
        <f>'IS 2025'!H65</f>
        <v>598504.83017142839</v>
      </c>
      <c r="N64" s="203">
        <f>'IS 2025'!I65</f>
        <v>616440.31328571425</v>
      </c>
      <c r="O64" s="203">
        <f>'IS 2025'!J65</f>
        <v>610421.07960000006</v>
      </c>
      <c r="P64" s="203">
        <f>'IS 2025'!K65</f>
        <v>615309.79731428577</v>
      </c>
      <c r="Q64" s="203">
        <f>'IS 2025'!L65</f>
        <v>634742.45022857166</v>
      </c>
      <c r="R64" s="203">
        <f>'IS 2025'!M65</f>
        <v>625087.23274285707</v>
      </c>
      <c r="S64" s="203">
        <f>'IS 2025'!N65</f>
        <v>651791.85325714271</v>
      </c>
      <c r="T64" s="203">
        <f>'IS 2025'!O65</f>
        <v>654236.21211428568</v>
      </c>
      <c r="U64" s="203">
        <f>'IS 2025'!P65</f>
        <v>646001.28540000005</v>
      </c>
      <c r="V64" s="203">
        <f>'IS 2025'!Q65</f>
        <v>657472.26939999999</v>
      </c>
    </row>
    <row r="65" spans="2:22" x14ac:dyDescent="0.3">
      <c r="B65" t="s">
        <v>17</v>
      </c>
      <c r="E65" s="2">
        <f>'Statements Summary 2023'!V64</f>
        <v>0.74128879039306761</v>
      </c>
      <c r="F65" s="2">
        <f>'Statements Summary 2024'!V65</f>
        <v>0.74583448306842093</v>
      </c>
      <c r="G65" s="2">
        <f t="shared" si="1"/>
        <v>0.74703136737803788</v>
      </c>
      <c r="H65" s="2">
        <f>'Statements Summary 2026'!V65</f>
        <v>0.75313216345685308</v>
      </c>
      <c r="I65" s="2">
        <f>'Statements Summary 2027'!V65</f>
        <v>0.75397204132610185</v>
      </c>
      <c r="K65" s="2">
        <f>K64/K45</f>
        <v>0.73565453933354785</v>
      </c>
      <c r="L65" s="2">
        <f t="shared" ref="L65:V65" si="11">L64/L45</f>
        <v>0.73647948113696382</v>
      </c>
      <c r="M65" s="2">
        <f t="shared" si="11"/>
        <v>0.7319924007505253</v>
      </c>
      <c r="N65" s="2">
        <f t="shared" si="11"/>
        <v>0.73380737964388476</v>
      </c>
      <c r="O65" s="2">
        <f t="shared" si="11"/>
        <v>0.73320916209135001</v>
      </c>
      <c r="P65" s="2">
        <f t="shared" si="11"/>
        <v>0.73369584275741173</v>
      </c>
      <c r="Q65" s="2">
        <f t="shared" si="11"/>
        <v>0.73556224286391292</v>
      </c>
      <c r="R65" s="2">
        <f t="shared" si="11"/>
        <v>0.73464823212439379</v>
      </c>
      <c r="S65" s="2">
        <f t="shared" si="11"/>
        <v>0.73711529523441799</v>
      </c>
      <c r="T65" s="2">
        <f t="shared" si="11"/>
        <v>0.73733184036102128</v>
      </c>
      <c r="U65" s="2">
        <f t="shared" si="11"/>
        <v>0.73659628928151344</v>
      </c>
      <c r="V65" s="2">
        <f t="shared" si="11"/>
        <v>0.74703136737803788</v>
      </c>
    </row>
    <row r="67" spans="2:22" x14ac:dyDescent="0.3">
      <c r="B67" s="183" t="s">
        <v>276</v>
      </c>
      <c r="C67" s="156"/>
      <c r="D67" s="156"/>
      <c r="E67" s="156"/>
      <c r="F67" s="156"/>
      <c r="G67" s="156"/>
      <c r="H67" s="156"/>
      <c r="I67" s="156"/>
      <c r="K67" s="387" t="s">
        <v>281</v>
      </c>
      <c r="L67" s="387"/>
      <c r="M67" s="387"/>
      <c r="N67" s="387"/>
      <c r="O67" s="387"/>
      <c r="P67" s="387"/>
      <c r="Q67" s="387"/>
      <c r="R67" s="387"/>
      <c r="S67" s="387"/>
      <c r="T67" s="387"/>
      <c r="U67" s="387"/>
      <c r="V67" s="387"/>
    </row>
    <row r="85" spans="2:22" x14ac:dyDescent="0.3">
      <c r="B85" s="183" t="s">
        <v>277</v>
      </c>
      <c r="C85" s="183"/>
      <c r="D85" s="183"/>
      <c r="E85" s="183"/>
      <c r="F85" s="156"/>
      <c r="G85" s="156"/>
      <c r="H85" s="156"/>
      <c r="I85" s="156"/>
      <c r="J85" s="156"/>
      <c r="K85" s="387" t="s">
        <v>282</v>
      </c>
      <c r="L85" s="387"/>
      <c r="M85" s="387"/>
      <c r="N85" s="387"/>
      <c r="O85" s="387"/>
      <c r="P85" s="387"/>
      <c r="Q85" s="387"/>
      <c r="R85" s="387"/>
      <c r="S85" s="387"/>
      <c r="T85" s="387"/>
      <c r="U85" s="387"/>
      <c r="V85" s="387"/>
    </row>
    <row r="87" spans="2:22" x14ac:dyDescent="0.3">
      <c r="B87" s="201" t="s">
        <v>27</v>
      </c>
      <c r="C87" s="201"/>
      <c r="D87" s="201"/>
      <c r="E87" s="202">
        <v>2023</v>
      </c>
      <c r="F87" s="202">
        <v>2024</v>
      </c>
      <c r="G87" s="202">
        <v>2025</v>
      </c>
      <c r="H87" s="202">
        <v>2026</v>
      </c>
      <c r="I87" s="202">
        <v>2027</v>
      </c>
      <c r="J87" s="201"/>
      <c r="K87" s="202" t="s">
        <v>32</v>
      </c>
      <c r="L87" s="202" t="s">
        <v>33</v>
      </c>
      <c r="M87" s="202" t="s">
        <v>34</v>
      </c>
      <c r="N87" s="202" t="s">
        <v>35</v>
      </c>
      <c r="O87" s="202" t="s">
        <v>36</v>
      </c>
      <c r="P87" s="202" t="s">
        <v>37</v>
      </c>
      <c r="Q87" s="202" t="s">
        <v>38</v>
      </c>
      <c r="R87" s="202" t="s">
        <v>39</v>
      </c>
      <c r="S87" s="202" t="s">
        <v>40</v>
      </c>
      <c r="T87" s="202" t="s">
        <v>41</v>
      </c>
      <c r="U87" s="202" t="s">
        <v>42</v>
      </c>
      <c r="V87" s="202" t="s">
        <v>43</v>
      </c>
    </row>
    <row r="88" spans="2:22" x14ac:dyDescent="0.3">
      <c r="B88" t="s">
        <v>55</v>
      </c>
      <c r="E88" s="213">
        <f>'Statements Summary 2023'!V86</f>
        <v>5300048.053568</v>
      </c>
      <c r="F88" s="213">
        <f>'Statements Summary 2024'!V88</f>
        <v>12937033.168768</v>
      </c>
      <c r="G88" s="213">
        <f t="shared" ref="G88:G99" si="12">V88</f>
        <v>21347934.268282287</v>
      </c>
      <c r="H88" s="213">
        <f>'Statements Summary 2026'!V88</f>
        <v>29790310.365282293</v>
      </c>
      <c r="I88" s="213">
        <f>'Statements Summary 2027'!V88</f>
        <v>40151893.008882284</v>
      </c>
      <c r="K88" s="213">
        <f>'BS 2025'!F14</f>
        <v>13642072.847168</v>
      </c>
      <c r="L88" s="213">
        <f>'BS 2025'!G14</f>
        <v>14356090.944768</v>
      </c>
      <c r="M88" s="213">
        <f>'BS 2025'!H14</f>
        <v>15023902.774939429</v>
      </c>
      <c r="N88" s="213">
        <f>'BS 2025'!I14</f>
        <v>15709650.088225143</v>
      </c>
      <c r="O88" s="213">
        <f>'BS 2025'!J14</f>
        <v>16389378.167825144</v>
      </c>
      <c r="P88" s="213">
        <f>'BS 2025'!K14</f>
        <v>17073994.96513943</v>
      </c>
      <c r="Q88" s="213">
        <f>'BS 2025'!L14</f>
        <v>17778044.415368002</v>
      </c>
      <c r="R88" s="213">
        <f>'BS 2025'!M14</f>
        <v>18472438.648110859</v>
      </c>
      <c r="S88" s="213">
        <f>'BS 2025'!N14</f>
        <v>19193537.501368001</v>
      </c>
      <c r="T88" s="213">
        <f>'BS 2025'!O14</f>
        <v>19917080.713482287</v>
      </c>
      <c r="U88" s="213">
        <f>'BS 2025'!P14</f>
        <v>20632388.998882286</v>
      </c>
      <c r="V88" s="213">
        <f>'BS 2025'!Q14</f>
        <v>21347934.268282287</v>
      </c>
    </row>
    <row r="89" spans="2:22" x14ac:dyDescent="0.3">
      <c r="B89" t="s">
        <v>56</v>
      </c>
      <c r="E89" s="213">
        <f>'Statements Summary 2023'!V87</f>
        <v>470532</v>
      </c>
      <c r="F89" s="213">
        <f>'Statements Summary 2024'!V89</f>
        <v>488332</v>
      </c>
      <c r="G89" s="213">
        <f t="shared" si="12"/>
        <v>509481</v>
      </c>
      <c r="H89" s="213">
        <f>'Statements Summary 2026'!V89</f>
        <v>531018</v>
      </c>
      <c r="I89" s="213">
        <f>'Statements Summary 2027'!V89</f>
        <v>552400</v>
      </c>
      <c r="K89" s="213">
        <f>'BS 2025'!F19</f>
        <v>490182</v>
      </c>
      <c r="L89" s="213">
        <f>'BS 2025'!G19</f>
        <v>492032</v>
      </c>
      <c r="M89" s="213">
        <f>'BS 2025'!H19</f>
        <v>493882</v>
      </c>
      <c r="N89" s="213">
        <f>'BS 2025'!I19</f>
        <v>495593</v>
      </c>
      <c r="O89" s="213">
        <f>'BS 2025'!J19</f>
        <v>497304</v>
      </c>
      <c r="P89" s="213">
        <f>'BS 2025'!K19</f>
        <v>499015</v>
      </c>
      <c r="Q89" s="213">
        <f>'BS 2025'!L19</f>
        <v>500726</v>
      </c>
      <c r="R89" s="213">
        <f>'BS 2025'!M19</f>
        <v>502437</v>
      </c>
      <c r="S89" s="213">
        <f>'BS 2025'!N19</f>
        <v>504148</v>
      </c>
      <c r="T89" s="213">
        <f>'BS 2025'!O19</f>
        <v>505859</v>
      </c>
      <c r="U89" s="213">
        <f>'BS 2025'!P19</f>
        <v>507570</v>
      </c>
      <c r="V89" s="213">
        <f>'BS 2025'!Q19</f>
        <v>509481</v>
      </c>
    </row>
    <row r="90" spans="2:22" x14ac:dyDescent="0.3">
      <c r="B90" t="s">
        <v>57</v>
      </c>
      <c r="E90" s="213">
        <f>'Statements Summary 2023'!V88</f>
        <v>5770580.053568</v>
      </c>
      <c r="F90" s="213">
        <f>'Statements Summary 2024'!V90</f>
        <v>13425365.168768</v>
      </c>
      <c r="G90" s="213">
        <f t="shared" si="12"/>
        <v>21857415.268282287</v>
      </c>
      <c r="H90" s="213">
        <f>'Statements Summary 2026'!V90</f>
        <v>30321328.365282293</v>
      </c>
      <c r="I90" s="213">
        <f>'Statements Summary 2027'!V90</f>
        <v>40704293.008882284</v>
      </c>
      <c r="K90" s="213">
        <f>'BS 2025'!F20</f>
        <v>14132254.847168</v>
      </c>
      <c r="L90" s="213">
        <f>'BS 2025'!G20</f>
        <v>14848122.944768</v>
      </c>
      <c r="M90" s="213">
        <f>'BS 2025'!H20</f>
        <v>15517784.774939429</v>
      </c>
      <c r="N90" s="213">
        <f>'BS 2025'!I20</f>
        <v>16205243.088225143</v>
      </c>
      <c r="O90" s="213">
        <f>'BS 2025'!J20</f>
        <v>16886682.167825144</v>
      </c>
      <c r="P90" s="213">
        <f>'BS 2025'!K20</f>
        <v>17573009.96513943</v>
      </c>
      <c r="Q90" s="213">
        <f>'BS 2025'!L20</f>
        <v>18278770.415368002</v>
      </c>
      <c r="R90" s="213">
        <f>'BS 2025'!M20</f>
        <v>18974875.648110859</v>
      </c>
      <c r="S90" s="213">
        <f>'BS 2025'!N20</f>
        <v>19697685.501368001</v>
      </c>
      <c r="T90" s="213">
        <f>'BS 2025'!O20</f>
        <v>20422939.713482287</v>
      </c>
      <c r="U90" s="213">
        <f>'BS 2025'!P20</f>
        <v>21139958.998882286</v>
      </c>
      <c r="V90" s="213">
        <f>'BS 2025'!Q20</f>
        <v>21857415.268282287</v>
      </c>
    </row>
    <row r="91" spans="2:22" x14ac:dyDescent="0.3">
      <c r="B91" t="s">
        <v>58</v>
      </c>
      <c r="E91" s="213">
        <f>'Statements Summary 2023'!V89</f>
        <v>-147151.18960000004</v>
      </c>
      <c r="F91" s="213">
        <f>'Statements Summary 2024'!V91</f>
        <v>-160478.53060000006</v>
      </c>
      <c r="G91" s="213">
        <f t="shared" si="12"/>
        <v>-164368.06735000003</v>
      </c>
      <c r="H91" s="213">
        <f>'Statements Summary 2026'!V91</f>
        <v>-187280.97474999996</v>
      </c>
      <c r="I91" s="213">
        <f>'Statements Summary 2027'!V91</f>
        <v>-210240.25050000005</v>
      </c>
      <c r="K91" s="213">
        <f>'BS 2025'!F25</f>
        <v>-158933.16959999996</v>
      </c>
      <c r="L91" s="213">
        <f>'BS 2025'!G25</f>
        <v>-161177.77440000002</v>
      </c>
      <c r="M91" s="213">
        <f>'BS 2025'!H25</f>
        <v>-149626.20754285713</v>
      </c>
      <c r="N91" s="213">
        <f>'BS 2025'!I25</f>
        <v>-154110.07832142859</v>
      </c>
      <c r="O91" s="213">
        <f>'BS 2025'!J25</f>
        <v>-152605.26990000001</v>
      </c>
      <c r="P91" s="213">
        <f>'BS 2025'!K25</f>
        <v>-153827.44932857144</v>
      </c>
      <c r="Q91" s="213">
        <f>'BS 2025'!L25</f>
        <v>-158685.61255714291</v>
      </c>
      <c r="R91" s="213">
        <f>'BS 2025'!M25</f>
        <v>-156271.80818571427</v>
      </c>
      <c r="S91" s="213">
        <f>'BS 2025'!N25</f>
        <v>-162947.96331428571</v>
      </c>
      <c r="T91" s="213">
        <f>'BS 2025'!O25</f>
        <v>-163559.05302857142</v>
      </c>
      <c r="U91" s="213">
        <f>'BS 2025'!P25</f>
        <v>-161500.32135000001</v>
      </c>
      <c r="V91" s="213">
        <f>'BS 2025'!Q25</f>
        <v>-164368.06735000003</v>
      </c>
    </row>
    <row r="92" spans="2:22" x14ac:dyDescent="0.3">
      <c r="B92" t="s">
        <v>211</v>
      </c>
      <c r="E92" s="213">
        <f>'Statements Summary 2023'!V90</f>
        <v>-265002</v>
      </c>
      <c r="F92" s="213">
        <f>'Statements Summary 2024'!V92</f>
        <v>-63186</v>
      </c>
      <c r="G92" s="213">
        <f t="shared" si="12"/>
        <v>0</v>
      </c>
      <c r="H92" s="213">
        <f>'Statements Summary 2026'!V92</f>
        <v>0</v>
      </c>
      <c r="I92" s="213">
        <f>'Statements Summary 2027'!V92</f>
        <v>0</v>
      </c>
      <c r="K92" s="213">
        <f>'BS 2025'!F27</f>
        <v>0</v>
      </c>
      <c r="L92" s="213">
        <f>'BS 2025'!G27</f>
        <v>0</v>
      </c>
      <c r="M92" s="213">
        <f>'BS 2025'!H27</f>
        <v>0</v>
      </c>
      <c r="N92" s="213">
        <f>'BS 2025'!I27</f>
        <v>0</v>
      </c>
      <c r="O92" s="213">
        <f>'BS 2025'!J27</f>
        <v>0</v>
      </c>
      <c r="P92" s="213">
        <f>'BS 2025'!K27</f>
        <v>0</v>
      </c>
      <c r="Q92" s="213">
        <f>'BS 2025'!L27</f>
        <v>0</v>
      </c>
      <c r="R92" s="213">
        <f>'BS 2025'!M27</f>
        <v>0</v>
      </c>
      <c r="S92" s="213">
        <f>'BS 2025'!N27</f>
        <v>0</v>
      </c>
      <c r="T92" s="213">
        <f>'BS 2025'!O27</f>
        <v>0</v>
      </c>
      <c r="U92" s="213">
        <f>'BS 2025'!P27</f>
        <v>0</v>
      </c>
      <c r="V92" s="213">
        <f>'BS 2025'!Q27</f>
        <v>0</v>
      </c>
    </row>
    <row r="93" spans="2:22" x14ac:dyDescent="0.3">
      <c r="B93" t="s">
        <v>60</v>
      </c>
      <c r="E93" s="213">
        <f>'Statements Summary 2023'!V91</f>
        <v>-412153.18960000004</v>
      </c>
      <c r="F93" s="213">
        <f>'Statements Summary 2024'!V93</f>
        <v>-223664.53060000006</v>
      </c>
      <c r="G93" s="213">
        <f t="shared" si="12"/>
        <v>-164368.06735000003</v>
      </c>
      <c r="H93" s="213">
        <f>'Statements Summary 2026'!V93</f>
        <v>-187280.97474999996</v>
      </c>
      <c r="I93" s="213">
        <f>'Statements Summary 2027'!V93</f>
        <v>-210240.25050000005</v>
      </c>
      <c r="K93" s="213">
        <f>'BS 2025'!F32</f>
        <v>-158933.16959999996</v>
      </c>
      <c r="L93" s="213">
        <f>'BS 2025'!G32</f>
        <v>-161177.77440000002</v>
      </c>
      <c r="M93" s="213">
        <f>'BS 2025'!H32</f>
        <v>-149626.20754285713</v>
      </c>
      <c r="N93" s="213">
        <f>'BS 2025'!I32</f>
        <v>-154110.07832142859</v>
      </c>
      <c r="O93" s="213">
        <f>'BS 2025'!J32</f>
        <v>-152605.26990000001</v>
      </c>
      <c r="P93" s="213">
        <f>'BS 2025'!K32</f>
        <v>-153827.44932857144</v>
      </c>
      <c r="Q93" s="213">
        <f>'BS 2025'!L32</f>
        <v>-158685.61255714291</v>
      </c>
      <c r="R93" s="213">
        <f>'BS 2025'!M32</f>
        <v>-156271.80818571427</v>
      </c>
      <c r="S93" s="213">
        <f>'BS 2025'!N32</f>
        <v>-162947.96331428571</v>
      </c>
      <c r="T93" s="213">
        <f>'BS 2025'!O32</f>
        <v>-163559.05302857142</v>
      </c>
      <c r="U93" s="213">
        <f>'BS 2025'!P32</f>
        <v>-161500.32135000001</v>
      </c>
      <c r="V93" s="213">
        <f>'BS 2025'!Q32</f>
        <v>-164368.06735000003</v>
      </c>
    </row>
    <row r="94" spans="2:22" x14ac:dyDescent="0.3">
      <c r="B94" t="s">
        <v>61</v>
      </c>
      <c r="E94" s="213">
        <f>'Statements Summary 2023'!V92</f>
        <v>5358426.8639679998</v>
      </c>
      <c r="F94" s="213">
        <f>'Statements Summary 2024'!V94</f>
        <v>13201700.638168</v>
      </c>
      <c r="G94" s="213">
        <f t="shared" si="12"/>
        <v>21693047.200932287</v>
      </c>
      <c r="H94" s="213">
        <f>'Statements Summary 2026'!V94</f>
        <v>30134047.390532292</v>
      </c>
      <c r="I94" s="213">
        <f>'Statements Summary 2027'!V94</f>
        <v>40494052.758382283</v>
      </c>
      <c r="K94" s="213">
        <f>'BS 2025'!F33</f>
        <v>13973321.677568</v>
      </c>
      <c r="L94" s="213">
        <f>'BS 2025'!G33</f>
        <v>14686945.170368001</v>
      </c>
      <c r="M94" s="213">
        <f>'BS 2025'!H33</f>
        <v>15368158.567396572</v>
      </c>
      <c r="N94" s="213">
        <f>'BS 2025'!I33</f>
        <v>16051133.009903714</v>
      </c>
      <c r="O94" s="213">
        <f>'BS 2025'!J33</f>
        <v>16734076.897925144</v>
      </c>
      <c r="P94" s="213">
        <f>'BS 2025'!K33</f>
        <v>17419182.515810858</v>
      </c>
      <c r="Q94" s="213">
        <f>'BS 2025'!L33</f>
        <v>18120084.802810859</v>
      </c>
      <c r="R94" s="213">
        <f>'BS 2025'!M33</f>
        <v>18818603.839925144</v>
      </c>
      <c r="S94" s="213">
        <f>'BS 2025'!N33</f>
        <v>19534737.538053714</v>
      </c>
      <c r="T94" s="213">
        <f>'BS 2025'!O33</f>
        <v>20259380.660453714</v>
      </c>
      <c r="U94" s="213">
        <f>'BS 2025'!P33</f>
        <v>20978458.677532285</v>
      </c>
      <c r="V94" s="213">
        <f>'BS 2025'!Q33</f>
        <v>21693047.200932287</v>
      </c>
    </row>
    <row r="95" spans="2:22" x14ac:dyDescent="0.3">
      <c r="B95" t="s">
        <v>62</v>
      </c>
      <c r="E95" s="213">
        <f>'Statements Summary 2023'!V93</f>
        <v>5300048.053568</v>
      </c>
      <c r="F95" s="213">
        <f>'Statements Summary 2024'!V95</f>
        <v>12937033.168768</v>
      </c>
      <c r="G95" s="213">
        <f t="shared" si="12"/>
        <v>21347934.268282287</v>
      </c>
      <c r="H95" s="213">
        <f>'Statements Summary 2026'!V95</f>
        <v>29790310.365282293</v>
      </c>
      <c r="I95" s="213">
        <f>'Statements Summary 2027'!V95</f>
        <v>40151893.008882284</v>
      </c>
      <c r="K95" s="213">
        <f>'BS 2025'!F14</f>
        <v>13642072.847168</v>
      </c>
      <c r="L95" s="213">
        <f>'BS 2025'!G14</f>
        <v>14356090.944768</v>
      </c>
      <c r="M95" s="213">
        <f>'BS 2025'!H14</f>
        <v>15023902.774939429</v>
      </c>
      <c r="N95" s="213">
        <f>'BS 2025'!I14</f>
        <v>15709650.088225143</v>
      </c>
      <c r="O95" s="213">
        <f>'BS 2025'!J14</f>
        <v>16389378.167825144</v>
      </c>
      <c r="P95" s="213">
        <f>'BS 2025'!K14</f>
        <v>17073994.96513943</v>
      </c>
      <c r="Q95" s="213">
        <f>'BS 2025'!L14</f>
        <v>17778044.415368002</v>
      </c>
      <c r="R95" s="213">
        <f>'BS 2025'!M14</f>
        <v>18472438.648110859</v>
      </c>
      <c r="S95" s="213">
        <f>'BS 2025'!N14</f>
        <v>19193537.501368001</v>
      </c>
      <c r="T95" s="213">
        <f>'BS 2025'!O14</f>
        <v>19917080.713482287</v>
      </c>
      <c r="U95" s="213">
        <f>'BS 2025'!P14</f>
        <v>20632388.998882286</v>
      </c>
      <c r="V95" s="213">
        <f>'BS 2025'!Q14</f>
        <v>21347934.268282287</v>
      </c>
    </row>
    <row r="96" spans="2:22" x14ac:dyDescent="0.3">
      <c r="B96" t="s">
        <v>63</v>
      </c>
      <c r="E96" s="213" t="str">
        <f>'Statements Summary 2023'!V94</f>
        <v>-</v>
      </c>
      <c r="F96" s="213" t="str">
        <f>'Statements Summary 2024'!V96</f>
        <v>-</v>
      </c>
      <c r="G96" s="213" t="str">
        <f t="shared" si="12"/>
        <v>-</v>
      </c>
      <c r="H96" s="213" t="str">
        <f>'Statements Summary 2026'!V96</f>
        <v>-</v>
      </c>
      <c r="I96" s="213" t="str">
        <f>'Statements Summary 2027'!V96</f>
        <v>-</v>
      </c>
      <c r="K96" s="213" t="s">
        <v>205</v>
      </c>
      <c r="L96" s="213" t="s">
        <v>205</v>
      </c>
      <c r="M96" s="213" t="s">
        <v>205</v>
      </c>
      <c r="N96" s="213" t="s">
        <v>205</v>
      </c>
      <c r="O96" s="213" t="s">
        <v>205</v>
      </c>
      <c r="P96" s="213" t="s">
        <v>205</v>
      </c>
      <c r="Q96" s="213" t="s">
        <v>205</v>
      </c>
      <c r="R96" s="213" t="s">
        <v>205</v>
      </c>
      <c r="S96" s="213" t="s">
        <v>205</v>
      </c>
      <c r="T96" s="213" t="s">
        <v>205</v>
      </c>
      <c r="U96" s="213" t="s">
        <v>205</v>
      </c>
      <c r="V96" s="213" t="s">
        <v>205</v>
      </c>
    </row>
    <row r="97" spans="2:22" x14ac:dyDescent="0.3">
      <c r="B97" t="s">
        <v>64</v>
      </c>
      <c r="E97" s="213">
        <f>'Statements Summary 2023'!V95</f>
        <v>0</v>
      </c>
      <c r="F97" s="213">
        <f>'Statements Summary 2024'!V97</f>
        <v>0</v>
      </c>
      <c r="G97" s="213">
        <f t="shared" si="12"/>
        <v>0</v>
      </c>
      <c r="H97" s="213">
        <f>'Statements Summary 2026'!V97</f>
        <v>0</v>
      </c>
      <c r="I97" s="213">
        <f>'Statements Summary 2027'!V97</f>
        <v>0</v>
      </c>
      <c r="K97" s="213" t="s">
        <v>205</v>
      </c>
      <c r="L97" s="213" t="s">
        <v>205</v>
      </c>
      <c r="M97" s="213" t="s">
        <v>205</v>
      </c>
      <c r="N97" s="213" t="s">
        <v>205</v>
      </c>
      <c r="O97" s="213" t="s">
        <v>205</v>
      </c>
      <c r="P97" s="213" t="s">
        <v>205</v>
      </c>
      <c r="Q97" s="213" t="s">
        <v>205</v>
      </c>
      <c r="R97" s="213" t="s">
        <v>205</v>
      </c>
      <c r="S97" s="213" t="s">
        <v>205</v>
      </c>
      <c r="T97" s="213" t="s">
        <v>205</v>
      </c>
      <c r="U97" s="213" t="s">
        <v>205</v>
      </c>
      <c r="V97" s="213"/>
    </row>
    <row r="98" spans="2:22" x14ac:dyDescent="0.3">
      <c r="B98" t="s">
        <v>65</v>
      </c>
      <c r="E98" s="213">
        <f>'Statements Summary 2023'!V96</f>
        <v>5358426.8639679998</v>
      </c>
      <c r="F98" s="213">
        <f>'Statements Summary 2024'!V98</f>
        <v>13201700.638168</v>
      </c>
      <c r="G98" s="213">
        <f t="shared" si="12"/>
        <v>21693047.200932287</v>
      </c>
      <c r="H98" s="213">
        <f>'Statements Summary 2026'!V98</f>
        <v>30134047.390532292</v>
      </c>
      <c r="I98" s="213">
        <f>'Statements Summary 2027'!V98</f>
        <v>40494052.758382283</v>
      </c>
      <c r="K98" s="213">
        <f>K94</f>
        <v>13973321.677568</v>
      </c>
      <c r="L98" s="213">
        <f t="shared" ref="L98:V98" si="13">L94</f>
        <v>14686945.170368001</v>
      </c>
      <c r="M98" s="213">
        <f t="shared" si="13"/>
        <v>15368158.567396572</v>
      </c>
      <c r="N98" s="213">
        <f t="shared" si="13"/>
        <v>16051133.009903714</v>
      </c>
      <c r="O98" s="213">
        <f t="shared" si="13"/>
        <v>16734076.897925144</v>
      </c>
      <c r="P98" s="213">
        <f t="shared" si="13"/>
        <v>17419182.515810858</v>
      </c>
      <c r="Q98" s="213">
        <f t="shared" si="13"/>
        <v>18120084.802810859</v>
      </c>
      <c r="R98" s="213">
        <f t="shared" si="13"/>
        <v>18818603.839925144</v>
      </c>
      <c r="S98" s="213">
        <f t="shared" si="13"/>
        <v>19534737.538053714</v>
      </c>
      <c r="T98" s="213">
        <f t="shared" si="13"/>
        <v>20259380.660453714</v>
      </c>
      <c r="U98" s="213">
        <f t="shared" si="13"/>
        <v>20978458.677532285</v>
      </c>
      <c r="V98" s="213">
        <f t="shared" si="13"/>
        <v>21693047.200932287</v>
      </c>
    </row>
    <row r="99" spans="2:22" x14ac:dyDescent="0.3">
      <c r="B99" t="s">
        <v>66</v>
      </c>
      <c r="E99" s="213">
        <f>'Statements Summary 2023'!V97</f>
        <v>5358426.8639679998</v>
      </c>
      <c r="F99" s="213">
        <f>'Statements Summary 2024'!V99</f>
        <v>13201700.638168</v>
      </c>
      <c r="G99" s="213">
        <f t="shared" si="12"/>
        <v>21693047.200932287</v>
      </c>
      <c r="H99" s="213">
        <f>'Statements Summary 2026'!V99</f>
        <v>30134047.390532292</v>
      </c>
      <c r="I99" s="213">
        <f>'Statements Summary 2027'!V99</f>
        <v>40494052.758382283</v>
      </c>
      <c r="K99" s="213">
        <f>K98</f>
        <v>13973321.677568</v>
      </c>
      <c r="L99" s="213">
        <f t="shared" ref="L99:V99" si="14">L98</f>
        <v>14686945.170368001</v>
      </c>
      <c r="M99" s="213">
        <f t="shared" si="14"/>
        <v>15368158.567396572</v>
      </c>
      <c r="N99" s="213">
        <f t="shared" si="14"/>
        <v>16051133.009903714</v>
      </c>
      <c r="O99" s="213">
        <f t="shared" si="14"/>
        <v>16734076.897925144</v>
      </c>
      <c r="P99" s="213">
        <f t="shared" si="14"/>
        <v>17419182.515810858</v>
      </c>
      <c r="Q99" s="213">
        <f t="shared" si="14"/>
        <v>18120084.802810859</v>
      </c>
      <c r="R99" s="213">
        <f t="shared" si="14"/>
        <v>18818603.839925144</v>
      </c>
      <c r="S99" s="213">
        <f t="shared" si="14"/>
        <v>19534737.538053714</v>
      </c>
      <c r="T99" s="213">
        <f t="shared" si="14"/>
        <v>20259380.660453714</v>
      </c>
      <c r="U99" s="213">
        <f t="shared" si="14"/>
        <v>20978458.677532285</v>
      </c>
      <c r="V99" s="213">
        <f t="shared" si="14"/>
        <v>21693047.200932287</v>
      </c>
    </row>
    <row r="101" spans="2:22" x14ac:dyDescent="0.3">
      <c r="B101" s="183" t="s">
        <v>277</v>
      </c>
      <c r="C101" s="156"/>
      <c r="D101" s="156"/>
      <c r="E101" s="156"/>
      <c r="F101" s="156"/>
      <c r="G101" s="156"/>
      <c r="H101" s="156"/>
      <c r="I101" s="156"/>
      <c r="K101" s="387" t="s">
        <v>282</v>
      </c>
      <c r="L101" s="387"/>
      <c r="M101" s="387"/>
      <c r="N101" s="387"/>
      <c r="O101" s="387"/>
      <c r="P101" s="387"/>
      <c r="Q101" s="387"/>
      <c r="R101" s="387"/>
      <c r="S101" s="387"/>
      <c r="T101" s="387"/>
      <c r="U101" s="387"/>
      <c r="V101" s="387"/>
    </row>
  </sheetData>
  <mergeCells count="6">
    <mergeCell ref="K2:V2"/>
    <mergeCell ref="K19:V19"/>
    <mergeCell ref="K67:V67"/>
    <mergeCell ref="K85:V85"/>
    <mergeCell ref="K101:V101"/>
    <mergeCell ref="K42:V4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7C40E-DDC0-49CC-A76B-205EEE51CFF1}">
  <dimension ref="B2:W63"/>
  <sheetViews>
    <sheetView showGridLines="0" topLeftCell="A19" zoomScale="95" zoomScaleNormal="95" workbookViewId="0">
      <selection activeCell="B25" sqref="B25:B37"/>
    </sheetView>
  </sheetViews>
  <sheetFormatPr defaultRowHeight="14.4" x14ac:dyDescent="0.3"/>
  <cols>
    <col min="1" max="1" width="1.77734375" customWidth="1"/>
    <col min="2" max="2" width="24.5546875" customWidth="1"/>
    <col min="3" max="3" width="6.33203125" customWidth="1"/>
    <col min="4" max="4" width="5.88671875" customWidth="1"/>
    <col min="5" max="5" width="3.6640625" customWidth="1"/>
    <col min="6" max="6" width="10.44140625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273</v>
      </c>
      <c r="C2" s="8"/>
    </row>
    <row r="3" spans="2:23" ht="13.8" customHeight="1" x14ac:dyDescent="0.35">
      <c r="B3" s="8"/>
      <c r="C3" s="8"/>
    </row>
    <row r="4" spans="2:23" s="13" customFormat="1" ht="15" customHeight="1" x14ac:dyDescent="0.3">
      <c r="B4" s="151"/>
      <c r="C4" s="151"/>
      <c r="D4" s="151"/>
      <c r="E4" s="151"/>
      <c r="F4" s="218">
        <v>2026</v>
      </c>
      <c r="G4" s="218">
        <v>2026</v>
      </c>
      <c r="H4" s="218">
        <v>2026</v>
      </c>
      <c r="I4" s="218">
        <v>2026</v>
      </c>
      <c r="J4" s="218">
        <v>2026</v>
      </c>
      <c r="K4" s="218">
        <v>2026</v>
      </c>
      <c r="L4" s="218">
        <v>2026</v>
      </c>
      <c r="M4" s="218">
        <v>2026</v>
      </c>
      <c r="N4" s="218">
        <v>2026</v>
      </c>
      <c r="O4" s="218">
        <v>2026</v>
      </c>
      <c r="P4" s="218">
        <v>2026</v>
      </c>
      <c r="Q4" s="218">
        <v>2026</v>
      </c>
      <c r="R4" s="218"/>
      <c r="S4" s="218"/>
      <c r="T4" s="218"/>
      <c r="U4" s="156"/>
      <c r="V4" s="156"/>
      <c r="W4" s="151"/>
    </row>
    <row r="5" spans="2:23" ht="15" customHeight="1" x14ac:dyDescent="0.3">
      <c r="B5" s="325" t="s">
        <v>0</v>
      </c>
      <c r="C5" s="168"/>
      <c r="D5" s="168"/>
      <c r="E5" s="168"/>
      <c r="F5" s="326" t="s">
        <v>32</v>
      </c>
      <c r="G5" s="326" t="s">
        <v>33</v>
      </c>
      <c r="H5" s="326" t="s">
        <v>34</v>
      </c>
      <c r="I5" s="326" t="s">
        <v>35</v>
      </c>
      <c r="J5" s="326" t="s">
        <v>36</v>
      </c>
      <c r="K5" s="326" t="s">
        <v>37</v>
      </c>
      <c r="L5" s="326" t="s">
        <v>38</v>
      </c>
      <c r="M5" s="326" t="s">
        <v>39</v>
      </c>
      <c r="N5" s="326" t="s">
        <v>40</v>
      </c>
      <c r="O5" s="326" t="s">
        <v>41</v>
      </c>
      <c r="P5" s="326" t="s">
        <v>42</v>
      </c>
      <c r="Q5" s="326" t="s">
        <v>43</v>
      </c>
      <c r="R5" s="168"/>
      <c r="S5" s="168"/>
      <c r="T5" s="168"/>
      <c r="U5" s="168"/>
      <c r="V5" s="168"/>
      <c r="W5" s="168"/>
    </row>
    <row r="6" spans="2:23" ht="15" customHeight="1" x14ac:dyDescent="0.3">
      <c r="B6" s="24"/>
      <c r="C6" s="330"/>
      <c r="D6" s="330"/>
      <c r="E6" s="330"/>
      <c r="F6" s="383" t="s">
        <v>266</v>
      </c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30"/>
      <c r="S6" s="330"/>
      <c r="T6" s="330"/>
      <c r="U6" s="330"/>
      <c r="V6" s="330"/>
    </row>
    <row r="7" spans="2:23" ht="14.4" customHeight="1" x14ac:dyDescent="0.3">
      <c r="B7" s="4" t="s">
        <v>265</v>
      </c>
      <c r="F7" s="222">
        <v>9000</v>
      </c>
      <c r="G7" s="222">
        <v>9200</v>
      </c>
      <c r="H7" s="222">
        <v>9300</v>
      </c>
      <c r="I7" s="222">
        <v>9400</v>
      </c>
      <c r="J7" s="222">
        <v>9500</v>
      </c>
      <c r="K7" s="222">
        <v>9600</v>
      </c>
      <c r="L7" s="222">
        <v>9700</v>
      </c>
      <c r="M7" s="222">
        <v>9800</v>
      </c>
      <c r="N7" s="222">
        <v>9900</v>
      </c>
      <c r="O7" s="222">
        <v>10000</v>
      </c>
      <c r="P7" s="222">
        <v>10100</v>
      </c>
      <c r="Q7" s="222">
        <v>10200</v>
      </c>
    </row>
    <row r="8" spans="2:23" x14ac:dyDescent="0.3">
      <c r="B8" s="4" t="s">
        <v>248</v>
      </c>
      <c r="F8" s="329">
        <v>3.5</v>
      </c>
      <c r="G8" s="329">
        <v>3.5</v>
      </c>
      <c r="H8" s="329">
        <v>3.5</v>
      </c>
      <c r="I8" s="329">
        <v>3.5</v>
      </c>
      <c r="J8" s="329">
        <v>3.5</v>
      </c>
      <c r="K8" s="329">
        <v>3.5</v>
      </c>
      <c r="L8" s="329">
        <v>3.5</v>
      </c>
      <c r="M8" s="329">
        <v>3.5</v>
      </c>
      <c r="N8" s="329">
        <v>3.5</v>
      </c>
      <c r="O8" s="329">
        <v>3.5</v>
      </c>
      <c r="P8" s="329">
        <v>3.5</v>
      </c>
      <c r="Q8" s="329">
        <v>3.5</v>
      </c>
    </row>
    <row r="9" spans="2:23" x14ac:dyDescent="0.3">
      <c r="B9" s="4" t="s">
        <v>251</v>
      </c>
      <c r="F9" s="319">
        <f t="shared" ref="F9:Q9" si="0">F7/F8</f>
        <v>2571.4285714285716</v>
      </c>
      <c r="G9" s="319">
        <f t="shared" si="0"/>
        <v>2628.5714285714284</v>
      </c>
      <c r="H9" s="319">
        <f t="shared" si="0"/>
        <v>2657.1428571428573</v>
      </c>
      <c r="I9" s="319">
        <f t="shared" si="0"/>
        <v>2685.7142857142858</v>
      </c>
      <c r="J9" s="319">
        <f t="shared" si="0"/>
        <v>2714.2857142857142</v>
      </c>
      <c r="K9" s="319">
        <f t="shared" si="0"/>
        <v>2742.8571428571427</v>
      </c>
      <c r="L9" s="319">
        <f t="shared" si="0"/>
        <v>2771.4285714285716</v>
      </c>
      <c r="M9" s="319">
        <f t="shared" si="0"/>
        <v>2800</v>
      </c>
      <c r="N9" s="319">
        <f t="shared" si="0"/>
        <v>2828.5714285714284</v>
      </c>
      <c r="O9" s="319">
        <f t="shared" si="0"/>
        <v>2857.1428571428573</v>
      </c>
      <c r="P9" s="319">
        <f t="shared" si="0"/>
        <v>2885.7142857142858</v>
      </c>
      <c r="Q9" s="319">
        <f t="shared" si="0"/>
        <v>2914.2857142857142</v>
      </c>
    </row>
    <row r="10" spans="2:23" x14ac:dyDescent="0.3">
      <c r="B10" s="4" t="s">
        <v>261</v>
      </c>
      <c r="F10" s="322">
        <v>1050</v>
      </c>
      <c r="G10" s="322">
        <v>1100</v>
      </c>
      <c r="H10" s="322">
        <v>1100</v>
      </c>
      <c r="I10" s="322">
        <v>1100</v>
      </c>
      <c r="J10" s="322">
        <v>1100</v>
      </c>
      <c r="K10" s="322">
        <v>1100</v>
      </c>
      <c r="L10" s="322">
        <v>1100</v>
      </c>
      <c r="M10" s="322">
        <v>1200</v>
      </c>
      <c r="N10" s="322">
        <v>1200</v>
      </c>
      <c r="O10" s="322">
        <v>1200</v>
      </c>
      <c r="P10" s="322">
        <v>1250</v>
      </c>
      <c r="Q10" s="322">
        <v>1250</v>
      </c>
    </row>
    <row r="11" spans="2:23" x14ac:dyDescent="0.3">
      <c r="B11" s="4" t="s">
        <v>262</v>
      </c>
      <c r="F11" s="327">
        <v>0.85</v>
      </c>
      <c r="G11" s="327">
        <v>0.85</v>
      </c>
      <c r="H11" s="327">
        <v>0.85</v>
      </c>
      <c r="I11" s="327">
        <v>0.85</v>
      </c>
      <c r="J11" s="327">
        <v>0.85</v>
      </c>
      <c r="K11" s="327">
        <v>0.85</v>
      </c>
      <c r="L11" s="327">
        <v>0.85</v>
      </c>
      <c r="M11" s="327">
        <v>0.85</v>
      </c>
      <c r="N11" s="327">
        <v>0.85</v>
      </c>
      <c r="O11" s="327">
        <v>0.85</v>
      </c>
      <c r="P11" s="327">
        <v>0.85</v>
      </c>
      <c r="Q11" s="327">
        <v>0.85</v>
      </c>
    </row>
    <row r="12" spans="2:23" x14ac:dyDescent="0.3">
      <c r="B12" s="4" t="s">
        <v>263</v>
      </c>
      <c r="F12" s="328">
        <f t="shared" ref="F12:Q12" si="1">F10*F11</f>
        <v>892.5</v>
      </c>
      <c r="G12" s="328">
        <f t="shared" si="1"/>
        <v>935</v>
      </c>
      <c r="H12" s="328">
        <f t="shared" si="1"/>
        <v>935</v>
      </c>
      <c r="I12" s="328">
        <f t="shared" si="1"/>
        <v>935</v>
      </c>
      <c r="J12" s="328">
        <f t="shared" si="1"/>
        <v>935</v>
      </c>
      <c r="K12" s="328">
        <f t="shared" si="1"/>
        <v>935</v>
      </c>
      <c r="L12" s="328">
        <f t="shared" si="1"/>
        <v>935</v>
      </c>
      <c r="M12" s="328">
        <f t="shared" si="1"/>
        <v>1020</v>
      </c>
      <c r="N12" s="328">
        <f t="shared" si="1"/>
        <v>1020</v>
      </c>
      <c r="O12" s="328">
        <f t="shared" si="1"/>
        <v>1020</v>
      </c>
      <c r="P12" s="328">
        <f t="shared" si="1"/>
        <v>1062.5</v>
      </c>
      <c r="Q12" s="328">
        <f t="shared" si="1"/>
        <v>1062.5</v>
      </c>
    </row>
    <row r="13" spans="2:23" x14ac:dyDescent="0.3">
      <c r="B13" s="4" t="s">
        <v>249</v>
      </c>
      <c r="F13" s="322">
        <v>7750</v>
      </c>
      <c r="G13" s="322">
        <v>7750</v>
      </c>
      <c r="H13" s="322">
        <v>7750</v>
      </c>
      <c r="I13" s="322">
        <v>7750</v>
      </c>
      <c r="J13" s="322">
        <v>7750</v>
      </c>
      <c r="K13" s="322">
        <v>7750</v>
      </c>
      <c r="L13" s="322">
        <v>7750</v>
      </c>
      <c r="M13" s="322">
        <v>7750</v>
      </c>
      <c r="N13" s="322">
        <v>7750</v>
      </c>
      <c r="O13" s="322">
        <v>7750</v>
      </c>
      <c r="P13" s="322">
        <v>7750</v>
      </c>
      <c r="Q13" s="322">
        <v>7750</v>
      </c>
    </row>
    <row r="14" spans="2:23" x14ac:dyDescent="0.3">
      <c r="B14" s="4" t="s">
        <v>252</v>
      </c>
      <c r="F14" s="323">
        <v>600</v>
      </c>
      <c r="G14" s="323">
        <v>600</v>
      </c>
      <c r="H14" s="323">
        <v>600</v>
      </c>
      <c r="I14" s="323">
        <v>600</v>
      </c>
      <c r="J14" s="323">
        <v>600</v>
      </c>
      <c r="K14" s="323">
        <v>600</v>
      </c>
      <c r="L14" s="323">
        <v>600</v>
      </c>
      <c r="M14" s="323">
        <v>600</v>
      </c>
      <c r="N14" s="323">
        <v>600</v>
      </c>
      <c r="O14" s="323">
        <v>600</v>
      </c>
      <c r="P14" s="323">
        <v>600</v>
      </c>
      <c r="Q14" s="323">
        <v>600</v>
      </c>
    </row>
    <row r="15" spans="2:23" x14ac:dyDescent="0.3">
      <c r="B15" s="4" t="s">
        <v>250</v>
      </c>
      <c r="F15" s="320">
        <f t="shared" ref="F15:Q15" si="2">F9+F12+F14</f>
        <v>4063.9285714285716</v>
      </c>
      <c r="G15" s="320">
        <f t="shared" si="2"/>
        <v>4163.5714285714284</v>
      </c>
      <c r="H15" s="320">
        <f t="shared" si="2"/>
        <v>4192.1428571428569</v>
      </c>
      <c r="I15" s="320">
        <f t="shared" si="2"/>
        <v>4220.7142857142862</v>
      </c>
      <c r="J15" s="320">
        <f t="shared" si="2"/>
        <v>4249.2857142857138</v>
      </c>
      <c r="K15" s="320">
        <f t="shared" si="2"/>
        <v>4277.8571428571431</v>
      </c>
      <c r="L15" s="320">
        <f t="shared" si="2"/>
        <v>4306.4285714285716</v>
      </c>
      <c r="M15" s="320">
        <f t="shared" si="2"/>
        <v>4420</v>
      </c>
      <c r="N15" s="320">
        <f t="shared" si="2"/>
        <v>4448.5714285714284</v>
      </c>
      <c r="O15" s="320">
        <f t="shared" si="2"/>
        <v>4477.1428571428569</v>
      </c>
      <c r="P15" s="320">
        <f t="shared" si="2"/>
        <v>4548.2142857142862</v>
      </c>
      <c r="Q15" s="320">
        <f t="shared" si="2"/>
        <v>4576.7857142857138</v>
      </c>
    </row>
    <row r="16" spans="2:23" x14ac:dyDescent="0.3">
      <c r="B16" s="24"/>
      <c r="C16" s="330"/>
      <c r="D16" s="330"/>
      <c r="E16" s="330"/>
      <c r="F16" s="384" t="s">
        <v>253</v>
      </c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30"/>
      <c r="S16" s="330"/>
      <c r="T16" s="330"/>
      <c r="U16" s="330"/>
      <c r="V16" s="330"/>
    </row>
    <row r="17" spans="2:22" x14ac:dyDescent="0.3">
      <c r="B17" s="4" t="s">
        <v>254</v>
      </c>
      <c r="F17" s="324">
        <v>0.63</v>
      </c>
      <c r="G17" s="324">
        <v>0.63</v>
      </c>
      <c r="H17" s="324">
        <v>0.63</v>
      </c>
      <c r="I17" s="324">
        <v>0.63</v>
      </c>
      <c r="J17" s="324">
        <v>0.63</v>
      </c>
      <c r="K17" s="324">
        <v>0.63</v>
      </c>
      <c r="L17" s="324">
        <v>0.63</v>
      </c>
      <c r="M17" s="324">
        <v>0.63</v>
      </c>
      <c r="N17" s="324">
        <v>0.63</v>
      </c>
      <c r="O17" s="324">
        <v>0.63</v>
      </c>
      <c r="P17" s="324">
        <v>0.63</v>
      </c>
      <c r="Q17" s="324">
        <v>0.63</v>
      </c>
    </row>
    <row r="18" spans="2:22" x14ac:dyDescent="0.3">
      <c r="B18" s="4" t="s">
        <v>255</v>
      </c>
      <c r="F18" s="222">
        <f t="shared" ref="F18:Q18" si="3">F15*F17</f>
        <v>2560.2750000000001</v>
      </c>
      <c r="G18" s="222">
        <f t="shared" si="3"/>
        <v>2623.0499999999997</v>
      </c>
      <c r="H18" s="222">
        <f t="shared" si="3"/>
        <v>2641.0499999999997</v>
      </c>
      <c r="I18" s="222">
        <f t="shared" si="3"/>
        <v>2659.05</v>
      </c>
      <c r="J18" s="222">
        <f t="shared" si="3"/>
        <v>2677.0499999999997</v>
      </c>
      <c r="K18" s="222">
        <f t="shared" si="3"/>
        <v>2695.05</v>
      </c>
      <c r="L18" s="222">
        <f t="shared" si="3"/>
        <v>2713.05</v>
      </c>
      <c r="M18" s="222">
        <f t="shared" si="3"/>
        <v>2784.6</v>
      </c>
      <c r="N18" s="222">
        <f t="shared" si="3"/>
        <v>2802.6</v>
      </c>
      <c r="O18" s="222">
        <f t="shared" si="3"/>
        <v>2820.6</v>
      </c>
      <c r="P18" s="222">
        <f t="shared" si="3"/>
        <v>2865.3750000000005</v>
      </c>
      <c r="Q18" s="222">
        <f t="shared" si="3"/>
        <v>2883.3749999999995</v>
      </c>
    </row>
    <row r="19" spans="2:22" x14ac:dyDescent="0.3">
      <c r="B19" s="4" t="s">
        <v>257</v>
      </c>
      <c r="F19" s="324">
        <v>0.1</v>
      </c>
      <c r="G19" s="324">
        <v>0.1</v>
      </c>
      <c r="H19" s="324">
        <v>0.1</v>
      </c>
      <c r="I19" s="324">
        <v>0.1</v>
      </c>
      <c r="J19" s="324">
        <v>0.1</v>
      </c>
      <c r="K19" s="324">
        <v>0.1</v>
      </c>
      <c r="L19" s="324">
        <v>0.1</v>
      </c>
      <c r="M19" s="324">
        <v>0.1</v>
      </c>
      <c r="N19" s="324">
        <v>0.1</v>
      </c>
      <c r="O19" s="324">
        <v>0.1</v>
      </c>
      <c r="P19" s="324">
        <v>0.1</v>
      </c>
      <c r="Q19" s="324">
        <v>0.1</v>
      </c>
    </row>
    <row r="20" spans="2:22" x14ac:dyDescent="0.3">
      <c r="B20" s="4" t="s">
        <v>258</v>
      </c>
      <c r="F20" s="222">
        <f t="shared" ref="F20:Q20" si="4">F18*F19</f>
        <v>256.02750000000003</v>
      </c>
      <c r="G20" s="222">
        <f t="shared" si="4"/>
        <v>262.30500000000001</v>
      </c>
      <c r="H20" s="222">
        <f t="shared" si="4"/>
        <v>264.10499999999996</v>
      </c>
      <c r="I20" s="222">
        <f t="shared" si="4"/>
        <v>265.90500000000003</v>
      </c>
      <c r="J20" s="222">
        <f t="shared" si="4"/>
        <v>267.70499999999998</v>
      </c>
      <c r="K20" s="222">
        <f t="shared" si="4"/>
        <v>269.50500000000005</v>
      </c>
      <c r="L20" s="222">
        <f t="shared" si="4"/>
        <v>271.30500000000001</v>
      </c>
      <c r="M20" s="222">
        <f t="shared" si="4"/>
        <v>278.45999999999998</v>
      </c>
      <c r="N20" s="222">
        <f t="shared" si="4"/>
        <v>280.26</v>
      </c>
      <c r="O20" s="222">
        <f t="shared" si="4"/>
        <v>282.06</v>
      </c>
      <c r="P20" s="222">
        <f t="shared" si="4"/>
        <v>286.53750000000008</v>
      </c>
      <c r="Q20" s="222">
        <f t="shared" si="4"/>
        <v>288.33749999999998</v>
      </c>
    </row>
    <row r="21" spans="2:22" x14ac:dyDescent="0.3">
      <c r="B21" s="4" t="s">
        <v>259</v>
      </c>
      <c r="F21" s="324">
        <f t="shared" ref="F21:Q21" si="5">1-F19</f>
        <v>0.9</v>
      </c>
      <c r="G21" s="324">
        <f t="shared" si="5"/>
        <v>0.9</v>
      </c>
      <c r="H21" s="324">
        <f t="shared" si="5"/>
        <v>0.9</v>
      </c>
      <c r="I21" s="324">
        <f t="shared" si="5"/>
        <v>0.9</v>
      </c>
      <c r="J21" s="324">
        <f t="shared" si="5"/>
        <v>0.9</v>
      </c>
      <c r="K21" s="324">
        <f t="shared" si="5"/>
        <v>0.9</v>
      </c>
      <c r="L21" s="324">
        <f t="shared" si="5"/>
        <v>0.9</v>
      </c>
      <c r="M21" s="324">
        <f t="shared" si="5"/>
        <v>0.9</v>
      </c>
      <c r="N21" s="324">
        <f t="shared" si="5"/>
        <v>0.9</v>
      </c>
      <c r="O21" s="324">
        <f t="shared" si="5"/>
        <v>0.9</v>
      </c>
      <c r="P21" s="324">
        <f t="shared" si="5"/>
        <v>0.9</v>
      </c>
      <c r="Q21" s="324">
        <f t="shared" si="5"/>
        <v>0.9</v>
      </c>
    </row>
    <row r="22" spans="2:22" x14ac:dyDescent="0.3">
      <c r="B22" s="4" t="s">
        <v>256</v>
      </c>
      <c r="F22" s="222">
        <f t="shared" ref="F22:Q22" si="6">F18*F21</f>
        <v>2304.2474999999999</v>
      </c>
      <c r="G22" s="222">
        <f t="shared" si="6"/>
        <v>2360.7449999999999</v>
      </c>
      <c r="H22" s="222">
        <f t="shared" si="6"/>
        <v>2376.9449999999997</v>
      </c>
      <c r="I22" s="222">
        <f t="shared" si="6"/>
        <v>2393.1450000000004</v>
      </c>
      <c r="J22" s="222">
        <f t="shared" si="6"/>
        <v>2409.3449999999998</v>
      </c>
      <c r="K22" s="222">
        <f t="shared" si="6"/>
        <v>2425.5450000000001</v>
      </c>
      <c r="L22" s="222">
        <f t="shared" si="6"/>
        <v>2441.7450000000003</v>
      </c>
      <c r="M22" s="222">
        <f t="shared" si="6"/>
        <v>2506.14</v>
      </c>
      <c r="N22" s="222">
        <f t="shared" si="6"/>
        <v>2522.34</v>
      </c>
      <c r="O22" s="222">
        <f t="shared" si="6"/>
        <v>2538.54</v>
      </c>
      <c r="P22" s="222">
        <f t="shared" si="6"/>
        <v>2578.8375000000005</v>
      </c>
      <c r="Q22" s="222">
        <f t="shared" si="6"/>
        <v>2595.0374999999995</v>
      </c>
    </row>
    <row r="23" spans="2:22" x14ac:dyDescent="0.3">
      <c r="B23" s="4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</row>
    <row r="24" spans="2:22" ht="15" customHeight="1" x14ac:dyDescent="0.3">
      <c r="B24" s="24"/>
      <c r="C24" s="330"/>
      <c r="D24" s="330"/>
      <c r="E24" s="330"/>
      <c r="F24" s="385" t="s">
        <v>269</v>
      </c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30"/>
      <c r="S24" s="330"/>
      <c r="T24" s="330"/>
      <c r="U24" s="330"/>
      <c r="V24" s="330"/>
    </row>
    <row r="25" spans="2:22" x14ac:dyDescent="0.3">
      <c r="B25" s="345" t="s">
        <v>290</v>
      </c>
      <c r="C25" s="343" t="s">
        <v>289</v>
      </c>
      <c r="D25" s="9">
        <v>135</v>
      </c>
      <c r="F25" s="324">
        <v>0.06</v>
      </c>
      <c r="G25" s="324">
        <v>0.06</v>
      </c>
      <c r="H25" s="324">
        <v>0.06</v>
      </c>
      <c r="I25" s="324">
        <v>0.06</v>
      </c>
      <c r="J25" s="324">
        <v>0.06</v>
      </c>
      <c r="K25" s="324">
        <v>0.06</v>
      </c>
      <c r="L25" s="324">
        <v>0.06</v>
      </c>
      <c r="M25" s="324">
        <v>0.06</v>
      </c>
      <c r="N25" s="324">
        <v>0.06</v>
      </c>
      <c r="O25" s="324">
        <v>0.06</v>
      </c>
      <c r="P25" s="324">
        <v>0.06</v>
      </c>
      <c r="Q25" s="324">
        <v>0.06</v>
      </c>
    </row>
    <row r="26" spans="2:22" x14ac:dyDescent="0.3">
      <c r="B26" s="345"/>
      <c r="C26" s="343"/>
      <c r="F26" s="331">
        <f t="shared" ref="F26:Q26" si="7">F22*F25</f>
        <v>138.25485</v>
      </c>
      <c r="G26" s="331">
        <f t="shared" si="7"/>
        <v>141.6447</v>
      </c>
      <c r="H26" s="331">
        <f t="shared" si="7"/>
        <v>142.61669999999998</v>
      </c>
      <c r="I26" s="331">
        <f t="shared" si="7"/>
        <v>143.58870000000002</v>
      </c>
      <c r="J26" s="331">
        <f t="shared" si="7"/>
        <v>144.56069999999997</v>
      </c>
      <c r="K26" s="331">
        <f t="shared" si="7"/>
        <v>145.53270000000001</v>
      </c>
      <c r="L26" s="331">
        <f t="shared" si="7"/>
        <v>146.50470000000001</v>
      </c>
      <c r="M26" s="331">
        <f t="shared" si="7"/>
        <v>150.36839999999998</v>
      </c>
      <c r="N26" s="331">
        <f t="shared" si="7"/>
        <v>151.34040000000002</v>
      </c>
      <c r="O26" s="331">
        <f t="shared" si="7"/>
        <v>152.3124</v>
      </c>
      <c r="P26" s="331">
        <f t="shared" si="7"/>
        <v>154.73025000000004</v>
      </c>
      <c r="Q26" s="331">
        <f t="shared" si="7"/>
        <v>155.70224999999996</v>
      </c>
    </row>
    <row r="27" spans="2:22" x14ac:dyDescent="0.3">
      <c r="B27" s="345"/>
      <c r="C27" s="343"/>
      <c r="D27" s="386" t="s">
        <v>264</v>
      </c>
      <c r="E27" s="386"/>
      <c r="F27" s="321">
        <f t="shared" ref="F27:Q27" si="8">IF($B25&gt;" ", F26*$D25," ")</f>
        <v>18664.404750000002</v>
      </c>
      <c r="G27" s="321">
        <f t="shared" si="8"/>
        <v>19122.034500000002</v>
      </c>
      <c r="H27" s="321">
        <f t="shared" si="8"/>
        <v>19253.254499999999</v>
      </c>
      <c r="I27" s="321">
        <f t="shared" si="8"/>
        <v>19384.474500000004</v>
      </c>
      <c r="J27" s="321">
        <f t="shared" si="8"/>
        <v>19515.694499999994</v>
      </c>
      <c r="K27" s="321">
        <f t="shared" si="8"/>
        <v>19646.914499999999</v>
      </c>
      <c r="L27" s="321">
        <f t="shared" si="8"/>
        <v>19778.1345</v>
      </c>
      <c r="M27" s="321">
        <f t="shared" si="8"/>
        <v>20299.733999999997</v>
      </c>
      <c r="N27" s="321">
        <f t="shared" si="8"/>
        <v>20430.954000000002</v>
      </c>
      <c r="O27" s="321">
        <f t="shared" si="8"/>
        <v>20562.173999999999</v>
      </c>
      <c r="P27" s="321">
        <f t="shared" si="8"/>
        <v>20888.583750000005</v>
      </c>
      <c r="Q27" s="321">
        <f t="shared" si="8"/>
        <v>21019.803749999995</v>
      </c>
    </row>
    <row r="28" spans="2:22" x14ac:dyDescent="0.3">
      <c r="B28" s="345" t="s">
        <v>291</v>
      </c>
      <c r="C28" s="343" t="s">
        <v>289</v>
      </c>
      <c r="D28" s="9">
        <v>190</v>
      </c>
      <c r="F28" s="324">
        <v>0.06</v>
      </c>
      <c r="G28" s="324">
        <v>0.06</v>
      </c>
      <c r="H28" s="324">
        <v>0.06</v>
      </c>
      <c r="I28" s="324">
        <v>0.06</v>
      </c>
      <c r="J28" s="324">
        <v>0.06</v>
      </c>
      <c r="K28" s="324">
        <v>0.06</v>
      </c>
      <c r="L28" s="324">
        <v>0.06</v>
      </c>
      <c r="M28" s="324">
        <v>0.06</v>
      </c>
      <c r="N28" s="324">
        <v>0.06</v>
      </c>
      <c r="O28" s="324">
        <v>0.06</v>
      </c>
      <c r="P28" s="324">
        <v>0.06</v>
      </c>
      <c r="Q28" s="324">
        <v>0.06</v>
      </c>
    </row>
    <row r="29" spans="2:22" x14ac:dyDescent="0.3">
      <c r="B29" s="345"/>
      <c r="C29" s="343"/>
      <c r="F29" s="331">
        <f t="shared" ref="F29:Q29" si="9">F22*F28</f>
        <v>138.25485</v>
      </c>
      <c r="G29" s="331">
        <f t="shared" si="9"/>
        <v>141.6447</v>
      </c>
      <c r="H29" s="331">
        <f t="shared" si="9"/>
        <v>142.61669999999998</v>
      </c>
      <c r="I29" s="331">
        <f t="shared" si="9"/>
        <v>143.58870000000002</v>
      </c>
      <c r="J29" s="331">
        <f t="shared" si="9"/>
        <v>144.56069999999997</v>
      </c>
      <c r="K29" s="331">
        <f t="shared" si="9"/>
        <v>145.53270000000001</v>
      </c>
      <c r="L29" s="331">
        <f t="shared" si="9"/>
        <v>146.50470000000001</v>
      </c>
      <c r="M29" s="331">
        <f t="shared" si="9"/>
        <v>150.36839999999998</v>
      </c>
      <c r="N29" s="331">
        <f t="shared" si="9"/>
        <v>151.34040000000002</v>
      </c>
      <c r="O29" s="331">
        <f t="shared" si="9"/>
        <v>152.3124</v>
      </c>
      <c r="P29" s="331">
        <f t="shared" si="9"/>
        <v>154.73025000000004</v>
      </c>
      <c r="Q29" s="331">
        <f t="shared" si="9"/>
        <v>155.70224999999996</v>
      </c>
    </row>
    <row r="30" spans="2:22" x14ac:dyDescent="0.3">
      <c r="B30" s="345"/>
      <c r="C30" s="343"/>
      <c r="D30" s="386" t="s">
        <v>264</v>
      </c>
      <c r="E30" s="386"/>
      <c r="F30" s="321">
        <f t="shared" ref="F30:Q30" si="10">IF($B28&gt;" ", F29*$D28," ")</f>
        <v>26268.4215</v>
      </c>
      <c r="G30" s="321">
        <f t="shared" si="10"/>
        <v>26912.492999999999</v>
      </c>
      <c r="H30" s="321">
        <f t="shared" si="10"/>
        <v>27097.172999999995</v>
      </c>
      <c r="I30" s="321">
        <f t="shared" si="10"/>
        <v>27281.853000000003</v>
      </c>
      <c r="J30" s="321">
        <f t="shared" si="10"/>
        <v>27466.532999999996</v>
      </c>
      <c r="K30" s="321">
        <f t="shared" si="10"/>
        <v>27651.213</v>
      </c>
      <c r="L30" s="321">
        <f t="shared" si="10"/>
        <v>27835.893000000004</v>
      </c>
      <c r="M30" s="321">
        <f t="shared" si="10"/>
        <v>28569.995999999996</v>
      </c>
      <c r="N30" s="321">
        <f t="shared" si="10"/>
        <v>28754.676000000003</v>
      </c>
      <c r="O30" s="321">
        <f t="shared" si="10"/>
        <v>28939.356</v>
      </c>
      <c r="P30" s="321">
        <f t="shared" si="10"/>
        <v>29398.747500000009</v>
      </c>
      <c r="Q30" s="321">
        <f t="shared" si="10"/>
        <v>29583.427499999994</v>
      </c>
    </row>
    <row r="31" spans="2:22" x14ac:dyDescent="0.3">
      <c r="B31" s="345" t="s">
        <v>292</v>
      </c>
      <c r="C31" s="343" t="s">
        <v>289</v>
      </c>
      <c r="D31" s="9">
        <v>265</v>
      </c>
      <c r="F31" s="324">
        <v>0.12</v>
      </c>
      <c r="G31" s="324">
        <v>0.12</v>
      </c>
      <c r="H31" s="324">
        <v>0.12</v>
      </c>
      <c r="I31" s="324">
        <v>0.12</v>
      </c>
      <c r="J31" s="324">
        <v>0.12</v>
      </c>
      <c r="K31" s="324">
        <v>0.12</v>
      </c>
      <c r="L31" s="324">
        <v>0.12</v>
      </c>
      <c r="M31" s="324">
        <v>0.12</v>
      </c>
      <c r="N31" s="324">
        <v>0.12</v>
      </c>
      <c r="O31" s="324">
        <v>0.12</v>
      </c>
      <c r="P31" s="324">
        <v>0.12</v>
      </c>
      <c r="Q31" s="324">
        <v>0.12</v>
      </c>
    </row>
    <row r="32" spans="2:22" x14ac:dyDescent="0.3">
      <c r="B32" s="345"/>
      <c r="C32" s="343"/>
      <c r="F32" s="331">
        <f t="shared" ref="F32:Q32" si="11">F22*F31</f>
        <v>276.50970000000001</v>
      </c>
      <c r="G32" s="331">
        <f t="shared" si="11"/>
        <v>283.2894</v>
      </c>
      <c r="H32" s="331">
        <f t="shared" si="11"/>
        <v>285.23339999999996</v>
      </c>
      <c r="I32" s="331">
        <f t="shared" si="11"/>
        <v>287.17740000000003</v>
      </c>
      <c r="J32" s="331">
        <f t="shared" si="11"/>
        <v>289.12139999999994</v>
      </c>
      <c r="K32" s="331">
        <f t="shared" si="11"/>
        <v>291.06540000000001</v>
      </c>
      <c r="L32" s="331">
        <f t="shared" si="11"/>
        <v>293.00940000000003</v>
      </c>
      <c r="M32" s="331">
        <f t="shared" si="11"/>
        <v>300.73679999999996</v>
      </c>
      <c r="N32" s="331">
        <f t="shared" si="11"/>
        <v>302.68080000000003</v>
      </c>
      <c r="O32" s="331">
        <f t="shared" si="11"/>
        <v>304.62479999999999</v>
      </c>
      <c r="P32" s="331">
        <f t="shared" si="11"/>
        <v>309.46050000000008</v>
      </c>
      <c r="Q32" s="331">
        <f t="shared" si="11"/>
        <v>311.40449999999993</v>
      </c>
    </row>
    <row r="33" spans="2:23" x14ac:dyDescent="0.3">
      <c r="B33" s="345"/>
      <c r="C33" s="343"/>
      <c r="D33" s="386" t="s">
        <v>264</v>
      </c>
      <c r="E33" s="386"/>
      <c r="F33" s="321">
        <f t="shared" ref="F33:Q33" si="12">IF($B31&gt;" ", F32*$D31," ")</f>
        <v>73275.070500000002</v>
      </c>
      <c r="G33" s="321">
        <f t="shared" si="12"/>
        <v>75071.691000000006</v>
      </c>
      <c r="H33" s="321">
        <f t="shared" si="12"/>
        <v>75586.850999999995</v>
      </c>
      <c r="I33" s="321">
        <f t="shared" si="12"/>
        <v>76102.011000000013</v>
      </c>
      <c r="J33" s="321">
        <f t="shared" si="12"/>
        <v>76617.170999999988</v>
      </c>
      <c r="K33" s="321">
        <f t="shared" si="12"/>
        <v>77132.331000000006</v>
      </c>
      <c r="L33" s="321">
        <f t="shared" si="12"/>
        <v>77647.491000000009</v>
      </c>
      <c r="M33" s="321">
        <f t="shared" si="12"/>
        <v>79695.251999999993</v>
      </c>
      <c r="N33" s="321">
        <f t="shared" si="12"/>
        <v>80210.412000000011</v>
      </c>
      <c r="O33" s="321">
        <f t="shared" si="12"/>
        <v>80725.572</v>
      </c>
      <c r="P33" s="321">
        <f t="shared" si="12"/>
        <v>82007.032500000016</v>
      </c>
      <c r="Q33" s="321">
        <f t="shared" si="12"/>
        <v>82522.192499999976</v>
      </c>
    </row>
    <row r="34" spans="2:23" x14ac:dyDescent="0.3">
      <c r="B34" s="345" t="s">
        <v>294</v>
      </c>
      <c r="C34" s="343" t="s">
        <v>289</v>
      </c>
      <c r="D34" s="9">
        <v>380</v>
      </c>
      <c r="F34" s="324">
        <v>0.28000000000000003</v>
      </c>
      <c r="G34" s="324">
        <v>0.28000000000000003</v>
      </c>
      <c r="H34" s="324">
        <v>0.28000000000000003</v>
      </c>
      <c r="I34" s="324">
        <v>0.28000000000000003</v>
      </c>
      <c r="J34" s="324">
        <v>0.28000000000000003</v>
      </c>
      <c r="K34" s="324">
        <v>0.28000000000000003</v>
      </c>
      <c r="L34" s="324">
        <v>0.28000000000000003</v>
      </c>
      <c r="M34" s="324">
        <v>0.28000000000000003</v>
      </c>
      <c r="N34" s="324">
        <v>0.28000000000000003</v>
      </c>
      <c r="O34" s="324">
        <v>0.28000000000000003</v>
      </c>
      <c r="P34" s="324">
        <v>0.28000000000000003</v>
      </c>
      <c r="Q34" s="324">
        <v>0.28000000000000003</v>
      </c>
    </row>
    <row r="35" spans="2:23" ht="13.2" customHeight="1" x14ac:dyDescent="0.3">
      <c r="B35" s="345"/>
      <c r="C35" s="343"/>
      <c r="F35" s="331">
        <f t="shared" ref="F35:Q35" si="13">F22*F34</f>
        <v>645.1893</v>
      </c>
      <c r="G35" s="331">
        <f t="shared" si="13"/>
        <v>661.0086</v>
      </c>
      <c r="H35" s="331">
        <f t="shared" si="13"/>
        <v>665.54459999999995</v>
      </c>
      <c r="I35" s="331">
        <f t="shared" si="13"/>
        <v>670.08060000000023</v>
      </c>
      <c r="J35" s="331">
        <f t="shared" si="13"/>
        <v>674.61660000000006</v>
      </c>
      <c r="K35" s="331">
        <f t="shared" si="13"/>
        <v>679.15260000000012</v>
      </c>
      <c r="L35" s="331">
        <f t="shared" si="13"/>
        <v>683.68860000000018</v>
      </c>
      <c r="M35" s="331">
        <f t="shared" si="13"/>
        <v>701.7192</v>
      </c>
      <c r="N35" s="331">
        <f t="shared" si="13"/>
        <v>706.25520000000006</v>
      </c>
      <c r="O35" s="331">
        <f t="shared" si="13"/>
        <v>710.7912</v>
      </c>
      <c r="P35" s="331">
        <f t="shared" si="13"/>
        <v>722.07450000000017</v>
      </c>
      <c r="Q35" s="331">
        <f t="shared" si="13"/>
        <v>726.61049999999989</v>
      </c>
    </row>
    <row r="36" spans="2:23" ht="13.2" customHeight="1" x14ac:dyDescent="0.3">
      <c r="B36" s="345"/>
      <c r="C36" s="343"/>
      <c r="D36" s="386" t="s">
        <v>264</v>
      </c>
      <c r="E36" s="386"/>
      <c r="F36" s="321">
        <f t="shared" ref="F36:Q36" si="14">IF($B34&gt;" ", F35*$D34," ")</f>
        <v>245171.93400000001</v>
      </c>
      <c r="G36" s="321">
        <f t="shared" si="14"/>
        <v>251183.26800000001</v>
      </c>
      <c r="H36" s="321">
        <f t="shared" si="14"/>
        <v>252906.94799999997</v>
      </c>
      <c r="I36" s="321">
        <f t="shared" si="14"/>
        <v>254630.62800000008</v>
      </c>
      <c r="J36" s="321">
        <f t="shared" si="14"/>
        <v>256354.30800000002</v>
      </c>
      <c r="K36" s="321">
        <f t="shared" si="14"/>
        <v>258077.98800000004</v>
      </c>
      <c r="L36" s="321">
        <f t="shared" si="14"/>
        <v>259801.66800000006</v>
      </c>
      <c r="M36" s="321">
        <f t="shared" si="14"/>
        <v>266653.29599999997</v>
      </c>
      <c r="N36" s="321">
        <f t="shared" si="14"/>
        <v>268376.97600000002</v>
      </c>
      <c r="O36" s="321">
        <f t="shared" si="14"/>
        <v>270100.65600000002</v>
      </c>
      <c r="P36" s="321">
        <f t="shared" si="14"/>
        <v>274388.31000000006</v>
      </c>
      <c r="Q36" s="321">
        <f t="shared" si="14"/>
        <v>276111.98999999993</v>
      </c>
    </row>
    <row r="37" spans="2:23" x14ac:dyDescent="0.3">
      <c r="B37" s="345" t="s">
        <v>293</v>
      </c>
      <c r="C37" s="343" t="s">
        <v>289</v>
      </c>
      <c r="D37" s="9">
        <v>470</v>
      </c>
      <c r="F37" s="324">
        <v>0.48</v>
      </c>
      <c r="G37" s="324">
        <v>0.48</v>
      </c>
      <c r="H37" s="324">
        <v>0.48</v>
      </c>
      <c r="I37" s="324">
        <v>0.48</v>
      </c>
      <c r="J37" s="324">
        <v>0.48</v>
      </c>
      <c r="K37" s="324">
        <v>0.48</v>
      </c>
      <c r="L37" s="324">
        <v>0.48</v>
      </c>
      <c r="M37" s="324">
        <v>0.48</v>
      </c>
      <c r="N37" s="324">
        <v>0.48</v>
      </c>
      <c r="O37" s="324">
        <v>0.48</v>
      </c>
      <c r="P37" s="324">
        <v>0.48</v>
      </c>
      <c r="Q37" s="324">
        <v>0.48</v>
      </c>
    </row>
    <row r="38" spans="2:23" x14ac:dyDescent="0.3">
      <c r="B38" s="4"/>
      <c r="F38" s="331">
        <f t="shared" ref="F38:Q38" si="15">F22*F37</f>
        <v>1106.0388</v>
      </c>
      <c r="G38" s="331">
        <f t="shared" si="15"/>
        <v>1133.1576</v>
      </c>
      <c r="H38" s="331">
        <f t="shared" si="15"/>
        <v>1140.9335999999998</v>
      </c>
      <c r="I38" s="331">
        <f t="shared" si="15"/>
        <v>1148.7096000000001</v>
      </c>
      <c r="J38" s="331">
        <f t="shared" si="15"/>
        <v>1156.4855999999997</v>
      </c>
      <c r="K38" s="331">
        <f t="shared" si="15"/>
        <v>1164.2616</v>
      </c>
      <c r="L38" s="331">
        <f t="shared" si="15"/>
        <v>1172.0376000000001</v>
      </c>
      <c r="M38" s="331">
        <f t="shared" si="15"/>
        <v>1202.9471999999998</v>
      </c>
      <c r="N38" s="331">
        <f t="shared" si="15"/>
        <v>1210.7232000000001</v>
      </c>
      <c r="O38" s="331">
        <f t="shared" si="15"/>
        <v>1218.4992</v>
      </c>
      <c r="P38" s="331">
        <f t="shared" si="15"/>
        <v>1237.8420000000003</v>
      </c>
      <c r="Q38" s="331">
        <f t="shared" si="15"/>
        <v>1245.6179999999997</v>
      </c>
    </row>
    <row r="39" spans="2:23" x14ac:dyDescent="0.3">
      <c r="B39" s="4"/>
      <c r="D39" s="386" t="s">
        <v>264</v>
      </c>
      <c r="E39" s="386"/>
      <c r="F39" s="321">
        <f t="shared" ref="F39:Q39" si="16">IF($B37&gt;" ", F38*$D37," ")</f>
        <v>519838.23600000003</v>
      </c>
      <c r="G39" s="321">
        <f t="shared" si="16"/>
        <v>532584.07200000004</v>
      </c>
      <c r="H39" s="321">
        <f t="shared" si="16"/>
        <v>536238.7919999999</v>
      </c>
      <c r="I39" s="321">
        <f t="shared" si="16"/>
        <v>539893.5120000001</v>
      </c>
      <c r="J39" s="321">
        <f t="shared" si="16"/>
        <v>543548.23199999984</v>
      </c>
      <c r="K39" s="321">
        <f t="shared" si="16"/>
        <v>547202.95200000005</v>
      </c>
      <c r="L39" s="321">
        <f t="shared" si="16"/>
        <v>550857.67200000002</v>
      </c>
      <c r="M39" s="321">
        <f t="shared" si="16"/>
        <v>565385.18399999989</v>
      </c>
      <c r="N39" s="321">
        <f t="shared" si="16"/>
        <v>569039.9040000001</v>
      </c>
      <c r="O39" s="321">
        <f t="shared" si="16"/>
        <v>572694.62399999995</v>
      </c>
      <c r="P39" s="321">
        <f t="shared" si="16"/>
        <v>581785.74000000011</v>
      </c>
      <c r="Q39" s="321">
        <f t="shared" si="16"/>
        <v>585440.45999999985</v>
      </c>
    </row>
    <row r="40" spans="2:23" ht="13.2" customHeight="1" x14ac:dyDescent="0.3">
      <c r="B40" s="332"/>
      <c r="C40" s="216"/>
      <c r="D40" s="216"/>
      <c r="E40" s="216"/>
      <c r="F40" s="333">
        <f t="shared" ref="F40:Q40" si="17">SUM(F25+F28+F31+F34+F37)</f>
        <v>1</v>
      </c>
      <c r="G40" s="333">
        <f t="shared" si="17"/>
        <v>1</v>
      </c>
      <c r="H40" s="333">
        <f t="shared" si="17"/>
        <v>1</v>
      </c>
      <c r="I40" s="333">
        <f t="shared" si="17"/>
        <v>1</v>
      </c>
      <c r="J40" s="333">
        <f t="shared" si="17"/>
        <v>1</v>
      </c>
      <c r="K40" s="333">
        <f t="shared" si="17"/>
        <v>1</v>
      </c>
      <c r="L40" s="333">
        <f t="shared" si="17"/>
        <v>1</v>
      </c>
      <c r="M40" s="333">
        <f t="shared" si="17"/>
        <v>1</v>
      </c>
      <c r="N40" s="333">
        <f t="shared" si="17"/>
        <v>1</v>
      </c>
      <c r="O40" s="333">
        <f t="shared" si="17"/>
        <v>1</v>
      </c>
      <c r="P40" s="333">
        <f t="shared" si="17"/>
        <v>1</v>
      </c>
      <c r="Q40" s="333">
        <f t="shared" si="17"/>
        <v>1</v>
      </c>
      <c r="R40" s="216"/>
      <c r="S40" s="216"/>
      <c r="T40" s="216"/>
      <c r="U40" s="216"/>
      <c r="V40" s="216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40"/>
      <c r="C42" s="205"/>
      <c r="D42" s="341"/>
      <c r="F42" s="340" t="s">
        <v>19</v>
      </c>
      <c r="G42" s="205"/>
      <c r="H42" s="205"/>
      <c r="I42" s="205"/>
      <c r="J42" s="341"/>
      <c r="L42" s="389"/>
      <c r="M42" s="389"/>
      <c r="N42" s="389"/>
      <c r="O42" s="389"/>
      <c r="P42" s="389"/>
      <c r="Q42" s="389"/>
      <c r="R42" s="389"/>
      <c r="S42" s="389"/>
      <c r="T42" s="389"/>
      <c r="U42" s="389"/>
      <c r="V42" s="389"/>
      <c r="W42" s="17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42"/>
      <c r="M43" s="342"/>
      <c r="N43" s="342"/>
      <c r="O43" s="342"/>
      <c r="P43" s="342"/>
      <c r="Q43" s="342"/>
      <c r="R43" s="342"/>
      <c r="S43" s="342"/>
      <c r="T43" s="342"/>
      <c r="U43" s="342"/>
      <c r="V43" s="342"/>
    </row>
    <row r="44" spans="2:23" x14ac:dyDescent="0.3">
      <c r="B44" s="4" t="s">
        <v>125</v>
      </c>
      <c r="D44" s="5"/>
      <c r="F44" s="18">
        <f>'IS 2023'!U17</f>
        <v>7726098.0669600004</v>
      </c>
      <c r="G44" s="1">
        <f>'IS 2024'!U17</f>
        <v>10062843.894000001</v>
      </c>
      <c r="H44" s="1">
        <f>'IS 2025'!U17</f>
        <v>10310913.874392858</v>
      </c>
      <c r="I44" s="1">
        <f>'IS 2026'!U17</f>
        <v>11289186.37125</v>
      </c>
      <c r="J44" s="196">
        <f>'IS 2027'!U17</f>
        <v>12734515.804499999</v>
      </c>
      <c r="K44" s="1"/>
    </row>
    <row r="45" spans="2:23" x14ac:dyDescent="0.3">
      <c r="B45" s="4" t="s">
        <v>3</v>
      </c>
      <c r="D45" s="5"/>
      <c r="F45" s="18">
        <f>'IS 2023'!U18</f>
        <v>-390528</v>
      </c>
      <c r="G45" s="1">
        <f>'IS 2024'!U18</f>
        <v>-390528</v>
      </c>
      <c r="H45" s="1">
        <f>'IS 2025'!U18</f>
        <v>-390528</v>
      </c>
      <c r="I45" s="1">
        <f>'IS 2026'!U18</f>
        <v>-390528</v>
      </c>
      <c r="J45" s="196">
        <f>'IS 2027'!U18</f>
        <v>-449528</v>
      </c>
      <c r="K45" s="1"/>
    </row>
    <row r="46" spans="2:23" x14ac:dyDescent="0.3">
      <c r="B46" s="4" t="s">
        <v>4</v>
      </c>
      <c r="D46" s="5"/>
      <c r="F46" s="18">
        <f>F44-F45-F48-F49-F50</f>
        <v>9089704.0669599995</v>
      </c>
      <c r="G46" s="1">
        <f>G44-G45-G48-G49-G50</f>
        <v>11426449.894000001</v>
      </c>
      <c r="H46" s="1">
        <f>H44-H45-H48-H49-H50</f>
        <v>11674519.874392858</v>
      </c>
      <c r="I46" s="1">
        <f>I44-I45-I48-I49-I50</f>
        <v>12652792.37125</v>
      </c>
      <c r="J46" s="196">
        <f>J44-J45-J48-J49-J50</f>
        <v>14157121.804499999</v>
      </c>
      <c r="K46" s="1"/>
    </row>
    <row r="47" spans="2:23" x14ac:dyDescent="0.3">
      <c r="B47" s="4" t="s">
        <v>30</v>
      </c>
      <c r="D47" s="5"/>
      <c r="F47" s="197">
        <f>F46/F44</f>
        <v>1.1764934884571741</v>
      </c>
      <c r="G47" s="19">
        <f>G46/G44</f>
        <v>1.1355090086226076</v>
      </c>
      <c r="H47" s="19">
        <f>H46/H44</f>
        <v>1.1322488012809915</v>
      </c>
      <c r="I47" s="19">
        <f>I46/I44</f>
        <v>1.1207886870813537</v>
      </c>
      <c r="J47" s="198">
        <f>J46/J44</f>
        <v>1.1117126101879189</v>
      </c>
      <c r="K47" s="19"/>
    </row>
    <row r="48" spans="2:23" x14ac:dyDescent="0.3">
      <c r="B48" s="4" t="s">
        <v>5</v>
      </c>
      <c r="D48" s="5"/>
      <c r="F48" s="18">
        <f>'IS 2023'!U39</f>
        <v>-540756</v>
      </c>
      <c r="G48" s="1">
        <f>'IS 2024'!U40</f>
        <v>-540756</v>
      </c>
      <c r="H48" s="1">
        <f>'IS 2025'!U39</f>
        <v>-540756</v>
      </c>
      <c r="I48" s="1">
        <f>'IS 2026'!U38</f>
        <v>-540756</v>
      </c>
      <c r="J48" s="196">
        <f>'IS 2027'!U38</f>
        <v>-540756</v>
      </c>
      <c r="K48" s="1"/>
    </row>
    <row r="49" spans="2:11" x14ac:dyDescent="0.3">
      <c r="B49" s="4" t="s">
        <v>6</v>
      </c>
      <c r="D49" s="5"/>
      <c r="F49" s="18">
        <f>'IS 2023'!U38</f>
        <v>-333322</v>
      </c>
      <c r="G49" s="1">
        <f>'IS 2024'!U39</f>
        <v>-333322</v>
      </c>
      <c r="H49" s="1">
        <f>'IS 2025'!U38</f>
        <v>-333322</v>
      </c>
      <c r="I49" s="1">
        <f>'IS 2026'!U37</f>
        <v>-333322</v>
      </c>
      <c r="J49" s="196">
        <f>'IS 2027'!U37</f>
        <v>-333322</v>
      </c>
      <c r="K49" s="1"/>
    </row>
    <row r="50" spans="2:11" x14ac:dyDescent="0.3">
      <c r="B50" s="4" t="s">
        <v>7</v>
      </c>
      <c r="D50" s="5"/>
      <c r="F50" s="18">
        <f>'IS 2023'!U58</f>
        <v>-99000</v>
      </c>
      <c r="G50" s="1">
        <f>'IS 2024'!U59</f>
        <v>-99000</v>
      </c>
      <c r="H50" s="1">
        <f>'IS 2025'!U58</f>
        <v>-99000</v>
      </c>
      <c r="I50" s="1">
        <f>'IS 2026'!U56</f>
        <v>-99000</v>
      </c>
      <c r="J50" s="196">
        <f>'IS 2027'!U56</f>
        <v>-99000</v>
      </c>
      <c r="K50" s="1"/>
    </row>
    <row r="51" spans="2:11" x14ac:dyDescent="0.3">
      <c r="B51" s="4" t="s">
        <v>8</v>
      </c>
      <c r="D51" s="5"/>
      <c r="F51" s="18">
        <f>F60/F44*100</f>
        <v>71.47978715394413</v>
      </c>
      <c r="G51" s="1">
        <f>F60/F44*100</f>
        <v>71.47978715394413</v>
      </c>
      <c r="H51" s="1">
        <f>F60/F44*100</f>
        <v>71.47978715394413</v>
      </c>
      <c r="I51" s="1">
        <f>I60/I44*100</f>
        <v>74.168933186571948</v>
      </c>
      <c r="J51" s="196">
        <f>J60/J44*100</f>
        <v>74.460095610775383</v>
      </c>
      <c r="K51" s="1"/>
    </row>
    <row r="52" spans="2:11" x14ac:dyDescent="0.3">
      <c r="B52" s="4" t="s">
        <v>9</v>
      </c>
      <c r="D52" s="5"/>
      <c r="F52" s="197">
        <f>F60/F44</f>
        <v>0.7147978715394413</v>
      </c>
      <c r="G52" s="19">
        <f>G60/G44</f>
        <v>0.73458310524001058</v>
      </c>
      <c r="H52" s="19">
        <f>H60/H44</f>
        <v>0.73615696842984624</v>
      </c>
      <c r="I52" s="19">
        <f>I60/I44</f>
        <v>0.7416893318657195</v>
      </c>
      <c r="J52" s="198">
        <f>J60/J44</f>
        <v>0.74460095610775379</v>
      </c>
      <c r="K52" s="19"/>
    </row>
    <row r="53" spans="2:11" x14ac:dyDescent="0.3">
      <c r="B53" s="4" t="s">
        <v>10</v>
      </c>
      <c r="D53" s="5"/>
      <c r="F53" s="18">
        <f>'IS 2023'!U59</f>
        <v>6903248.0669600004</v>
      </c>
      <c r="G53" s="1">
        <f>'IS 2024'!U60</f>
        <v>9239993.8940000013</v>
      </c>
      <c r="H53" s="1">
        <f>'IS 2025'!U59</f>
        <v>9488063.8743928578</v>
      </c>
      <c r="I53" s="1">
        <f>'IS 2025'!U59</f>
        <v>9488063.8743928578</v>
      </c>
      <c r="J53" s="196">
        <f>'IS 2027'!U57</f>
        <v>11852665.804499999</v>
      </c>
      <c r="K53" s="1"/>
    </row>
    <row r="54" spans="2:11" x14ac:dyDescent="0.3">
      <c r="B54" s="4" t="s">
        <v>22</v>
      </c>
      <c r="D54" s="5"/>
      <c r="F54" s="197">
        <f>F53/F44</f>
        <v>0.89349733942430165</v>
      </c>
      <c r="G54" s="19">
        <f>F53/F44</f>
        <v>0.89349733942430165</v>
      </c>
      <c r="H54" s="19">
        <f>F53/F44</f>
        <v>0.89349733942430165</v>
      </c>
      <c r="I54" s="19">
        <f>I53/I44</f>
        <v>0.840455951595942</v>
      </c>
      <c r="J54" s="198">
        <f>J53/J44</f>
        <v>0.93075119513469207</v>
      </c>
      <c r="K54" s="19"/>
    </row>
    <row r="55" spans="2:11" x14ac:dyDescent="0.3">
      <c r="B55" s="4" t="s">
        <v>11</v>
      </c>
      <c r="D55" s="5"/>
      <c r="F55" s="18">
        <f>'IS 2023'!U60</f>
        <v>-20532</v>
      </c>
      <c r="G55" s="1">
        <f>'IS 2024'!U61</f>
        <v>-17800</v>
      </c>
      <c r="H55" s="1">
        <f>'IS 2025'!U60</f>
        <v>-21149</v>
      </c>
      <c r="I55" s="1">
        <f>'IS 2026'!U58</f>
        <v>-21537</v>
      </c>
      <c r="J55" s="196">
        <f>'IS 2027'!U58</f>
        <v>-21292</v>
      </c>
      <c r="K55" s="1"/>
    </row>
    <row r="56" spans="2:11" x14ac:dyDescent="0.3">
      <c r="B56" s="4" t="s">
        <v>12</v>
      </c>
      <c r="D56" s="5"/>
      <c r="F56" s="18">
        <f>'IS 2023'!U61</f>
        <v>6882716.0669600004</v>
      </c>
      <c r="G56" s="1">
        <f>'IS 2024'!U62</f>
        <v>9222193.8940000013</v>
      </c>
      <c r="H56" s="1">
        <f>'IS 2025'!U61</f>
        <v>9498112.8743928578</v>
      </c>
      <c r="I56" s="1">
        <f>'IS 2026'!U59</f>
        <v>10444799.371249998</v>
      </c>
      <c r="J56" s="196">
        <f>'IS 2027'!U59</f>
        <v>11831373.804499999</v>
      </c>
      <c r="K56" s="1"/>
    </row>
    <row r="57" spans="2:11" x14ac:dyDescent="0.3">
      <c r="B57" s="4" t="s">
        <v>13</v>
      </c>
      <c r="D57" s="5"/>
      <c r="F57" s="18">
        <f>'IS 2023'!U62</f>
        <v>-858002.4</v>
      </c>
      <c r="G57" s="1">
        <f>'IS 2024'!U63</f>
        <v>-373644</v>
      </c>
      <c r="H57" s="1">
        <f>'IS 2025'!U62</f>
        <v>0</v>
      </c>
      <c r="I57" s="1">
        <f>'IS 2026'!U60</f>
        <v>0</v>
      </c>
      <c r="J57" s="196">
        <f>'IS 2027'!U60</f>
        <v>0</v>
      </c>
      <c r="K57" s="1"/>
    </row>
    <row r="58" spans="2:11" x14ac:dyDescent="0.3">
      <c r="B58" s="4" t="s">
        <v>14</v>
      </c>
      <c r="D58" s="5"/>
      <c r="F58" s="18">
        <f>'IS 2023'!U63</f>
        <v>6903248.0669600004</v>
      </c>
      <c r="G58" s="1">
        <f>'IS 2024'!U64</f>
        <v>9239993.8940000013</v>
      </c>
      <c r="H58" s="1">
        <f>'IS 2025'!U63</f>
        <v>9488063.8743928578</v>
      </c>
      <c r="I58" s="1">
        <f>'IS 2026'!U61</f>
        <v>10466336.371249998</v>
      </c>
      <c r="J58" s="196">
        <f>'IS 2027'!U61</f>
        <v>11852665.804499999</v>
      </c>
      <c r="K58" s="1"/>
    </row>
    <row r="59" spans="2:11" x14ac:dyDescent="0.3">
      <c r="B59" s="4" t="s">
        <v>15</v>
      </c>
      <c r="D59" s="5"/>
      <c r="F59" s="18">
        <f>'IS 2023'!U64</f>
        <v>-1380649.6133920001</v>
      </c>
      <c r="G59" s="1">
        <f>'IS 2024'!U65</f>
        <v>-1847998.7788000004</v>
      </c>
      <c r="H59" s="1">
        <f>'IS 2025'!U64</f>
        <v>-1897612.7748785717</v>
      </c>
      <c r="I59" s="1">
        <f>'IS 2026'!U62</f>
        <v>-2093267.27425</v>
      </c>
      <c r="J59" s="196">
        <f>'IS 2027'!U62</f>
        <v>-2370533.1609</v>
      </c>
      <c r="K59" s="1"/>
    </row>
    <row r="60" spans="2:11" x14ac:dyDescent="0.3">
      <c r="B60" s="4" t="s">
        <v>16</v>
      </c>
      <c r="D60" s="5"/>
      <c r="F60" s="18">
        <f>'IS 2023'!U65</f>
        <v>5522598.4535680003</v>
      </c>
      <c r="G60" s="1">
        <f>'IS 2024'!U66</f>
        <v>7391995.1152000008</v>
      </c>
      <c r="H60" s="1">
        <f>'IS 2025'!U65</f>
        <v>7590451.099514286</v>
      </c>
      <c r="I60" s="1">
        <f>'IS 2026'!U63</f>
        <v>8373069.0969999991</v>
      </c>
      <c r="J60" s="196">
        <f>'IS 2027'!U63</f>
        <v>9482132.6436000001</v>
      </c>
      <c r="K60" s="1"/>
    </row>
    <row r="61" spans="2:11" x14ac:dyDescent="0.3">
      <c r="B61" s="4" t="s">
        <v>17</v>
      </c>
      <c r="D61" s="5"/>
      <c r="F61" s="197">
        <f>F60/F44</f>
        <v>0.7147978715394413</v>
      </c>
      <c r="G61" s="19">
        <f>G60/G44</f>
        <v>0.73458310524001058</v>
      </c>
      <c r="H61" s="19">
        <f>H60/H44</f>
        <v>0.73615696842984624</v>
      </c>
      <c r="I61" s="19">
        <f>I60/I44</f>
        <v>0.7416893318657195</v>
      </c>
      <c r="J61" s="198">
        <f>J60/J44</f>
        <v>0.74460095610775379</v>
      </c>
      <c r="K61" s="19"/>
    </row>
    <row r="62" spans="2:11" x14ac:dyDescent="0.3">
      <c r="B62" s="4" t="s">
        <v>156</v>
      </c>
      <c r="D62" s="5"/>
      <c r="F62" s="18">
        <f>F60-F50-F55</f>
        <v>5642130.4535680003</v>
      </c>
      <c r="G62" s="1">
        <f>G60-G50-G55</f>
        <v>7508795.1152000008</v>
      </c>
      <c r="H62" s="1">
        <f>H60-H50-H55</f>
        <v>7710600.099514286</v>
      </c>
      <c r="I62" s="1">
        <f>I60-I50-I55</f>
        <v>8493606.0969999991</v>
      </c>
      <c r="J62" s="196">
        <f>J60-J50-J55</f>
        <v>9602424.6436000001</v>
      </c>
      <c r="K62" s="1"/>
    </row>
    <row r="63" spans="2:11" x14ac:dyDescent="0.3">
      <c r="B63" s="6" t="s">
        <v>155</v>
      </c>
      <c r="C63" s="344"/>
      <c r="D63" s="7"/>
      <c r="F63" s="199">
        <f>F62-F48-F49-F50</f>
        <v>6615208.4535680003</v>
      </c>
      <c r="G63" s="20">
        <f>G62-G48-G49-G50</f>
        <v>8481873.1152000017</v>
      </c>
      <c r="H63" s="20">
        <f>H62-H48-H49-H50</f>
        <v>8683678.099514287</v>
      </c>
      <c r="I63" s="20">
        <f>I62-I48-I49-I50</f>
        <v>9466684.0969999991</v>
      </c>
      <c r="J63" s="200">
        <f>J62-J48-J49-J50</f>
        <v>10575502.6436</v>
      </c>
      <c r="K63" s="1"/>
    </row>
  </sheetData>
  <mergeCells count="10">
    <mergeCell ref="D27:E27"/>
    <mergeCell ref="D30:E30"/>
    <mergeCell ref="D33:E33"/>
    <mergeCell ref="D36:E36"/>
    <mergeCell ref="D39:E39"/>
    <mergeCell ref="F6:Q6"/>
    <mergeCell ref="L42:Q42"/>
    <mergeCell ref="R42:V42"/>
    <mergeCell ref="F24:Q24"/>
    <mergeCell ref="F16:Q16"/>
  </mergeCells>
  <conditionalFormatting sqref="F40:Q40">
    <cfRule type="cellIs" dxfId="1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8BBD8-C99D-49C4-9883-A147560EF4BD}">
  <sheetPr codeName="Sheet26"/>
  <dimension ref="A1:AP81"/>
  <sheetViews>
    <sheetView showGridLines="0" topLeftCell="A43" workbookViewId="0">
      <selection activeCell="F62" sqref="F62:T62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8.88671875" style="136"/>
    <col min="8" max="8" width="9.5546875" bestFit="1" customWidth="1"/>
    <col min="9" max="9" width="9.88671875" customWidth="1"/>
    <col min="10" max="10" width="9.5546875" bestFit="1" customWidth="1"/>
    <col min="11" max="11" width="10.5546875" bestFit="1" customWidth="1"/>
    <col min="12" max="12" width="9.6640625" bestFit="1" customWidth="1"/>
    <col min="13" max="13" width="9.5546875" bestFit="1" customWidth="1"/>
    <col min="14" max="14" width="9.5546875" customWidth="1"/>
    <col min="15" max="19" width="9.5546875" bestFit="1" customWidth="1"/>
    <col min="20" max="20" width="9.332031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1" t="s">
        <v>151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153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52"/>
      <c r="B5" s="155" t="s">
        <v>185</v>
      </c>
      <c r="C5" s="152"/>
      <c r="D5" s="152"/>
      <c r="E5" s="152"/>
      <c r="F5" s="210">
        <v>2026</v>
      </c>
      <c r="G5" s="210">
        <v>2026</v>
      </c>
      <c r="H5" s="210">
        <v>2026</v>
      </c>
      <c r="I5" s="210">
        <v>2026</v>
      </c>
      <c r="J5" s="210">
        <v>2026</v>
      </c>
      <c r="K5" s="210">
        <v>2026</v>
      </c>
      <c r="L5" s="210">
        <v>2026</v>
      </c>
      <c r="M5" s="210">
        <v>2026</v>
      </c>
      <c r="N5" s="210">
        <v>2026</v>
      </c>
      <c r="O5" s="210">
        <v>2026</v>
      </c>
      <c r="P5" s="210">
        <v>2026</v>
      </c>
      <c r="Q5" s="210">
        <v>2026</v>
      </c>
      <c r="R5" s="210">
        <v>2027</v>
      </c>
      <c r="S5" s="210">
        <v>2027</v>
      </c>
      <c r="T5" s="210">
        <v>2027</v>
      </c>
      <c r="U5" s="183" t="s">
        <v>80</v>
      </c>
    </row>
    <row r="6" spans="1:42" ht="15" thickBot="1" x14ac:dyDescent="0.35">
      <c r="A6" s="154"/>
      <c r="B6" s="162" t="s">
        <v>71</v>
      </c>
      <c r="C6" s="154"/>
      <c r="D6" s="154"/>
      <c r="E6" s="154"/>
      <c r="F6" s="209" t="s">
        <v>32</v>
      </c>
      <c r="G6" s="209" t="s">
        <v>33</v>
      </c>
      <c r="H6" s="209" t="s">
        <v>34</v>
      </c>
      <c r="I6" s="209" t="s">
        <v>35</v>
      </c>
      <c r="J6" s="209" t="s">
        <v>36</v>
      </c>
      <c r="K6" s="209" t="s">
        <v>37</v>
      </c>
      <c r="L6" s="209" t="s">
        <v>38</v>
      </c>
      <c r="M6" s="209" t="s">
        <v>39</v>
      </c>
      <c r="N6" s="209" t="s">
        <v>40</v>
      </c>
      <c r="O6" s="209" t="s">
        <v>41</v>
      </c>
      <c r="P6" s="209" t="s">
        <v>42</v>
      </c>
      <c r="Q6" s="209" t="s">
        <v>43</v>
      </c>
      <c r="R6" s="209" t="s">
        <v>32</v>
      </c>
      <c r="S6" s="209" t="s">
        <v>33</v>
      </c>
      <c r="T6" s="209" t="s">
        <v>34</v>
      </c>
      <c r="U6" s="168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8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4" t="s">
        <v>152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4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45" t="s">
        <v>290</v>
      </c>
      <c r="D12" s="13"/>
      <c r="E12" s="13"/>
      <c r="F12" s="160">
        <f>'2026 Sales Summary'!F27</f>
        <v>18664.404750000002</v>
      </c>
      <c r="G12" s="160">
        <f>'2026 Sales Summary'!G27</f>
        <v>19122.034500000002</v>
      </c>
      <c r="H12" s="160">
        <f>'2026 Sales Summary'!H27</f>
        <v>19253.254499999999</v>
      </c>
      <c r="I12" s="160">
        <f>'2026 Sales Summary'!I27</f>
        <v>19384.474500000004</v>
      </c>
      <c r="J12" s="160">
        <f>'2026 Sales Summary'!J27</f>
        <v>19515.694499999994</v>
      </c>
      <c r="K12" s="160">
        <f>'2026 Sales Summary'!K27</f>
        <v>19646.914499999999</v>
      </c>
      <c r="L12" s="160">
        <f>'2026 Sales Summary'!L27</f>
        <v>19778.1345</v>
      </c>
      <c r="M12" s="160">
        <f>'2026 Sales Summary'!M27</f>
        <v>20299.733999999997</v>
      </c>
      <c r="N12" s="160">
        <f>'2026 Sales Summary'!N27</f>
        <v>20430.954000000002</v>
      </c>
      <c r="O12" s="160">
        <f>'2026 Sales Summary'!O27</f>
        <v>20562.173999999999</v>
      </c>
      <c r="P12" s="160">
        <f>'2026 Sales Summary'!P27</f>
        <v>20888.583750000005</v>
      </c>
      <c r="Q12" s="160">
        <f>'2026 Sales Summary'!Q27</f>
        <v>21019.803749999995</v>
      </c>
      <c r="R12" s="160">
        <f>'IS 2027'!F12</f>
        <v>21151.02375</v>
      </c>
      <c r="S12" s="160">
        <f>'IS 2027'!G12</f>
        <v>21282.243749999998</v>
      </c>
      <c r="T12" s="160">
        <f>'IS 2027'!H12</f>
        <v>21803.843250000005</v>
      </c>
      <c r="U12" s="13"/>
    </row>
    <row r="13" spans="1:42" x14ac:dyDescent="0.3">
      <c r="A13" s="13"/>
      <c r="B13" s="13"/>
      <c r="C13" s="145" t="s">
        <v>291</v>
      </c>
      <c r="D13" s="13"/>
      <c r="E13" s="13"/>
      <c r="F13" s="160">
        <f>'2026 Sales Summary'!F30</f>
        <v>26268.4215</v>
      </c>
      <c r="G13" s="160">
        <f>'2026 Sales Summary'!G30</f>
        <v>26912.492999999999</v>
      </c>
      <c r="H13" s="160">
        <f>'2026 Sales Summary'!H30</f>
        <v>27097.172999999995</v>
      </c>
      <c r="I13" s="160">
        <f>'2026 Sales Summary'!I30</f>
        <v>27281.853000000003</v>
      </c>
      <c r="J13" s="160">
        <f>'2026 Sales Summary'!J30</f>
        <v>27466.532999999996</v>
      </c>
      <c r="K13" s="160">
        <f>'2026 Sales Summary'!K30</f>
        <v>27651.213</v>
      </c>
      <c r="L13" s="160">
        <f>'2026 Sales Summary'!L30</f>
        <v>27835.893000000004</v>
      </c>
      <c r="M13" s="160">
        <f>'2026 Sales Summary'!M30</f>
        <v>28569.995999999996</v>
      </c>
      <c r="N13" s="160">
        <f>'2026 Sales Summary'!N30</f>
        <v>28754.676000000003</v>
      </c>
      <c r="O13" s="160">
        <f>'2026 Sales Summary'!O30</f>
        <v>28939.356</v>
      </c>
      <c r="P13" s="160">
        <f>'2026 Sales Summary'!P30</f>
        <v>29398.747500000009</v>
      </c>
      <c r="Q13" s="160">
        <f>'2026 Sales Summary'!Q30</f>
        <v>29583.427499999994</v>
      </c>
      <c r="R13" s="160">
        <f>'IS 2027'!F13</f>
        <v>29768.107500000002</v>
      </c>
      <c r="S13" s="160">
        <f>'IS 2027'!G13</f>
        <v>29952.787499999995</v>
      </c>
      <c r="T13" s="160">
        <f>'IS 2027'!H13</f>
        <v>30686.890500000005</v>
      </c>
      <c r="U13" s="13"/>
    </row>
    <row r="14" spans="1:42" x14ac:dyDescent="0.3">
      <c r="A14" s="13"/>
      <c r="B14" s="13"/>
      <c r="C14" s="145" t="s">
        <v>292</v>
      </c>
      <c r="D14" s="13"/>
      <c r="E14" s="13"/>
      <c r="F14" s="160">
        <f>'2026 Sales Summary'!F33</f>
        <v>73275.070500000002</v>
      </c>
      <c r="G14" s="160">
        <f>'2026 Sales Summary'!G33</f>
        <v>75071.691000000006</v>
      </c>
      <c r="H14" s="160">
        <f>'2026 Sales Summary'!H33</f>
        <v>75586.850999999995</v>
      </c>
      <c r="I14" s="160">
        <f>'2026 Sales Summary'!I33</f>
        <v>76102.011000000013</v>
      </c>
      <c r="J14" s="160">
        <f>'2026 Sales Summary'!J33</f>
        <v>76617.170999999988</v>
      </c>
      <c r="K14" s="160">
        <f>'2026 Sales Summary'!K33</f>
        <v>77132.331000000006</v>
      </c>
      <c r="L14" s="160">
        <f>'2026 Sales Summary'!L33</f>
        <v>77647.491000000009</v>
      </c>
      <c r="M14" s="160">
        <f>'2026 Sales Summary'!M33</f>
        <v>79695.251999999993</v>
      </c>
      <c r="N14" s="160">
        <f>'2026 Sales Summary'!N33</f>
        <v>80210.412000000011</v>
      </c>
      <c r="O14" s="160">
        <f>'2026 Sales Summary'!O33</f>
        <v>80725.572</v>
      </c>
      <c r="P14" s="160">
        <f>'2026 Sales Summary'!P33</f>
        <v>82007.032500000016</v>
      </c>
      <c r="Q14" s="160">
        <f>'2026 Sales Summary'!Q33</f>
        <v>82522.192499999976</v>
      </c>
      <c r="R14" s="160">
        <f>'IS 2027'!F14</f>
        <v>83037.352499999994</v>
      </c>
      <c r="S14" s="160">
        <f>'IS 2027'!G14</f>
        <v>83552.512499999983</v>
      </c>
      <c r="T14" s="160">
        <f>'IS 2027'!H14</f>
        <v>85600.27350000001</v>
      </c>
      <c r="U14" s="13"/>
    </row>
    <row r="15" spans="1:42" x14ac:dyDescent="0.3">
      <c r="A15" s="13"/>
      <c r="B15" s="13"/>
      <c r="C15" s="145" t="s">
        <v>294</v>
      </c>
      <c r="D15" s="13"/>
      <c r="E15" s="13"/>
      <c r="F15" s="160">
        <f>'2026 Sales Summary'!F36</f>
        <v>245171.93400000001</v>
      </c>
      <c r="G15" s="160">
        <f>'2026 Sales Summary'!G36</f>
        <v>251183.26800000001</v>
      </c>
      <c r="H15" s="160">
        <f>'2026 Sales Summary'!H36</f>
        <v>252906.94799999997</v>
      </c>
      <c r="I15" s="160">
        <f>'2026 Sales Summary'!I36</f>
        <v>254630.62800000008</v>
      </c>
      <c r="J15" s="160">
        <f>'2026 Sales Summary'!J36</f>
        <v>256354.30800000002</v>
      </c>
      <c r="K15" s="160">
        <f>'2026 Sales Summary'!K36</f>
        <v>258077.98800000004</v>
      </c>
      <c r="L15" s="160">
        <f>'2026 Sales Summary'!L36</f>
        <v>259801.66800000006</v>
      </c>
      <c r="M15" s="160">
        <f>'2026 Sales Summary'!M36</f>
        <v>266653.29599999997</v>
      </c>
      <c r="N15" s="160">
        <f>'2026 Sales Summary'!N36</f>
        <v>268376.97600000002</v>
      </c>
      <c r="O15" s="160">
        <f>'2026 Sales Summary'!O36</f>
        <v>270100.65600000002</v>
      </c>
      <c r="P15" s="160">
        <f>'2026 Sales Summary'!P36</f>
        <v>274388.31000000006</v>
      </c>
      <c r="Q15" s="160">
        <f>'2026 Sales Summary'!Q36</f>
        <v>276111.98999999993</v>
      </c>
      <c r="R15" s="160">
        <f>'IS 2027'!F15</f>
        <v>277835.67000000004</v>
      </c>
      <c r="S15" s="160">
        <f>'IS 2027'!G15</f>
        <v>279559.35000000003</v>
      </c>
      <c r="T15" s="160">
        <f>'IS 2027'!H15</f>
        <v>286410.97800000006</v>
      </c>
      <c r="U15" s="13"/>
    </row>
    <row r="16" spans="1:42" x14ac:dyDescent="0.3">
      <c r="A16" s="13"/>
      <c r="B16" s="13"/>
      <c r="C16" s="145" t="s">
        <v>293</v>
      </c>
      <c r="D16" s="13"/>
      <c r="E16" s="13"/>
      <c r="F16" s="160">
        <f>'2026 Sales Summary'!F39</f>
        <v>519838.23600000003</v>
      </c>
      <c r="G16" s="160">
        <f>'2026 Sales Summary'!G39</f>
        <v>532584.07200000004</v>
      </c>
      <c r="H16" s="160">
        <f>'2026 Sales Summary'!H39</f>
        <v>536238.7919999999</v>
      </c>
      <c r="I16" s="160">
        <f>'2026 Sales Summary'!I39</f>
        <v>539893.5120000001</v>
      </c>
      <c r="J16" s="160">
        <f>'2026 Sales Summary'!J39</f>
        <v>543548.23199999984</v>
      </c>
      <c r="K16" s="160">
        <f>'2026 Sales Summary'!K39</f>
        <v>547202.95200000005</v>
      </c>
      <c r="L16" s="160">
        <f>'2026 Sales Summary'!L39</f>
        <v>550857.67200000002</v>
      </c>
      <c r="M16" s="160">
        <f>'2026 Sales Summary'!M39</f>
        <v>565385.18399999989</v>
      </c>
      <c r="N16" s="160">
        <f>'2026 Sales Summary'!N39</f>
        <v>569039.9040000001</v>
      </c>
      <c r="O16" s="160">
        <f>'2026 Sales Summary'!O39</f>
        <v>572694.62399999995</v>
      </c>
      <c r="P16" s="160">
        <f>'2026 Sales Summary'!P39</f>
        <v>581785.74000000011</v>
      </c>
      <c r="Q16" s="160">
        <f>'2026 Sales Summary'!Q39</f>
        <v>585440.45999999985</v>
      </c>
      <c r="R16" s="160">
        <f>'IS 2027'!F16</f>
        <v>589095.18000000005</v>
      </c>
      <c r="S16" s="160">
        <f>'IS 2027'!G16</f>
        <v>592749.89999999991</v>
      </c>
      <c r="T16" s="160">
        <f>'IS 2027'!H16</f>
        <v>607277.41200000013</v>
      </c>
      <c r="U16" s="13"/>
    </row>
    <row r="17" spans="1:21" x14ac:dyDescent="0.3">
      <c r="A17" s="152"/>
      <c r="B17" s="152"/>
      <c r="C17" s="155" t="s">
        <v>125</v>
      </c>
      <c r="D17" s="152"/>
      <c r="E17" s="152"/>
      <c r="F17" s="153">
        <f t="shared" ref="F17:H17" si="0">SUM(F12:F16)</f>
        <v>883218.06675</v>
      </c>
      <c r="G17" s="153">
        <f t="shared" si="0"/>
        <v>904873.55850000004</v>
      </c>
      <c r="H17" s="153">
        <f t="shared" si="0"/>
        <v>911083.01849999989</v>
      </c>
      <c r="I17" s="153">
        <f>SUM(I12:I16)</f>
        <v>917292.4785000002</v>
      </c>
      <c r="J17" s="153">
        <f t="shared" ref="J17:T17" si="1">SUM(J12:J16)</f>
        <v>923501.93849999981</v>
      </c>
      <c r="K17" s="153">
        <f t="shared" si="1"/>
        <v>929711.39850000013</v>
      </c>
      <c r="L17" s="153">
        <f t="shared" si="1"/>
        <v>935920.85850000009</v>
      </c>
      <c r="M17" s="153">
        <f t="shared" si="1"/>
        <v>960603.46199999982</v>
      </c>
      <c r="N17" s="153">
        <f t="shared" si="1"/>
        <v>966812.92200000014</v>
      </c>
      <c r="O17" s="153">
        <f t="shared" si="1"/>
        <v>973022.38199999998</v>
      </c>
      <c r="P17" s="153">
        <f t="shared" si="1"/>
        <v>988468.41375000018</v>
      </c>
      <c r="Q17" s="153">
        <f t="shared" si="1"/>
        <v>994677.8737499998</v>
      </c>
      <c r="R17" s="153">
        <f t="shared" si="1"/>
        <v>1000887.3337500001</v>
      </c>
      <c r="S17" s="153">
        <f t="shared" si="1"/>
        <v>1007096.79375</v>
      </c>
      <c r="T17" s="153">
        <f t="shared" si="1"/>
        <v>1031779.3972500002</v>
      </c>
      <c r="U17" s="164">
        <f>SUM(F17:Q17)</f>
        <v>11289186.37125</v>
      </c>
    </row>
    <row r="18" spans="1:21" x14ac:dyDescent="0.3">
      <c r="A18" s="154"/>
      <c r="B18" s="154"/>
      <c r="C18" s="162" t="s">
        <v>126</v>
      </c>
      <c r="D18" s="154"/>
      <c r="E18" s="154"/>
      <c r="F18" s="163">
        <f>SUM(F19:F24)</f>
        <v>-32544</v>
      </c>
      <c r="G18" s="163">
        <f t="shared" ref="G18:T18" si="2">SUM(G19:G24)</f>
        <v>-32544</v>
      </c>
      <c r="H18" s="163">
        <f t="shared" si="2"/>
        <v>-32544</v>
      </c>
      <c r="I18" s="163">
        <f t="shared" si="2"/>
        <v>-32544</v>
      </c>
      <c r="J18" s="163">
        <f t="shared" si="2"/>
        <v>-32544</v>
      </c>
      <c r="K18" s="163">
        <f t="shared" si="2"/>
        <v>-32544</v>
      </c>
      <c r="L18" s="163">
        <f t="shared" si="2"/>
        <v>-32544</v>
      </c>
      <c r="M18" s="163">
        <f t="shared" si="2"/>
        <v>-32544</v>
      </c>
      <c r="N18" s="163">
        <f t="shared" si="2"/>
        <v>-32544</v>
      </c>
      <c r="O18" s="163">
        <f t="shared" si="2"/>
        <v>-32544</v>
      </c>
      <c r="P18" s="163">
        <f t="shared" si="2"/>
        <v>-32544</v>
      </c>
      <c r="Q18" s="163">
        <f t="shared" si="2"/>
        <v>-32544</v>
      </c>
      <c r="R18" s="163">
        <f t="shared" si="2"/>
        <v>-32544</v>
      </c>
      <c r="S18" s="163">
        <f t="shared" si="2"/>
        <v>-32544</v>
      </c>
      <c r="T18" s="163">
        <f t="shared" si="2"/>
        <v>-32544</v>
      </c>
      <c r="U18" s="158">
        <f t="shared" ref="U18:U63" si="3">SUM(F18:Q18)</f>
        <v>-390528</v>
      </c>
    </row>
    <row r="19" spans="1:21" x14ac:dyDescent="0.3">
      <c r="A19" s="13"/>
      <c r="B19" s="13"/>
      <c r="C19" s="145" t="s">
        <v>216</v>
      </c>
      <c r="D19" s="13"/>
      <c r="E19" s="13"/>
      <c r="F19" s="142">
        <v>-31654</v>
      </c>
      <c r="G19" s="142">
        <v>-31654</v>
      </c>
      <c r="H19" s="142">
        <v>-31654</v>
      </c>
      <c r="I19" s="142">
        <v>-31654</v>
      </c>
      <c r="J19" s="142">
        <v>-31654</v>
      </c>
      <c r="K19" s="142">
        <v>-31654</v>
      </c>
      <c r="L19" s="142">
        <v>-31654</v>
      </c>
      <c r="M19" s="142">
        <v>-31654</v>
      </c>
      <c r="N19" s="142">
        <v>-31654</v>
      </c>
      <c r="O19" s="142">
        <v>-31654</v>
      </c>
      <c r="P19" s="142">
        <v>-31654</v>
      </c>
      <c r="Q19" s="142">
        <v>-31654</v>
      </c>
      <c r="R19" s="142">
        <v>-31654</v>
      </c>
      <c r="S19" s="142">
        <v>-31654</v>
      </c>
      <c r="T19" s="142">
        <v>-31654</v>
      </c>
      <c r="U19" s="160">
        <f t="shared" si="3"/>
        <v>-379848</v>
      </c>
    </row>
    <row r="20" spans="1:21" x14ac:dyDescent="0.3">
      <c r="A20" s="13"/>
      <c r="B20" s="13"/>
      <c r="C20" s="145" t="s">
        <v>217</v>
      </c>
      <c r="D20" s="13"/>
      <c r="E20" s="13"/>
      <c r="F20" s="143">
        <v>-700</v>
      </c>
      <c r="G20" s="143">
        <v>-700</v>
      </c>
      <c r="H20" s="143">
        <v>-700</v>
      </c>
      <c r="I20" s="143">
        <v>-700</v>
      </c>
      <c r="J20" s="143">
        <v>-700</v>
      </c>
      <c r="K20" s="143">
        <v>-700</v>
      </c>
      <c r="L20" s="143">
        <v>-700</v>
      </c>
      <c r="M20" s="143">
        <v>-700</v>
      </c>
      <c r="N20" s="143">
        <v>-700</v>
      </c>
      <c r="O20" s="143">
        <v>-700</v>
      </c>
      <c r="P20" s="143">
        <v>-700</v>
      </c>
      <c r="Q20" s="143">
        <v>-700</v>
      </c>
      <c r="R20" s="143">
        <v>-700</v>
      </c>
      <c r="S20" s="143">
        <v>-700</v>
      </c>
      <c r="T20" s="143">
        <v>-700</v>
      </c>
      <c r="U20" s="160">
        <f t="shared" si="3"/>
        <v>-8400</v>
      </c>
    </row>
    <row r="21" spans="1:21" x14ac:dyDescent="0.3">
      <c r="A21" s="13"/>
      <c r="B21" s="13"/>
      <c r="C21" s="145" t="s">
        <v>218</v>
      </c>
      <c r="D21" s="13"/>
      <c r="E21" s="13"/>
      <c r="F21" s="143">
        <v>-125</v>
      </c>
      <c r="G21" s="143">
        <v>-125</v>
      </c>
      <c r="H21" s="143">
        <v>-125</v>
      </c>
      <c r="I21" s="143">
        <v>-125</v>
      </c>
      <c r="J21" s="143">
        <v>-125</v>
      </c>
      <c r="K21" s="143">
        <v>-125</v>
      </c>
      <c r="L21" s="143">
        <v>-125</v>
      </c>
      <c r="M21" s="143">
        <v>-125</v>
      </c>
      <c r="N21" s="143">
        <v>-125</v>
      </c>
      <c r="O21" s="143">
        <v>-125</v>
      </c>
      <c r="P21" s="143">
        <v>-125</v>
      </c>
      <c r="Q21" s="143">
        <v>-125</v>
      </c>
      <c r="R21" s="143">
        <v>-125</v>
      </c>
      <c r="S21" s="143">
        <v>-125</v>
      </c>
      <c r="T21" s="143">
        <v>-125</v>
      </c>
      <c r="U21" s="160">
        <f t="shared" si="3"/>
        <v>-1500</v>
      </c>
    </row>
    <row r="22" spans="1:21" x14ac:dyDescent="0.3">
      <c r="A22" s="13"/>
      <c r="B22" s="13"/>
      <c r="C22" s="145" t="s">
        <v>219</v>
      </c>
      <c r="D22" s="13"/>
      <c r="E22" s="13"/>
      <c r="F22" s="143">
        <v>-65</v>
      </c>
      <c r="G22" s="143">
        <v>-65</v>
      </c>
      <c r="H22" s="143">
        <v>-65</v>
      </c>
      <c r="I22" s="143">
        <v>-65</v>
      </c>
      <c r="J22" s="143">
        <v>-65</v>
      </c>
      <c r="K22" s="143">
        <v>-65</v>
      </c>
      <c r="L22" s="143">
        <v>-65</v>
      </c>
      <c r="M22" s="143">
        <v>-65</v>
      </c>
      <c r="N22" s="143">
        <v>-65</v>
      </c>
      <c r="O22" s="143">
        <v>-65</v>
      </c>
      <c r="P22" s="143">
        <v>-65</v>
      </c>
      <c r="Q22" s="143">
        <v>-65</v>
      </c>
      <c r="R22" s="143">
        <v>-65</v>
      </c>
      <c r="S22" s="143">
        <v>-65</v>
      </c>
      <c r="T22" s="143">
        <v>-65</v>
      </c>
      <c r="U22" s="160">
        <f t="shared" si="3"/>
        <v>-780</v>
      </c>
    </row>
    <row r="23" spans="1:21" x14ac:dyDescent="0.3">
      <c r="A23" s="13"/>
      <c r="B23" s="13"/>
      <c r="C23" s="145" t="s">
        <v>220</v>
      </c>
      <c r="D23" s="13"/>
      <c r="E23" s="1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0"/>
    </row>
    <row r="24" spans="1:21" x14ac:dyDescent="0.3">
      <c r="A24" s="13"/>
      <c r="B24" s="13"/>
      <c r="C24" s="145" t="s">
        <v>221</v>
      </c>
      <c r="D24" s="13"/>
      <c r="E24" s="1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0"/>
    </row>
    <row r="25" spans="1:21" x14ac:dyDescent="0.3">
      <c r="A25" s="13"/>
      <c r="B25" s="13"/>
      <c r="C25" s="143"/>
      <c r="D25" s="13"/>
      <c r="E25" s="1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0"/>
    </row>
    <row r="26" spans="1:21" x14ac:dyDescent="0.3">
      <c r="A26" s="165"/>
      <c r="B26" s="165"/>
      <c r="C26" s="166" t="s">
        <v>4</v>
      </c>
      <c r="D26" s="165"/>
      <c r="E26" s="165"/>
      <c r="F26" s="167">
        <f>SUM(F17+F18)</f>
        <v>850674.06675</v>
      </c>
      <c r="G26" s="167">
        <f t="shared" ref="G26:T26" si="4">SUM(G17+G18)</f>
        <v>872329.55850000004</v>
      </c>
      <c r="H26" s="167">
        <f t="shared" si="4"/>
        <v>878539.01849999989</v>
      </c>
      <c r="I26" s="167">
        <f t="shared" si="4"/>
        <v>884748.4785000002</v>
      </c>
      <c r="J26" s="167">
        <f t="shared" si="4"/>
        <v>890957.93849999981</v>
      </c>
      <c r="K26" s="167">
        <f t="shared" si="4"/>
        <v>897167.39850000013</v>
      </c>
      <c r="L26" s="167">
        <f t="shared" si="4"/>
        <v>903376.85850000009</v>
      </c>
      <c r="M26" s="167">
        <f t="shared" si="4"/>
        <v>928059.46199999982</v>
      </c>
      <c r="N26" s="167">
        <f t="shared" si="4"/>
        <v>934268.92200000014</v>
      </c>
      <c r="O26" s="167">
        <f t="shared" si="4"/>
        <v>940478.38199999998</v>
      </c>
      <c r="P26" s="167">
        <f t="shared" si="4"/>
        <v>955924.41375000018</v>
      </c>
      <c r="Q26" s="167">
        <f t="shared" si="4"/>
        <v>962133.8737499998</v>
      </c>
      <c r="R26" s="167">
        <f t="shared" si="4"/>
        <v>968343.33375000011</v>
      </c>
      <c r="S26" s="167">
        <f t="shared" si="4"/>
        <v>974552.79374999995</v>
      </c>
      <c r="T26" s="167">
        <f t="shared" si="4"/>
        <v>999235.39725000015</v>
      </c>
      <c r="U26" s="308">
        <f t="shared" si="3"/>
        <v>10898658.37125</v>
      </c>
    </row>
    <row r="27" spans="1:21" ht="15" customHeight="1" x14ac:dyDescent="0.3">
      <c r="A27" s="13"/>
      <c r="B27" s="13"/>
      <c r="C27" s="143"/>
      <c r="D27" s="13"/>
      <c r="E27" s="1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0"/>
    </row>
    <row r="28" spans="1:21" ht="15" customHeight="1" x14ac:dyDescent="0.3">
      <c r="A28" s="13"/>
      <c r="B28" s="13"/>
      <c r="C28" s="144" t="s">
        <v>6</v>
      </c>
      <c r="D28" s="13"/>
      <c r="E28" s="1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0"/>
    </row>
    <row r="29" spans="1:21" ht="15" customHeight="1" x14ac:dyDescent="0.3">
      <c r="A29" s="13"/>
      <c r="B29" s="13"/>
      <c r="C29" s="145" t="s">
        <v>127</v>
      </c>
      <c r="D29" s="13"/>
      <c r="E29" s="13"/>
      <c r="F29" s="160">
        <v>-3493</v>
      </c>
      <c r="G29" s="160">
        <v>-3493</v>
      </c>
      <c r="H29" s="160">
        <v>-3493</v>
      </c>
      <c r="I29" s="160">
        <v>-3493</v>
      </c>
      <c r="J29" s="160">
        <v>-3493</v>
      </c>
      <c r="K29" s="160">
        <v>-3493</v>
      </c>
      <c r="L29" s="160">
        <v>-3493</v>
      </c>
      <c r="M29" s="160">
        <v>-3493</v>
      </c>
      <c r="N29" s="160">
        <v>-3493</v>
      </c>
      <c r="O29" s="160">
        <v>-3493</v>
      </c>
      <c r="P29" s="160">
        <v>-3493</v>
      </c>
      <c r="Q29" s="160">
        <v>-3493</v>
      </c>
      <c r="R29" s="160">
        <v>-3493</v>
      </c>
      <c r="S29" s="160">
        <v>-3493</v>
      </c>
      <c r="T29" s="160">
        <v>-3493</v>
      </c>
      <c r="U29" s="160">
        <f t="shared" si="3"/>
        <v>-41916</v>
      </c>
    </row>
    <row r="30" spans="1:21" ht="15" customHeight="1" x14ac:dyDescent="0.3">
      <c r="A30" s="13"/>
      <c r="B30" s="13"/>
      <c r="C30" s="145" t="s">
        <v>128</v>
      </c>
      <c r="D30" s="13"/>
      <c r="E30" s="13"/>
      <c r="F30" s="160">
        <v>-13493</v>
      </c>
      <c r="G30" s="160">
        <v>-13493</v>
      </c>
      <c r="H30" s="160">
        <v>-13493</v>
      </c>
      <c r="I30" s="160">
        <v>-13493</v>
      </c>
      <c r="J30" s="160">
        <v>-13493</v>
      </c>
      <c r="K30" s="160">
        <v>-13493</v>
      </c>
      <c r="L30" s="160">
        <v>-13493</v>
      </c>
      <c r="M30" s="160">
        <v>-13493</v>
      </c>
      <c r="N30" s="160">
        <v>-13493</v>
      </c>
      <c r="O30" s="160">
        <v>-13493</v>
      </c>
      <c r="P30" s="160">
        <v>-13493</v>
      </c>
      <c r="Q30" s="160">
        <v>-13493</v>
      </c>
      <c r="R30" s="381">
        <v>-3400</v>
      </c>
      <c r="S30" s="381">
        <v>-3400</v>
      </c>
      <c r="T30" s="381">
        <v>-3400</v>
      </c>
      <c r="U30" s="160">
        <f t="shared" si="3"/>
        <v>-161916</v>
      </c>
    </row>
    <row r="31" spans="1:21" ht="15" customHeight="1" x14ac:dyDescent="0.3">
      <c r="A31" s="13"/>
      <c r="B31" s="13"/>
      <c r="C31" s="145" t="s">
        <v>129</v>
      </c>
      <c r="D31" s="13"/>
      <c r="E31" s="13"/>
      <c r="F31" s="160">
        <v>-493</v>
      </c>
      <c r="G31" s="160">
        <v>-493</v>
      </c>
      <c r="H31" s="160">
        <v>-493</v>
      </c>
      <c r="I31" s="160">
        <v>-493</v>
      </c>
      <c r="J31" s="160">
        <v>-493</v>
      </c>
      <c r="K31" s="160">
        <v>-493</v>
      </c>
      <c r="L31" s="160">
        <v>-493</v>
      </c>
      <c r="M31" s="160">
        <v>-493</v>
      </c>
      <c r="N31" s="160">
        <v>-493</v>
      </c>
      <c r="O31" s="160">
        <v>-493</v>
      </c>
      <c r="P31" s="160">
        <v>-493</v>
      </c>
      <c r="Q31" s="160">
        <v>-493</v>
      </c>
      <c r="R31" s="307" t="s">
        <v>154</v>
      </c>
      <c r="S31" s="307" t="s">
        <v>154</v>
      </c>
      <c r="T31" s="307" t="s">
        <v>154</v>
      </c>
      <c r="U31" s="160">
        <f t="shared" si="3"/>
        <v>-5916</v>
      </c>
    </row>
    <row r="32" spans="1:21" ht="15" customHeight="1" x14ac:dyDescent="0.3">
      <c r="A32" s="13"/>
      <c r="B32" s="13"/>
      <c r="C32" s="145" t="s">
        <v>130</v>
      </c>
      <c r="D32" s="13"/>
      <c r="E32" s="13"/>
      <c r="F32" s="381">
        <v>-11234</v>
      </c>
      <c r="G32" s="381">
        <v>-11234</v>
      </c>
      <c r="H32" s="381">
        <v>-11234</v>
      </c>
      <c r="I32" s="381">
        <v>-11234</v>
      </c>
      <c r="J32" s="381">
        <v>-11234</v>
      </c>
      <c r="K32" s="381">
        <v>-11234</v>
      </c>
      <c r="L32" s="381">
        <v>-11234</v>
      </c>
      <c r="M32" s="381">
        <v>-11234</v>
      </c>
      <c r="N32" s="381">
        <v>-11234</v>
      </c>
      <c r="O32" s="381">
        <v>-11234</v>
      </c>
      <c r="P32" s="381">
        <v>-11234</v>
      </c>
      <c r="Q32" s="307" t="s">
        <v>154</v>
      </c>
      <c r="R32" s="307" t="s">
        <v>154</v>
      </c>
      <c r="S32" s="307" t="s">
        <v>154</v>
      </c>
      <c r="T32" s="307" t="s">
        <v>154</v>
      </c>
      <c r="U32" s="160">
        <f t="shared" si="3"/>
        <v>-123574</v>
      </c>
    </row>
    <row r="33" spans="1:21" ht="15" customHeight="1" x14ac:dyDescent="0.3">
      <c r="A33" s="13"/>
      <c r="B33" s="13"/>
      <c r="C33" s="145" t="s">
        <v>131</v>
      </c>
      <c r="D33" s="13"/>
      <c r="E33" s="13"/>
      <c r="F33" s="161" t="s">
        <v>154</v>
      </c>
      <c r="G33" s="161" t="s">
        <v>154</v>
      </c>
      <c r="H33" s="161" t="s">
        <v>154</v>
      </c>
      <c r="I33" s="161" t="s">
        <v>154</v>
      </c>
      <c r="J33" s="161" t="s">
        <v>154</v>
      </c>
      <c r="K33" s="161" t="s">
        <v>154</v>
      </c>
      <c r="L33" s="161" t="s">
        <v>154</v>
      </c>
      <c r="M33" s="161" t="s">
        <v>154</v>
      </c>
      <c r="N33" s="161" t="s">
        <v>154</v>
      </c>
      <c r="O33" s="161" t="s">
        <v>154</v>
      </c>
      <c r="P33" s="161" t="s">
        <v>154</v>
      </c>
      <c r="Q33" s="161" t="s">
        <v>154</v>
      </c>
      <c r="R33" s="161" t="s">
        <v>154</v>
      </c>
      <c r="S33" s="161" t="s">
        <v>154</v>
      </c>
      <c r="T33" s="161" t="s">
        <v>154</v>
      </c>
      <c r="U33" s="140"/>
    </row>
    <row r="34" spans="1:21" ht="15" customHeight="1" x14ac:dyDescent="0.3">
      <c r="A34" s="13"/>
      <c r="B34" s="13"/>
      <c r="C34" s="145" t="s">
        <v>132</v>
      </c>
      <c r="D34" s="13"/>
      <c r="E34" s="13"/>
      <c r="F34" s="161" t="s">
        <v>154</v>
      </c>
      <c r="G34" s="161" t="s">
        <v>154</v>
      </c>
      <c r="H34" s="161" t="s">
        <v>154</v>
      </c>
      <c r="I34" s="161" t="s">
        <v>154</v>
      </c>
      <c r="J34" s="161" t="s">
        <v>154</v>
      </c>
      <c r="K34" s="161" t="s">
        <v>154</v>
      </c>
      <c r="L34" s="161" t="s">
        <v>154</v>
      </c>
      <c r="M34" s="161" t="s">
        <v>154</v>
      </c>
      <c r="N34" s="161" t="s">
        <v>154</v>
      </c>
      <c r="O34" s="161" t="s">
        <v>154</v>
      </c>
      <c r="P34" s="161" t="s">
        <v>154</v>
      </c>
      <c r="Q34" s="161" t="s">
        <v>154</v>
      </c>
      <c r="R34" s="161" t="s">
        <v>154</v>
      </c>
      <c r="S34" s="161" t="s">
        <v>154</v>
      </c>
      <c r="T34" s="161" t="s">
        <v>154</v>
      </c>
      <c r="U34" s="140"/>
    </row>
    <row r="35" spans="1:21" ht="15" customHeight="1" x14ac:dyDescent="0.3">
      <c r="A35" s="13"/>
      <c r="B35" s="13"/>
      <c r="C35" s="145" t="s">
        <v>133</v>
      </c>
      <c r="D35" s="13"/>
      <c r="E35" s="13"/>
      <c r="F35" s="161" t="s">
        <v>154</v>
      </c>
      <c r="G35" s="161" t="s">
        <v>154</v>
      </c>
      <c r="H35" s="161" t="s">
        <v>154</v>
      </c>
      <c r="I35" s="161" t="s">
        <v>154</v>
      </c>
      <c r="J35" s="161" t="s">
        <v>154</v>
      </c>
      <c r="K35" s="161" t="s">
        <v>154</v>
      </c>
      <c r="L35" s="161" t="s">
        <v>154</v>
      </c>
      <c r="M35" s="161" t="s">
        <v>154</v>
      </c>
      <c r="N35" s="161" t="s">
        <v>154</v>
      </c>
      <c r="O35" s="161" t="s">
        <v>154</v>
      </c>
      <c r="P35" s="161" t="s">
        <v>154</v>
      </c>
      <c r="Q35" s="161" t="s">
        <v>154</v>
      </c>
      <c r="R35" s="161" t="s">
        <v>154</v>
      </c>
      <c r="S35" s="161" t="s">
        <v>154</v>
      </c>
      <c r="T35" s="161" t="s">
        <v>154</v>
      </c>
      <c r="U35" s="140"/>
    </row>
    <row r="36" spans="1:21" ht="15" customHeight="1" x14ac:dyDescent="0.3">
      <c r="A36" s="13"/>
      <c r="B36" s="13"/>
      <c r="C36" s="145" t="s">
        <v>134</v>
      </c>
      <c r="D36" s="13"/>
      <c r="E36" s="13"/>
      <c r="F36" s="161" t="s">
        <v>154</v>
      </c>
      <c r="G36" s="161" t="s">
        <v>154</v>
      </c>
      <c r="H36" s="161" t="s">
        <v>154</v>
      </c>
      <c r="I36" s="161" t="s">
        <v>154</v>
      </c>
      <c r="J36" s="161" t="s">
        <v>154</v>
      </c>
      <c r="K36" s="161" t="s">
        <v>154</v>
      </c>
      <c r="L36" s="161" t="s">
        <v>154</v>
      </c>
      <c r="M36" s="161" t="s">
        <v>154</v>
      </c>
      <c r="N36" s="161" t="s">
        <v>154</v>
      </c>
      <c r="O36" s="161" t="s">
        <v>154</v>
      </c>
      <c r="P36" s="161" t="s">
        <v>154</v>
      </c>
      <c r="Q36" s="161" t="s">
        <v>154</v>
      </c>
      <c r="R36" s="161" t="s">
        <v>154</v>
      </c>
      <c r="S36" s="161" t="s">
        <v>154</v>
      </c>
      <c r="T36" s="161" t="s">
        <v>154</v>
      </c>
      <c r="U36" s="140"/>
    </row>
    <row r="37" spans="1:21" x14ac:dyDescent="0.3">
      <c r="A37" s="156"/>
      <c r="B37" s="156"/>
      <c r="C37" s="183" t="s">
        <v>135</v>
      </c>
      <c r="D37" s="156"/>
      <c r="E37" s="156"/>
      <c r="F37" s="164">
        <f t="shared" ref="F37:H37" si="5">SUM(F29:F36)</f>
        <v>-28713</v>
      </c>
      <c r="G37" s="164">
        <f t="shared" si="5"/>
        <v>-28713</v>
      </c>
      <c r="H37" s="164">
        <f t="shared" si="5"/>
        <v>-28713</v>
      </c>
      <c r="I37" s="164">
        <f t="shared" ref="I37:T37" si="6">SUM(I29:I36)</f>
        <v>-28713</v>
      </c>
      <c r="J37" s="164">
        <f t="shared" si="6"/>
        <v>-28713</v>
      </c>
      <c r="K37" s="164">
        <f t="shared" si="6"/>
        <v>-28713</v>
      </c>
      <c r="L37" s="164">
        <f t="shared" si="6"/>
        <v>-28713</v>
      </c>
      <c r="M37" s="164">
        <f t="shared" si="6"/>
        <v>-28713</v>
      </c>
      <c r="N37" s="164">
        <f t="shared" si="6"/>
        <v>-28713</v>
      </c>
      <c r="O37" s="164">
        <f t="shared" si="6"/>
        <v>-28713</v>
      </c>
      <c r="P37" s="164">
        <f t="shared" si="6"/>
        <v>-28713</v>
      </c>
      <c r="Q37" s="164">
        <f t="shared" si="6"/>
        <v>-17479</v>
      </c>
      <c r="R37" s="164">
        <f t="shared" si="6"/>
        <v>-6893</v>
      </c>
      <c r="S37" s="164">
        <f t="shared" si="6"/>
        <v>-6893</v>
      </c>
      <c r="T37" s="164">
        <f t="shared" si="6"/>
        <v>-6893</v>
      </c>
      <c r="U37" s="164">
        <f t="shared" si="3"/>
        <v>-333322</v>
      </c>
    </row>
    <row r="38" spans="1:21" x14ac:dyDescent="0.3">
      <c r="A38" s="157"/>
      <c r="B38" s="157"/>
      <c r="C38" s="194" t="s">
        <v>136</v>
      </c>
      <c r="D38" s="157"/>
      <c r="E38" s="157"/>
      <c r="F38" s="158">
        <v>-45063</v>
      </c>
      <c r="G38" s="158">
        <v>-45063</v>
      </c>
      <c r="H38" s="158">
        <v>-45063</v>
      </c>
      <c r="I38" s="158">
        <v>-45063</v>
      </c>
      <c r="J38" s="158">
        <v>-45063</v>
      </c>
      <c r="K38" s="158">
        <v>-45063</v>
      </c>
      <c r="L38" s="158">
        <v>-45063</v>
      </c>
      <c r="M38" s="158">
        <v>-45063</v>
      </c>
      <c r="N38" s="158">
        <v>-45063</v>
      </c>
      <c r="O38" s="158">
        <v>-45063</v>
      </c>
      <c r="P38" s="158">
        <v>-45063</v>
      </c>
      <c r="Q38" s="158">
        <v>-45063</v>
      </c>
      <c r="R38" s="158">
        <v>-45063</v>
      </c>
      <c r="S38" s="158">
        <v>-45063</v>
      </c>
      <c r="T38" s="158">
        <v>-45063</v>
      </c>
      <c r="U38" s="158">
        <f t="shared" si="3"/>
        <v>-540756</v>
      </c>
    </row>
    <row r="39" spans="1:21" x14ac:dyDescent="0.3">
      <c r="A39" s="13"/>
      <c r="B39" s="13"/>
      <c r="C39" s="143"/>
      <c r="D39" s="13"/>
      <c r="E39" s="1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0"/>
    </row>
    <row r="40" spans="1:21" x14ac:dyDescent="0.3">
      <c r="A40" s="13"/>
      <c r="B40" s="13"/>
      <c r="C40" s="144" t="s">
        <v>31</v>
      </c>
      <c r="D40" s="13"/>
      <c r="E40" s="1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0"/>
    </row>
    <row r="41" spans="1:21" x14ac:dyDescent="0.3">
      <c r="A41" s="13"/>
      <c r="B41" s="13"/>
      <c r="C41" s="143" t="s">
        <v>81</v>
      </c>
      <c r="D41" s="13"/>
      <c r="E41" s="13"/>
      <c r="F41" s="160">
        <v>-1750</v>
      </c>
      <c r="G41" s="160">
        <v>-1750</v>
      </c>
      <c r="H41" s="160">
        <v>-1750</v>
      </c>
      <c r="I41" s="160">
        <v>-1750</v>
      </c>
      <c r="J41" s="160">
        <v>-1750</v>
      </c>
      <c r="K41" s="160">
        <v>-1750</v>
      </c>
      <c r="L41" s="160">
        <v>-1750</v>
      </c>
      <c r="M41" s="160">
        <v>-1750</v>
      </c>
      <c r="N41" s="160">
        <v>-1750</v>
      </c>
      <c r="O41" s="160">
        <v>-1750</v>
      </c>
      <c r="P41" s="160">
        <v>-1750</v>
      </c>
      <c r="Q41" s="160">
        <v>-1750</v>
      </c>
      <c r="R41" s="160">
        <v>-1750</v>
      </c>
      <c r="S41" s="160">
        <v>-1750</v>
      </c>
      <c r="T41" s="160">
        <v>-1750</v>
      </c>
      <c r="U41" s="160">
        <f t="shared" si="3"/>
        <v>-21000</v>
      </c>
    </row>
    <row r="42" spans="1:21" x14ac:dyDescent="0.3">
      <c r="A42" s="13"/>
      <c r="B42" s="13"/>
      <c r="C42" s="143" t="s">
        <v>137</v>
      </c>
      <c r="D42" s="13"/>
      <c r="E42" s="13"/>
      <c r="F42" s="160">
        <v>-2550</v>
      </c>
      <c r="G42" s="160">
        <v>-2550</v>
      </c>
      <c r="H42" s="160">
        <v>-2550</v>
      </c>
      <c r="I42" s="160">
        <v>-2550</v>
      </c>
      <c r="J42" s="160">
        <v>-2550</v>
      </c>
      <c r="K42" s="160">
        <v>-2550</v>
      </c>
      <c r="L42" s="160">
        <v>-2550</v>
      </c>
      <c r="M42" s="160">
        <v>-2550</v>
      </c>
      <c r="N42" s="160">
        <v>-2550</v>
      </c>
      <c r="O42" s="160">
        <v>-2550</v>
      </c>
      <c r="P42" s="160">
        <v>-2550</v>
      </c>
      <c r="Q42" s="160">
        <v>-2550</v>
      </c>
      <c r="R42" s="160">
        <v>-2550</v>
      </c>
      <c r="S42" s="160">
        <v>-2550</v>
      </c>
      <c r="T42" s="160">
        <v>-2550</v>
      </c>
      <c r="U42" s="160">
        <f t="shared" si="3"/>
        <v>-30600</v>
      </c>
    </row>
    <row r="43" spans="1:21" x14ac:dyDescent="0.3">
      <c r="A43" s="13"/>
      <c r="B43" s="13"/>
      <c r="C43" s="143" t="s">
        <v>246</v>
      </c>
      <c r="D43" s="13"/>
      <c r="E43" s="13"/>
      <c r="F43" s="160">
        <v>-700</v>
      </c>
      <c r="G43" s="160">
        <v>-700</v>
      </c>
      <c r="H43" s="160">
        <v>-700</v>
      </c>
      <c r="I43" s="160">
        <v>-700</v>
      </c>
      <c r="J43" s="160">
        <v>-700</v>
      </c>
      <c r="K43" s="160">
        <v>-700</v>
      </c>
      <c r="L43" s="160">
        <v>-700</v>
      </c>
      <c r="M43" s="160">
        <v>-700</v>
      </c>
      <c r="N43" s="160">
        <v>-700</v>
      </c>
      <c r="O43" s="160">
        <v>-700</v>
      </c>
      <c r="P43" s="160">
        <v>-700</v>
      </c>
      <c r="Q43" s="160">
        <v>-700</v>
      </c>
      <c r="R43" s="160">
        <v>-700</v>
      </c>
      <c r="S43" s="160">
        <v>-700</v>
      </c>
      <c r="T43" s="160">
        <v>-700</v>
      </c>
      <c r="U43" s="160">
        <f t="shared" si="3"/>
        <v>-8400</v>
      </c>
    </row>
    <row r="44" spans="1:21" x14ac:dyDescent="0.3">
      <c r="A44" s="13"/>
      <c r="B44" s="13"/>
      <c r="C44" s="143" t="s">
        <v>247</v>
      </c>
      <c r="D44" s="13"/>
      <c r="E44" s="13"/>
      <c r="F44" s="160">
        <v>-1350</v>
      </c>
      <c r="G44" s="160">
        <v>-1350</v>
      </c>
      <c r="H44" s="160">
        <v>-1350</v>
      </c>
      <c r="I44" s="160">
        <v>-1350</v>
      </c>
      <c r="J44" s="160">
        <v>-1350</v>
      </c>
      <c r="K44" s="160">
        <v>-1350</v>
      </c>
      <c r="L44" s="160">
        <v>-1350</v>
      </c>
      <c r="M44" s="160">
        <v>-1350</v>
      </c>
      <c r="N44" s="160">
        <v>-1350</v>
      </c>
      <c r="O44" s="160">
        <v>-1350</v>
      </c>
      <c r="P44" s="160">
        <v>-1350</v>
      </c>
      <c r="Q44" s="160">
        <v>-1350</v>
      </c>
      <c r="R44" s="160">
        <v>-1350</v>
      </c>
      <c r="S44" s="160">
        <v>-1350</v>
      </c>
      <c r="T44" s="160">
        <v>-1350</v>
      </c>
      <c r="U44" s="160">
        <f t="shared" si="3"/>
        <v>-16200</v>
      </c>
    </row>
    <row r="45" spans="1:21" x14ac:dyDescent="0.3">
      <c r="A45" s="13"/>
      <c r="B45" s="13"/>
      <c r="C45" s="143" t="s">
        <v>241</v>
      </c>
      <c r="D45" s="13"/>
      <c r="E45" s="13"/>
      <c r="F45" s="160">
        <v>-1900</v>
      </c>
      <c r="G45" s="160">
        <v>-1900</v>
      </c>
      <c r="H45" s="160">
        <v>-1900</v>
      </c>
      <c r="I45" s="160">
        <v>-1900</v>
      </c>
      <c r="J45" s="160">
        <v>-1900</v>
      </c>
      <c r="K45" s="160">
        <v>-1900</v>
      </c>
      <c r="L45" s="160">
        <v>-1900</v>
      </c>
      <c r="M45" s="160">
        <v>-1900</v>
      </c>
      <c r="N45" s="160">
        <v>-1900</v>
      </c>
      <c r="O45" s="160">
        <v>-1900</v>
      </c>
      <c r="P45" s="160">
        <v>-1900</v>
      </c>
      <c r="Q45" s="160">
        <v>-1900</v>
      </c>
      <c r="R45" s="160">
        <v>-1900</v>
      </c>
      <c r="S45" s="160">
        <v>-1900</v>
      </c>
      <c r="T45" s="160">
        <v>-1900</v>
      </c>
      <c r="U45" s="160">
        <f t="shared" si="3"/>
        <v>-22800</v>
      </c>
    </row>
    <row r="46" spans="1:21" x14ac:dyDescent="0.3">
      <c r="A46" s="13"/>
      <c r="B46" s="13"/>
      <c r="C46" s="143" t="s">
        <v>138</v>
      </c>
      <c r="D46" s="13"/>
      <c r="E46" s="1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0"/>
    </row>
    <row r="47" spans="1:21" x14ac:dyDescent="0.3">
      <c r="A47" s="13"/>
      <c r="B47" s="13"/>
      <c r="C47" s="145" t="s">
        <v>139</v>
      </c>
      <c r="D47" s="13"/>
      <c r="E47" s="1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0"/>
    </row>
    <row r="48" spans="1:21" x14ac:dyDescent="0.3">
      <c r="A48" s="13"/>
      <c r="B48" s="13"/>
      <c r="C48" s="145" t="s">
        <v>140</v>
      </c>
      <c r="D48" s="13"/>
      <c r="E48" s="1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0"/>
    </row>
    <row r="49" spans="1:21" x14ac:dyDescent="0.3">
      <c r="A49" s="13"/>
      <c r="B49" s="13"/>
      <c r="C49" s="145" t="s">
        <v>141</v>
      </c>
      <c r="D49" s="13"/>
      <c r="E49" s="1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0"/>
    </row>
    <row r="50" spans="1:21" x14ac:dyDescent="0.3">
      <c r="A50" s="13"/>
      <c r="B50" s="13"/>
      <c r="C50" s="145" t="s">
        <v>142</v>
      </c>
      <c r="D50" s="13"/>
      <c r="E50" s="1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0"/>
    </row>
    <row r="51" spans="1:21" x14ac:dyDescent="0.3">
      <c r="A51" s="13"/>
      <c r="B51" s="13"/>
      <c r="C51" s="145" t="s">
        <v>143</v>
      </c>
      <c r="D51" s="13"/>
      <c r="E51" s="1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0"/>
    </row>
    <row r="52" spans="1:21" x14ac:dyDescent="0.3">
      <c r="A52" s="13"/>
      <c r="B52" s="13"/>
      <c r="C52" s="145" t="s">
        <v>144</v>
      </c>
      <c r="D52" s="13"/>
      <c r="E52" s="1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0"/>
    </row>
    <row r="53" spans="1:21" x14ac:dyDescent="0.3">
      <c r="A53" s="13"/>
      <c r="B53" s="13"/>
      <c r="C53" s="145" t="s">
        <v>145</v>
      </c>
      <c r="D53" s="13"/>
      <c r="E53" s="1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0"/>
    </row>
    <row r="54" spans="1:21" x14ac:dyDescent="0.3">
      <c r="A54" s="13"/>
      <c r="B54" s="13"/>
      <c r="C54" s="145" t="s">
        <v>146</v>
      </c>
      <c r="D54" s="13"/>
      <c r="E54" s="1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0"/>
    </row>
    <row r="55" spans="1:21" x14ac:dyDescent="0.3">
      <c r="A55" s="13"/>
      <c r="B55" s="13"/>
      <c r="C55" s="145" t="s">
        <v>147</v>
      </c>
      <c r="D55" s="13"/>
      <c r="E55" s="1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0"/>
    </row>
    <row r="56" spans="1:21" s="119" customFormat="1" ht="14.4" customHeight="1" x14ac:dyDescent="0.3">
      <c r="A56" s="170"/>
      <c r="B56" s="170"/>
      <c r="C56" s="171" t="s">
        <v>148</v>
      </c>
      <c r="D56" s="170"/>
      <c r="E56" s="170"/>
      <c r="F56" s="172">
        <f t="shared" ref="F56:H56" si="7">SUM(F41:F55)</f>
        <v>-8250</v>
      </c>
      <c r="G56" s="172">
        <f t="shared" si="7"/>
        <v>-8250</v>
      </c>
      <c r="H56" s="172">
        <f t="shared" si="7"/>
        <v>-8250</v>
      </c>
      <c r="I56" s="172">
        <f t="shared" ref="I56:T56" si="8">SUM(I41:I55)</f>
        <v>-8250</v>
      </c>
      <c r="J56" s="172">
        <f t="shared" si="8"/>
        <v>-8250</v>
      </c>
      <c r="K56" s="172">
        <f t="shared" si="8"/>
        <v>-8250</v>
      </c>
      <c r="L56" s="172">
        <f t="shared" si="8"/>
        <v>-8250</v>
      </c>
      <c r="M56" s="172">
        <f t="shared" si="8"/>
        <v>-8250</v>
      </c>
      <c r="N56" s="172">
        <f t="shared" si="8"/>
        <v>-8250</v>
      </c>
      <c r="O56" s="172">
        <f t="shared" si="8"/>
        <v>-8250</v>
      </c>
      <c r="P56" s="172">
        <f t="shared" si="8"/>
        <v>-8250</v>
      </c>
      <c r="Q56" s="172">
        <f t="shared" si="8"/>
        <v>-8250</v>
      </c>
      <c r="R56" s="172">
        <f t="shared" si="8"/>
        <v>-8250</v>
      </c>
      <c r="S56" s="172">
        <f t="shared" si="8"/>
        <v>-8250</v>
      </c>
      <c r="T56" s="172">
        <f t="shared" si="8"/>
        <v>-8250</v>
      </c>
      <c r="U56" s="164">
        <f t="shared" si="3"/>
        <v>-99000</v>
      </c>
    </row>
    <row r="57" spans="1:21" s="119" customFormat="1" ht="14.4" customHeight="1" x14ac:dyDescent="0.3">
      <c r="A57" s="173"/>
      <c r="B57" s="173"/>
      <c r="C57" s="174" t="s">
        <v>10</v>
      </c>
      <c r="D57" s="173"/>
      <c r="E57" s="173"/>
      <c r="F57" s="175">
        <f>F17+F18+F37+F56</f>
        <v>813711.06675</v>
      </c>
      <c r="G57" s="175">
        <f>G17+G18+G37+G56</f>
        <v>835366.55850000004</v>
      </c>
      <c r="H57" s="175">
        <f t="shared" ref="H57:T57" si="9">H17+H18+H37+H56</f>
        <v>841576.01849999989</v>
      </c>
      <c r="I57" s="175">
        <f t="shared" si="9"/>
        <v>847785.4785000002</v>
      </c>
      <c r="J57" s="175">
        <f t="shared" si="9"/>
        <v>853994.93849999981</v>
      </c>
      <c r="K57" s="175">
        <f t="shared" si="9"/>
        <v>860204.39850000013</v>
      </c>
      <c r="L57" s="175">
        <f t="shared" si="9"/>
        <v>866413.85850000009</v>
      </c>
      <c r="M57" s="175">
        <f t="shared" si="9"/>
        <v>891096.46199999982</v>
      </c>
      <c r="N57" s="175">
        <f t="shared" si="9"/>
        <v>897305.92200000014</v>
      </c>
      <c r="O57" s="175">
        <f t="shared" si="9"/>
        <v>903515.38199999998</v>
      </c>
      <c r="P57" s="175">
        <f t="shared" si="9"/>
        <v>918961.41375000018</v>
      </c>
      <c r="Q57" s="175">
        <f t="shared" si="9"/>
        <v>936404.8737499998</v>
      </c>
      <c r="R57" s="175">
        <f t="shared" si="9"/>
        <v>953200.33375000011</v>
      </c>
      <c r="S57" s="175">
        <f t="shared" si="9"/>
        <v>959409.79374999995</v>
      </c>
      <c r="T57" s="175">
        <f t="shared" si="9"/>
        <v>984092.39725000015</v>
      </c>
      <c r="U57" s="158">
        <f t="shared" si="3"/>
        <v>10466336.371249998</v>
      </c>
    </row>
    <row r="58" spans="1:21" s="119" customFormat="1" ht="14.4" customHeight="1" x14ac:dyDescent="0.3">
      <c r="A58" s="117"/>
      <c r="B58" s="117"/>
      <c r="C58" s="146" t="s">
        <v>149</v>
      </c>
      <c r="D58" s="117"/>
      <c r="E58" s="117"/>
      <c r="F58" s="355">
        <v>-1911</v>
      </c>
      <c r="G58" s="355">
        <v>-1911</v>
      </c>
      <c r="H58" s="355">
        <v>-1911</v>
      </c>
      <c r="I58" s="355">
        <v>-1756</v>
      </c>
      <c r="J58" s="355">
        <v>-1756</v>
      </c>
      <c r="K58" s="355">
        <v>-1756</v>
      </c>
      <c r="L58" s="355">
        <v>-1756</v>
      </c>
      <c r="M58" s="355">
        <v>-1756</v>
      </c>
      <c r="N58" s="355">
        <v>-1756</v>
      </c>
      <c r="O58" s="355">
        <v>-1756</v>
      </c>
      <c r="P58" s="355">
        <v>-1756</v>
      </c>
      <c r="Q58" s="355">
        <v>-1756</v>
      </c>
      <c r="R58" s="355">
        <v>-1756</v>
      </c>
      <c r="S58" s="355">
        <v>-1756</v>
      </c>
      <c r="T58" s="355">
        <v>-1756</v>
      </c>
      <c r="U58" s="355">
        <f t="shared" si="3"/>
        <v>-21537</v>
      </c>
    </row>
    <row r="59" spans="1:21" s="119" customFormat="1" ht="25.05" customHeight="1" x14ac:dyDescent="0.3">
      <c r="A59" s="117"/>
      <c r="B59" s="117"/>
      <c r="C59" s="146" t="s">
        <v>12</v>
      </c>
      <c r="D59" s="117"/>
      <c r="E59" s="117"/>
      <c r="F59" s="355">
        <f>F57+F58</f>
        <v>811800.06675</v>
      </c>
      <c r="G59" s="355">
        <f t="shared" ref="G59:T59" si="10">G57+G58</f>
        <v>833455.55850000004</v>
      </c>
      <c r="H59" s="355">
        <f t="shared" si="10"/>
        <v>839665.01849999989</v>
      </c>
      <c r="I59" s="355">
        <f t="shared" si="10"/>
        <v>846029.4785000002</v>
      </c>
      <c r="J59" s="355">
        <f t="shared" si="10"/>
        <v>852238.93849999981</v>
      </c>
      <c r="K59" s="355">
        <f t="shared" si="10"/>
        <v>858448.39850000013</v>
      </c>
      <c r="L59" s="355">
        <f t="shared" si="10"/>
        <v>864657.85850000009</v>
      </c>
      <c r="M59" s="355">
        <f t="shared" si="10"/>
        <v>889340.46199999982</v>
      </c>
      <c r="N59" s="355">
        <f t="shared" si="10"/>
        <v>895549.92200000014</v>
      </c>
      <c r="O59" s="355">
        <f t="shared" si="10"/>
        <v>901759.38199999998</v>
      </c>
      <c r="P59" s="355">
        <f t="shared" si="10"/>
        <v>917205.41375000018</v>
      </c>
      <c r="Q59" s="355">
        <f t="shared" si="10"/>
        <v>934648.8737499998</v>
      </c>
      <c r="R59" s="355">
        <f t="shared" si="10"/>
        <v>951444.33375000011</v>
      </c>
      <c r="S59" s="355">
        <f t="shared" si="10"/>
        <v>957653.79374999995</v>
      </c>
      <c r="T59" s="355">
        <f t="shared" si="10"/>
        <v>982336.39725000015</v>
      </c>
      <c r="U59" s="355">
        <f t="shared" si="3"/>
        <v>10444799.371249998</v>
      </c>
    </row>
    <row r="60" spans="1:21" s="119" customFormat="1" ht="25.05" customHeight="1" x14ac:dyDescent="0.3">
      <c r="A60" s="117"/>
      <c r="B60" s="117"/>
      <c r="C60" s="149" t="s">
        <v>150</v>
      </c>
      <c r="D60" s="150"/>
      <c r="E60" s="117"/>
      <c r="F60" s="355">
        <f>'BS 2026'!F27</f>
        <v>0</v>
      </c>
      <c r="G60" s="355">
        <f>'BS 2026'!G27</f>
        <v>0</v>
      </c>
      <c r="H60" s="355">
        <f>'BS 2026'!H27</f>
        <v>0</v>
      </c>
      <c r="I60" s="355">
        <f>'BS 2026'!I27</f>
        <v>0</v>
      </c>
      <c r="J60" s="355">
        <f>'BS 2026'!J27</f>
        <v>0</v>
      </c>
      <c r="K60" s="355">
        <f>'BS 2026'!K27</f>
        <v>0</v>
      </c>
      <c r="L60" s="355">
        <f>'BS 2026'!L27</f>
        <v>0</v>
      </c>
      <c r="M60" s="355">
        <f>'BS 2026'!M27</f>
        <v>0</v>
      </c>
      <c r="N60" s="355">
        <f>'BS 2026'!N27</f>
        <v>0</v>
      </c>
      <c r="O60" s="355">
        <f>'BS 2026'!O27</f>
        <v>0</v>
      </c>
      <c r="P60" s="355">
        <f>'BS 2026'!P27</f>
        <v>0</v>
      </c>
      <c r="Q60" s="355">
        <f>'BS 2026'!Q27</f>
        <v>0</v>
      </c>
      <c r="R60" s="355">
        <f>'BS 2026'!R27</f>
        <v>0</v>
      </c>
      <c r="S60" s="355">
        <f>'BS 2026'!S27</f>
        <v>0</v>
      </c>
      <c r="T60" s="355">
        <f>'BS 2026'!T27</f>
        <v>0</v>
      </c>
      <c r="U60" s="355">
        <f t="shared" si="3"/>
        <v>0</v>
      </c>
    </row>
    <row r="61" spans="1:21" s="119" customFormat="1" ht="25.05" customHeight="1" x14ac:dyDescent="0.3">
      <c r="A61" s="117"/>
      <c r="B61" s="117"/>
      <c r="C61" s="146" t="s">
        <v>14</v>
      </c>
      <c r="D61" s="117"/>
      <c r="E61" s="117"/>
      <c r="F61" s="355">
        <f>F57</f>
        <v>813711.06675</v>
      </c>
      <c r="G61" s="355">
        <f t="shared" ref="G61:T61" si="11">G57</f>
        <v>835366.55850000004</v>
      </c>
      <c r="H61" s="355">
        <f t="shared" si="11"/>
        <v>841576.01849999989</v>
      </c>
      <c r="I61" s="355">
        <f t="shared" si="11"/>
        <v>847785.4785000002</v>
      </c>
      <c r="J61" s="355">
        <f t="shared" si="11"/>
        <v>853994.93849999981</v>
      </c>
      <c r="K61" s="355">
        <f t="shared" si="11"/>
        <v>860204.39850000013</v>
      </c>
      <c r="L61" s="355">
        <f t="shared" si="11"/>
        <v>866413.85850000009</v>
      </c>
      <c r="M61" s="355">
        <f t="shared" si="11"/>
        <v>891096.46199999982</v>
      </c>
      <c r="N61" s="355">
        <f t="shared" si="11"/>
        <v>897305.92200000014</v>
      </c>
      <c r="O61" s="355">
        <f t="shared" si="11"/>
        <v>903515.38199999998</v>
      </c>
      <c r="P61" s="355">
        <f t="shared" si="11"/>
        <v>918961.41375000018</v>
      </c>
      <c r="Q61" s="355">
        <f t="shared" si="11"/>
        <v>936404.8737499998</v>
      </c>
      <c r="R61" s="355">
        <f t="shared" si="11"/>
        <v>953200.33375000011</v>
      </c>
      <c r="S61" s="355">
        <f t="shared" si="11"/>
        <v>959409.79374999995</v>
      </c>
      <c r="T61" s="355">
        <f t="shared" si="11"/>
        <v>984092.39725000015</v>
      </c>
      <c r="U61" s="355">
        <f t="shared" si="3"/>
        <v>10466336.371249998</v>
      </c>
    </row>
    <row r="62" spans="1:21" s="119" customFormat="1" ht="25.05" customHeight="1" x14ac:dyDescent="0.3">
      <c r="A62" s="117"/>
      <c r="B62" s="117"/>
      <c r="C62" s="149" t="s">
        <v>15</v>
      </c>
      <c r="D62" s="117"/>
      <c r="E62" s="117"/>
      <c r="F62" s="355">
        <f>(F61*0.2)*-1</f>
        <v>-162742.21335000001</v>
      </c>
      <c r="G62" s="355">
        <f t="shared" ref="G62:T62" si="12">(G61*0.2)*-1</f>
        <v>-167073.31170000002</v>
      </c>
      <c r="H62" s="355">
        <f t="shared" si="12"/>
        <v>-168315.20369999998</v>
      </c>
      <c r="I62" s="355">
        <f t="shared" si="12"/>
        <v>-169557.09570000006</v>
      </c>
      <c r="J62" s="355">
        <f t="shared" si="12"/>
        <v>-170798.98769999997</v>
      </c>
      <c r="K62" s="355">
        <f t="shared" si="12"/>
        <v>-172040.87970000005</v>
      </c>
      <c r="L62" s="355">
        <f t="shared" si="12"/>
        <v>-173282.77170000004</v>
      </c>
      <c r="M62" s="355">
        <f t="shared" si="12"/>
        <v>-178219.29239999998</v>
      </c>
      <c r="N62" s="355">
        <f t="shared" si="12"/>
        <v>-179461.18440000003</v>
      </c>
      <c r="O62" s="355">
        <f t="shared" si="12"/>
        <v>-180703.07640000002</v>
      </c>
      <c r="P62" s="355">
        <f t="shared" si="12"/>
        <v>-183792.28275000004</v>
      </c>
      <c r="Q62" s="355">
        <f t="shared" si="12"/>
        <v>-187280.97474999996</v>
      </c>
      <c r="R62" s="355">
        <f t="shared" si="12"/>
        <v>-190640.06675000003</v>
      </c>
      <c r="S62" s="355">
        <f t="shared" si="12"/>
        <v>-191881.95874999999</v>
      </c>
      <c r="T62" s="355">
        <f t="shared" si="12"/>
        <v>-196818.47945000004</v>
      </c>
      <c r="U62" s="355">
        <f t="shared" si="3"/>
        <v>-2093267.27425</v>
      </c>
    </row>
    <row r="63" spans="1:21" s="119" customFormat="1" ht="14.4" customHeight="1" x14ac:dyDescent="0.3">
      <c r="A63" s="176"/>
      <c r="B63" s="176"/>
      <c r="C63" s="177" t="s">
        <v>16</v>
      </c>
      <c r="D63" s="176"/>
      <c r="E63" s="176"/>
      <c r="F63" s="310">
        <f t="shared" ref="F63" si="13">F61+F62</f>
        <v>650968.85340000002</v>
      </c>
      <c r="G63" s="310">
        <f t="shared" ref="G63" si="14">G61+G62</f>
        <v>668293.24680000008</v>
      </c>
      <c r="H63" s="310">
        <f t="shared" ref="H63" si="15">H61+H62</f>
        <v>673260.81479999993</v>
      </c>
      <c r="I63" s="310">
        <f t="shared" ref="I63" si="16">I61+I62</f>
        <v>678228.38280000014</v>
      </c>
      <c r="J63" s="310">
        <f t="shared" ref="J63" si="17">J61+J62</f>
        <v>683195.95079999988</v>
      </c>
      <c r="K63" s="310">
        <f t="shared" ref="K63" si="18">K61+K62</f>
        <v>688163.51880000008</v>
      </c>
      <c r="L63" s="310">
        <f t="shared" ref="L63" si="19">L61+L62</f>
        <v>693131.08680000005</v>
      </c>
      <c r="M63" s="310">
        <f t="shared" ref="M63" si="20">M61+M62</f>
        <v>712877.16959999991</v>
      </c>
      <c r="N63" s="310">
        <f t="shared" ref="N63" si="21">N61+N62</f>
        <v>717844.73760000011</v>
      </c>
      <c r="O63" s="310">
        <f t="shared" ref="O63" si="22">O61+O62</f>
        <v>722812.30559999996</v>
      </c>
      <c r="P63" s="310">
        <f t="shared" ref="P63" si="23">P61+P62</f>
        <v>735169.13100000017</v>
      </c>
      <c r="Q63" s="310">
        <f t="shared" ref="Q63" si="24">Q61+Q62</f>
        <v>749123.89899999986</v>
      </c>
      <c r="R63" s="310">
        <f t="shared" ref="R63" si="25">R61+R62</f>
        <v>762560.26700000011</v>
      </c>
      <c r="S63" s="310">
        <f t="shared" ref="S63" si="26">S61+S62</f>
        <v>767527.83499999996</v>
      </c>
      <c r="T63" s="310">
        <f t="shared" ref="T63" si="27">T61+T62</f>
        <v>787273.91780000017</v>
      </c>
      <c r="U63" s="311">
        <f t="shared" si="3"/>
        <v>8373069.0969999991</v>
      </c>
    </row>
    <row r="64" spans="1:21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</sheetData>
  <phoneticPr fontId="7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30ABF-517D-41B9-B86A-39352A6E64E0}">
  <sheetPr codeName="Sheet33"/>
  <dimension ref="A2:V61"/>
  <sheetViews>
    <sheetView showGridLines="0" topLeftCell="A32" workbookViewId="0">
      <selection activeCell="G53" sqref="G53:U53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1" max="11" width="9.88671875" bestFit="1" customWidth="1"/>
    <col min="15" max="15" width="9.6640625" customWidth="1"/>
    <col min="19" max="19" width="9.5546875" customWidth="1"/>
    <col min="22" max="22" width="10.21875" bestFit="1" customWidth="1"/>
  </cols>
  <sheetData>
    <row r="2" spans="1:22" ht="18" x14ac:dyDescent="0.35">
      <c r="A2" s="139" t="s">
        <v>157</v>
      </c>
      <c r="C2" s="138"/>
      <c r="D2" s="13"/>
    </row>
    <row r="3" spans="1:22" x14ac:dyDescent="0.3">
      <c r="A3" s="137" t="s">
        <v>158</v>
      </c>
      <c r="C3" s="23"/>
    </row>
    <row r="4" spans="1:22" x14ac:dyDescent="0.3">
      <c r="A4" s="137" t="s">
        <v>159</v>
      </c>
      <c r="C4" s="23"/>
    </row>
    <row r="6" spans="1:22" x14ac:dyDescent="0.3">
      <c r="B6" s="23" t="s">
        <v>207</v>
      </c>
    </row>
    <row r="7" spans="1:22" x14ac:dyDescent="0.3">
      <c r="A7" s="151"/>
      <c r="B7" s="183" t="s">
        <v>71</v>
      </c>
      <c r="C7" s="156"/>
      <c r="D7" s="156"/>
      <c r="E7" s="156"/>
      <c r="F7" s="156"/>
      <c r="G7" s="184">
        <v>46023</v>
      </c>
      <c r="H7" s="184">
        <v>46054</v>
      </c>
      <c r="I7" s="184">
        <v>46082</v>
      </c>
      <c r="J7" s="184">
        <v>46113</v>
      </c>
      <c r="K7" s="184">
        <v>46143</v>
      </c>
      <c r="L7" s="184">
        <v>46174</v>
      </c>
      <c r="M7" s="184">
        <v>46204</v>
      </c>
      <c r="N7" s="184">
        <v>46235</v>
      </c>
      <c r="O7" s="184">
        <v>46266</v>
      </c>
      <c r="P7" s="184">
        <v>46296</v>
      </c>
      <c r="Q7" s="184">
        <v>46327</v>
      </c>
      <c r="R7" s="184">
        <v>46357</v>
      </c>
      <c r="S7" s="184">
        <v>46388</v>
      </c>
      <c r="T7" s="184">
        <v>46419</v>
      </c>
      <c r="U7" s="184">
        <v>46447</v>
      </c>
      <c r="V7" s="185" t="s">
        <v>80</v>
      </c>
    </row>
    <row r="9" spans="1:22" x14ac:dyDescent="0.3">
      <c r="B9" s="23" t="s">
        <v>183</v>
      </c>
    </row>
    <row r="10" spans="1:22" x14ac:dyDescent="0.3">
      <c r="A10" s="156"/>
      <c r="B10" s="183" t="s">
        <v>160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</row>
    <row r="11" spans="1:22" x14ac:dyDescent="0.3">
      <c r="B11" s="360" t="s">
        <v>44</v>
      </c>
      <c r="C11" s="358"/>
      <c r="D11" s="358"/>
      <c r="E11" s="358"/>
      <c r="F11" s="358"/>
      <c r="G11" s="225">
        <f>SUM(G12:G18)</f>
        <v>883218.06675</v>
      </c>
      <c r="H11" s="225">
        <f t="shared" ref="H11:R11" si="0">SUM(H12:H18)</f>
        <v>904873.55850000004</v>
      </c>
      <c r="I11" s="225">
        <f t="shared" si="0"/>
        <v>911083.01849999989</v>
      </c>
      <c r="J11" s="225">
        <f t="shared" si="0"/>
        <v>917292.4785000002</v>
      </c>
      <c r="K11" s="225">
        <f t="shared" si="0"/>
        <v>923501.93849999981</v>
      </c>
      <c r="L11" s="225">
        <f t="shared" si="0"/>
        <v>929711.39850000013</v>
      </c>
      <c r="M11" s="225">
        <f t="shared" si="0"/>
        <v>935920.85850000009</v>
      </c>
      <c r="N11" s="225">
        <f t="shared" si="0"/>
        <v>960603.46199999982</v>
      </c>
      <c r="O11" s="225">
        <f t="shared" si="0"/>
        <v>966812.92200000014</v>
      </c>
      <c r="P11" s="225">
        <f t="shared" si="0"/>
        <v>973022.38199999998</v>
      </c>
      <c r="Q11" s="225">
        <f t="shared" si="0"/>
        <v>988468.41375000018</v>
      </c>
      <c r="R11" s="225">
        <f t="shared" si="0"/>
        <v>994677.8737499998</v>
      </c>
      <c r="S11" s="225">
        <f>'CF 2027'!G11</f>
        <v>1000887.3337500001</v>
      </c>
      <c r="T11" s="225">
        <f>'CF 2027'!H11</f>
        <v>1007096.79375</v>
      </c>
      <c r="U11" s="225">
        <f>'CF 2027'!I11</f>
        <v>1031779.3972500002</v>
      </c>
      <c r="V11" s="225">
        <f>SUM(G11:R11)</f>
        <v>11289186.37125</v>
      </c>
    </row>
    <row r="12" spans="1:22" x14ac:dyDescent="0.3">
      <c r="B12" s="361" t="s">
        <v>290</v>
      </c>
      <c r="C12" s="358"/>
      <c r="D12" s="358"/>
      <c r="E12" s="358"/>
      <c r="F12" s="358"/>
      <c r="G12" s="225">
        <f>'IS 2026'!F12</f>
        <v>18664.404750000002</v>
      </c>
      <c r="H12" s="225">
        <f>'IS 2026'!G12</f>
        <v>19122.034500000002</v>
      </c>
      <c r="I12" s="225">
        <f>'IS 2026'!H12</f>
        <v>19253.254499999999</v>
      </c>
      <c r="J12" s="225">
        <f>'IS 2026'!I12</f>
        <v>19384.474500000004</v>
      </c>
      <c r="K12" s="225">
        <f>'IS 2026'!J12</f>
        <v>19515.694499999994</v>
      </c>
      <c r="L12" s="225">
        <f>'IS 2026'!K12</f>
        <v>19646.914499999999</v>
      </c>
      <c r="M12" s="225">
        <f>'IS 2026'!L12</f>
        <v>19778.1345</v>
      </c>
      <c r="N12" s="225">
        <f>'IS 2026'!M12</f>
        <v>20299.733999999997</v>
      </c>
      <c r="O12" s="225">
        <f>'IS 2026'!N12</f>
        <v>20430.954000000002</v>
      </c>
      <c r="P12" s="225">
        <f>'IS 2026'!O12</f>
        <v>20562.173999999999</v>
      </c>
      <c r="Q12" s="225">
        <f>'IS 2026'!P12</f>
        <v>20888.583750000005</v>
      </c>
      <c r="R12" s="225">
        <f>'IS 2026'!Q12</f>
        <v>21019.803749999995</v>
      </c>
      <c r="S12" s="225">
        <f>'CF 2027'!G12</f>
        <v>21151.02375</v>
      </c>
      <c r="T12" s="225">
        <f>'CF 2027'!H12</f>
        <v>21282.243749999998</v>
      </c>
      <c r="U12" s="225">
        <f>'CF 2027'!I12</f>
        <v>21803.843250000005</v>
      </c>
      <c r="V12" s="358"/>
    </row>
    <row r="13" spans="1:22" x14ac:dyDescent="0.3">
      <c r="B13" s="361" t="s">
        <v>291</v>
      </c>
      <c r="C13" s="358"/>
      <c r="D13" s="358"/>
      <c r="E13" s="358"/>
      <c r="F13" s="358"/>
      <c r="G13" s="225">
        <f>'IS 2026'!F13</f>
        <v>26268.4215</v>
      </c>
      <c r="H13" s="225">
        <f>'IS 2026'!G13</f>
        <v>26912.492999999999</v>
      </c>
      <c r="I13" s="225">
        <f>'IS 2026'!H13</f>
        <v>27097.172999999995</v>
      </c>
      <c r="J13" s="225">
        <f>'IS 2026'!I13</f>
        <v>27281.853000000003</v>
      </c>
      <c r="K13" s="225">
        <f>'IS 2026'!J13</f>
        <v>27466.532999999996</v>
      </c>
      <c r="L13" s="225">
        <f>'IS 2026'!K13</f>
        <v>27651.213</v>
      </c>
      <c r="M13" s="225">
        <f>'IS 2026'!L13</f>
        <v>27835.893000000004</v>
      </c>
      <c r="N13" s="225">
        <f>'IS 2026'!M13</f>
        <v>28569.995999999996</v>
      </c>
      <c r="O13" s="225">
        <f>'IS 2026'!N13</f>
        <v>28754.676000000003</v>
      </c>
      <c r="P13" s="225">
        <f>'IS 2026'!O13</f>
        <v>28939.356</v>
      </c>
      <c r="Q13" s="225">
        <f>'IS 2026'!P13</f>
        <v>29398.747500000009</v>
      </c>
      <c r="R13" s="225">
        <f>'IS 2026'!Q13</f>
        <v>29583.427499999994</v>
      </c>
      <c r="S13" s="225">
        <f>'CF 2027'!G13</f>
        <v>29768.107500000002</v>
      </c>
      <c r="T13" s="225">
        <f>'CF 2027'!H13</f>
        <v>29952.787499999995</v>
      </c>
      <c r="U13" s="225">
        <f>'CF 2027'!I13</f>
        <v>30686.890500000005</v>
      </c>
      <c r="V13" s="358"/>
    </row>
    <row r="14" spans="1:22" x14ac:dyDescent="0.3">
      <c r="B14" s="361" t="s">
        <v>292</v>
      </c>
      <c r="C14" s="358"/>
      <c r="D14" s="358"/>
      <c r="E14" s="358"/>
      <c r="F14" s="358"/>
      <c r="G14" s="225">
        <f>'IS 2026'!F14</f>
        <v>73275.070500000002</v>
      </c>
      <c r="H14" s="225">
        <f>'IS 2026'!G14</f>
        <v>75071.691000000006</v>
      </c>
      <c r="I14" s="225">
        <f>'IS 2026'!H14</f>
        <v>75586.850999999995</v>
      </c>
      <c r="J14" s="225">
        <f>'IS 2026'!I14</f>
        <v>76102.011000000013</v>
      </c>
      <c r="K14" s="225">
        <f>'IS 2026'!J14</f>
        <v>76617.170999999988</v>
      </c>
      <c r="L14" s="225">
        <f>'IS 2026'!K14</f>
        <v>77132.331000000006</v>
      </c>
      <c r="M14" s="225">
        <f>'IS 2026'!L14</f>
        <v>77647.491000000009</v>
      </c>
      <c r="N14" s="225">
        <f>'IS 2026'!M14</f>
        <v>79695.251999999993</v>
      </c>
      <c r="O14" s="225">
        <f>'IS 2026'!N14</f>
        <v>80210.412000000011</v>
      </c>
      <c r="P14" s="225">
        <f>'IS 2026'!O14</f>
        <v>80725.572</v>
      </c>
      <c r="Q14" s="225">
        <f>'IS 2026'!P14</f>
        <v>82007.032500000016</v>
      </c>
      <c r="R14" s="225">
        <f>'IS 2026'!Q14</f>
        <v>82522.192499999976</v>
      </c>
      <c r="S14" s="225">
        <f>'CF 2027'!G14</f>
        <v>83037.352499999994</v>
      </c>
      <c r="T14" s="225">
        <f>'CF 2027'!H14</f>
        <v>83552.512499999983</v>
      </c>
      <c r="U14" s="225">
        <f>'CF 2027'!I14</f>
        <v>85600.27350000001</v>
      </c>
      <c r="V14" s="358"/>
    </row>
    <row r="15" spans="1:22" x14ac:dyDescent="0.3">
      <c r="B15" s="361" t="s">
        <v>294</v>
      </c>
      <c r="C15" s="358"/>
      <c r="D15" s="358"/>
      <c r="E15" s="358"/>
      <c r="F15" s="358"/>
      <c r="G15" s="225">
        <f>'IS 2026'!F15</f>
        <v>245171.93400000001</v>
      </c>
      <c r="H15" s="225">
        <f>'IS 2026'!G15</f>
        <v>251183.26800000001</v>
      </c>
      <c r="I15" s="225">
        <f>'IS 2026'!H15</f>
        <v>252906.94799999997</v>
      </c>
      <c r="J15" s="225">
        <f>'IS 2026'!I15</f>
        <v>254630.62800000008</v>
      </c>
      <c r="K15" s="225">
        <f>'IS 2026'!J15</f>
        <v>256354.30800000002</v>
      </c>
      <c r="L15" s="225">
        <f>'IS 2026'!K15</f>
        <v>258077.98800000004</v>
      </c>
      <c r="M15" s="225">
        <f>'IS 2026'!L15</f>
        <v>259801.66800000006</v>
      </c>
      <c r="N15" s="225">
        <f>'IS 2026'!M15</f>
        <v>266653.29599999997</v>
      </c>
      <c r="O15" s="225">
        <f>'IS 2026'!N15</f>
        <v>268376.97600000002</v>
      </c>
      <c r="P15" s="225">
        <f>'IS 2026'!O15</f>
        <v>270100.65600000002</v>
      </c>
      <c r="Q15" s="225">
        <f>'IS 2026'!P15</f>
        <v>274388.31000000006</v>
      </c>
      <c r="R15" s="225">
        <f>'IS 2026'!Q15</f>
        <v>276111.98999999993</v>
      </c>
      <c r="S15" s="225">
        <f>'CF 2027'!G15</f>
        <v>277835.67000000004</v>
      </c>
      <c r="T15" s="225">
        <f>'CF 2027'!H15</f>
        <v>279559.35000000003</v>
      </c>
      <c r="U15" s="225">
        <f>'CF 2027'!I15</f>
        <v>286410.97800000006</v>
      </c>
      <c r="V15" s="358"/>
    </row>
    <row r="16" spans="1:22" x14ac:dyDescent="0.3">
      <c r="B16" s="361" t="s">
        <v>293</v>
      </c>
      <c r="C16" s="358"/>
      <c r="D16" s="358"/>
      <c r="E16" s="358"/>
      <c r="F16" s="358"/>
      <c r="G16" s="225">
        <f>'IS 2026'!F16</f>
        <v>519838.23600000003</v>
      </c>
      <c r="H16" s="225">
        <f>'IS 2026'!G16</f>
        <v>532584.07200000004</v>
      </c>
      <c r="I16" s="225">
        <f>'IS 2026'!H16</f>
        <v>536238.7919999999</v>
      </c>
      <c r="J16" s="225">
        <f>'IS 2026'!I16</f>
        <v>539893.5120000001</v>
      </c>
      <c r="K16" s="225">
        <f>'IS 2026'!J16</f>
        <v>543548.23199999984</v>
      </c>
      <c r="L16" s="225">
        <f>'IS 2026'!K16</f>
        <v>547202.95200000005</v>
      </c>
      <c r="M16" s="225">
        <f>'IS 2026'!L16</f>
        <v>550857.67200000002</v>
      </c>
      <c r="N16" s="225">
        <f>'IS 2026'!M16</f>
        <v>565385.18399999989</v>
      </c>
      <c r="O16" s="225">
        <f>'IS 2026'!N16</f>
        <v>569039.9040000001</v>
      </c>
      <c r="P16" s="225">
        <f>'IS 2026'!O16</f>
        <v>572694.62399999995</v>
      </c>
      <c r="Q16" s="225">
        <f>'IS 2026'!P16</f>
        <v>581785.74000000011</v>
      </c>
      <c r="R16" s="225">
        <f>'IS 2026'!Q16</f>
        <v>585440.45999999985</v>
      </c>
      <c r="S16" s="225">
        <f>'CF 2027'!G16</f>
        <v>589095.18000000005</v>
      </c>
      <c r="T16" s="225">
        <f>'CF 2027'!H16</f>
        <v>592749.89999999991</v>
      </c>
      <c r="U16" s="225">
        <f>'CF 2027'!I16</f>
        <v>607277.41200000013</v>
      </c>
      <c r="V16" s="358"/>
    </row>
    <row r="17" spans="1:22" x14ac:dyDescent="0.3">
      <c r="B17" s="362" t="s">
        <v>132</v>
      </c>
      <c r="C17" s="358"/>
      <c r="D17" s="358"/>
      <c r="E17" s="358"/>
      <c r="F17" s="358"/>
      <c r="G17" s="225"/>
      <c r="H17" s="225"/>
      <c r="I17" s="225"/>
      <c r="J17" s="225"/>
      <c r="K17" s="225"/>
      <c r="L17" s="225"/>
      <c r="M17" s="225"/>
      <c r="N17" s="225"/>
      <c r="O17" s="225"/>
      <c r="P17" s="358"/>
      <c r="Q17" s="225"/>
      <c r="R17" s="225"/>
      <c r="S17" s="225"/>
      <c r="T17" s="225"/>
      <c r="U17" s="225"/>
      <c r="V17" s="358"/>
    </row>
    <row r="18" spans="1:22" x14ac:dyDescent="0.3">
      <c r="B18" s="362" t="s">
        <v>133</v>
      </c>
      <c r="C18" s="358"/>
      <c r="D18" s="358"/>
      <c r="E18" s="358"/>
      <c r="F18" s="358"/>
      <c r="G18" s="225"/>
      <c r="H18" s="225"/>
      <c r="I18" s="225"/>
      <c r="J18" s="225"/>
      <c r="K18" s="225"/>
      <c r="L18" s="225"/>
      <c r="M18" s="225"/>
      <c r="N18" s="225"/>
      <c r="O18" s="225"/>
      <c r="P18" s="358"/>
      <c r="Q18" s="225"/>
      <c r="R18" s="225"/>
      <c r="S18" s="225"/>
      <c r="T18" s="225"/>
      <c r="U18" s="225"/>
      <c r="V18" s="358"/>
    </row>
    <row r="19" spans="1:22" x14ac:dyDescent="0.3">
      <c r="B19" s="360" t="s">
        <v>45</v>
      </c>
      <c r="C19" s="358"/>
      <c r="D19" s="358"/>
      <c r="E19" s="358"/>
      <c r="F19" s="358"/>
      <c r="G19" s="225">
        <v>-200</v>
      </c>
      <c r="H19" s="225">
        <v>-200</v>
      </c>
      <c r="I19" s="225">
        <v>-200</v>
      </c>
      <c r="J19" s="225">
        <v>-200</v>
      </c>
      <c r="K19" s="225">
        <v>-200</v>
      </c>
      <c r="L19" s="225">
        <v>-200</v>
      </c>
      <c r="M19" s="225">
        <v>-200</v>
      </c>
      <c r="N19" s="225">
        <v>-200</v>
      </c>
      <c r="O19" s="225">
        <v>-200</v>
      </c>
      <c r="P19" s="225">
        <v>-200</v>
      </c>
      <c r="Q19" s="225">
        <v>-200</v>
      </c>
      <c r="R19" s="225">
        <v>-200</v>
      </c>
      <c r="S19" s="225">
        <v>-200</v>
      </c>
      <c r="T19" s="225">
        <v>-200</v>
      </c>
      <c r="U19" s="225">
        <v>-200</v>
      </c>
      <c r="V19" s="225">
        <f>SUM(G19:R19)</f>
        <v>-2400</v>
      </c>
    </row>
    <row r="20" spans="1:22" x14ac:dyDescent="0.3">
      <c r="B20" s="360" t="s">
        <v>161</v>
      </c>
      <c r="C20" s="358"/>
      <c r="D20" s="358"/>
      <c r="E20" s="358"/>
      <c r="F20" s="358"/>
      <c r="G20" s="225">
        <f>'IS 2026'!F60</f>
        <v>0</v>
      </c>
      <c r="H20" s="225">
        <f>'IS 2026'!G60</f>
        <v>0</v>
      </c>
      <c r="I20" s="225">
        <f>'IS 2026'!H60</f>
        <v>0</v>
      </c>
      <c r="J20" s="225">
        <f>'IS 2026'!I60</f>
        <v>0</v>
      </c>
      <c r="K20" s="225">
        <f>'IS 2026'!J60</f>
        <v>0</v>
      </c>
      <c r="L20" s="225">
        <f>'IS 2026'!K60</f>
        <v>0</v>
      </c>
      <c r="M20" s="225">
        <f>'IS 2026'!L60</f>
        <v>0</v>
      </c>
      <c r="N20" s="225">
        <f>'IS 2026'!M60</f>
        <v>0</v>
      </c>
      <c r="O20" s="225">
        <f>'IS 2026'!N60</f>
        <v>0</v>
      </c>
      <c r="P20" s="225">
        <f>'IS 2026'!O60</f>
        <v>0</v>
      </c>
      <c r="Q20" s="225">
        <f>'IS 2026'!P60</f>
        <v>0</v>
      </c>
      <c r="R20" s="225">
        <f>'IS 2026'!Q60</f>
        <v>0</v>
      </c>
      <c r="S20" s="225">
        <f>'IS 2026'!R60</f>
        <v>0</v>
      </c>
      <c r="T20" s="225">
        <f>'IS 2026'!S60</f>
        <v>0</v>
      </c>
      <c r="U20" s="225">
        <f>'IS 2026'!T60</f>
        <v>0</v>
      </c>
      <c r="V20" s="358"/>
    </row>
    <row r="21" spans="1:22" x14ac:dyDescent="0.3">
      <c r="B21" s="360" t="s">
        <v>162</v>
      </c>
      <c r="C21" s="358"/>
      <c r="D21" s="358"/>
      <c r="E21" s="358"/>
      <c r="F21" s="358"/>
      <c r="G21" s="225">
        <f>'IS 2026'!F62</f>
        <v>-162742.21335000001</v>
      </c>
      <c r="H21" s="225">
        <f>'IS 2026'!G62</f>
        <v>-167073.31170000002</v>
      </c>
      <c r="I21" s="225">
        <f>'IS 2026'!H62</f>
        <v>-168315.20369999998</v>
      </c>
      <c r="J21" s="225">
        <f>'IS 2026'!I62</f>
        <v>-169557.09570000006</v>
      </c>
      <c r="K21" s="225">
        <f>'IS 2026'!J62</f>
        <v>-170798.98769999997</v>
      </c>
      <c r="L21" s="225">
        <f>'IS 2026'!K62</f>
        <v>-172040.87970000005</v>
      </c>
      <c r="M21" s="225">
        <f>'IS 2026'!L62</f>
        <v>-173282.77170000004</v>
      </c>
      <c r="N21" s="225">
        <f>'IS 2026'!M62</f>
        <v>-178219.29239999998</v>
      </c>
      <c r="O21" s="225">
        <f>'IS 2026'!N62</f>
        <v>-179461.18440000003</v>
      </c>
      <c r="P21" s="225">
        <f>'IS 2026'!O62</f>
        <v>-180703.07640000002</v>
      </c>
      <c r="Q21" s="225">
        <f>'IS 2026'!P62</f>
        <v>-183792.28275000004</v>
      </c>
      <c r="R21" s="225">
        <f>'IS 2026'!Q62</f>
        <v>-187280.97474999996</v>
      </c>
      <c r="S21" s="225">
        <f>'IS 2026'!R62</f>
        <v>-190640.06675000003</v>
      </c>
      <c r="T21" s="225">
        <f>'IS 2026'!S62</f>
        <v>-191881.95874999999</v>
      </c>
      <c r="U21" s="225">
        <f>'IS 2026'!T62</f>
        <v>-196818.47945000004</v>
      </c>
      <c r="V21" s="358"/>
    </row>
    <row r="22" spans="1:22" x14ac:dyDescent="0.3">
      <c r="A22" s="156"/>
      <c r="B22" s="186" t="s">
        <v>163</v>
      </c>
      <c r="C22" s="156"/>
      <c r="D22" s="156"/>
      <c r="E22" s="156"/>
      <c r="F22" s="156"/>
      <c r="G22" s="164">
        <f>G11</f>
        <v>883218.06675</v>
      </c>
      <c r="H22" s="164">
        <f t="shared" ref="H22:U22" si="1">H11</f>
        <v>904873.55850000004</v>
      </c>
      <c r="I22" s="164">
        <f t="shared" si="1"/>
        <v>911083.01849999989</v>
      </c>
      <c r="J22" s="164">
        <f t="shared" si="1"/>
        <v>917292.4785000002</v>
      </c>
      <c r="K22" s="164">
        <f t="shared" si="1"/>
        <v>923501.93849999981</v>
      </c>
      <c r="L22" s="164">
        <f t="shared" si="1"/>
        <v>929711.39850000013</v>
      </c>
      <c r="M22" s="164">
        <f t="shared" si="1"/>
        <v>935920.85850000009</v>
      </c>
      <c r="N22" s="164">
        <f t="shared" si="1"/>
        <v>960603.46199999982</v>
      </c>
      <c r="O22" s="164">
        <f t="shared" si="1"/>
        <v>966812.92200000014</v>
      </c>
      <c r="P22" s="164">
        <f t="shared" si="1"/>
        <v>973022.38199999998</v>
      </c>
      <c r="Q22" s="164">
        <f t="shared" si="1"/>
        <v>988468.41375000018</v>
      </c>
      <c r="R22" s="164">
        <f t="shared" si="1"/>
        <v>994677.8737499998</v>
      </c>
      <c r="S22" s="164">
        <f t="shared" si="1"/>
        <v>1000887.3337500001</v>
      </c>
      <c r="T22" s="164">
        <f t="shared" si="1"/>
        <v>1007096.79375</v>
      </c>
      <c r="U22" s="164">
        <f t="shared" si="1"/>
        <v>1031779.3972500002</v>
      </c>
      <c r="V22" s="164">
        <f>SUM(G22:R22)</f>
        <v>11289186.37125</v>
      </c>
    </row>
    <row r="23" spans="1:22" x14ac:dyDescent="0.3">
      <c r="A23" s="157"/>
      <c r="B23" s="212" t="s">
        <v>164</v>
      </c>
      <c r="C23" s="157"/>
      <c r="D23" s="157"/>
      <c r="E23" s="157"/>
      <c r="F23" s="157"/>
      <c r="G23" s="158">
        <f>SUM(G19:G21)</f>
        <v>-162942.21335000001</v>
      </c>
      <c r="H23" s="158">
        <f t="shared" ref="H23:U23" si="2">SUM(H19:H21)</f>
        <v>-167273.31170000002</v>
      </c>
      <c r="I23" s="158">
        <f t="shared" si="2"/>
        <v>-168515.20369999998</v>
      </c>
      <c r="J23" s="158">
        <f t="shared" si="2"/>
        <v>-169757.09570000006</v>
      </c>
      <c r="K23" s="158">
        <f t="shared" si="2"/>
        <v>-170998.98769999997</v>
      </c>
      <c r="L23" s="158">
        <f t="shared" si="2"/>
        <v>-172240.87970000005</v>
      </c>
      <c r="M23" s="158">
        <f t="shared" si="2"/>
        <v>-173482.77170000004</v>
      </c>
      <c r="N23" s="158">
        <f t="shared" si="2"/>
        <v>-178419.29239999998</v>
      </c>
      <c r="O23" s="158">
        <f t="shared" si="2"/>
        <v>-179661.18440000003</v>
      </c>
      <c r="P23" s="158">
        <f t="shared" si="2"/>
        <v>-180903.07640000002</v>
      </c>
      <c r="Q23" s="158">
        <f t="shared" si="2"/>
        <v>-183992.28275000004</v>
      </c>
      <c r="R23" s="158">
        <f t="shared" si="2"/>
        <v>-187480.97474999996</v>
      </c>
      <c r="S23" s="158">
        <f t="shared" si="2"/>
        <v>-190840.06675000003</v>
      </c>
      <c r="T23" s="158">
        <f t="shared" si="2"/>
        <v>-192081.95874999999</v>
      </c>
      <c r="U23" s="158">
        <f t="shared" si="2"/>
        <v>-197018.47945000004</v>
      </c>
      <c r="V23" s="158">
        <f>SUM(G23:R23)</f>
        <v>-2095667.27425</v>
      </c>
    </row>
    <row r="24" spans="1:22" x14ac:dyDescent="0.3">
      <c r="B24" s="159" t="s">
        <v>165</v>
      </c>
      <c r="C24" s="159"/>
      <c r="D24" s="159"/>
      <c r="E24" s="159"/>
      <c r="F24" s="159"/>
      <c r="G24" s="160">
        <f>'IS 2026'!F63+G35</f>
        <v>650968.85340000002</v>
      </c>
      <c r="H24" s="160">
        <f>'IS 2026'!G63+H35</f>
        <v>668293.24680000008</v>
      </c>
      <c r="I24" s="160">
        <f>'IS 2026'!H63+I35</f>
        <v>673260.81479999993</v>
      </c>
      <c r="J24" s="160">
        <f>'IS 2026'!I63+J35</f>
        <v>678228.38280000014</v>
      </c>
      <c r="K24" s="160">
        <f>'IS 2026'!J63+K35</f>
        <v>683195.95079999988</v>
      </c>
      <c r="L24" s="160">
        <f>'IS 2026'!K63+L35</f>
        <v>688163.51880000008</v>
      </c>
      <c r="M24" s="160">
        <f>'IS 2026'!L63+M35</f>
        <v>693131.08680000005</v>
      </c>
      <c r="N24" s="160">
        <f>'IS 2026'!M63+N35</f>
        <v>712877.16959999991</v>
      </c>
      <c r="O24" s="160">
        <f>'IS 2026'!N63+O35</f>
        <v>717844.73760000011</v>
      </c>
      <c r="P24" s="160">
        <f>'IS 2026'!O63+P35</f>
        <v>722812.30559999996</v>
      </c>
      <c r="Q24" s="160">
        <f>'IS 2026'!P63+Q35</f>
        <v>735169.13100000017</v>
      </c>
      <c r="R24" s="160">
        <f>'IS 2026'!Q63+R35</f>
        <v>749123.89899999986</v>
      </c>
      <c r="S24" s="160">
        <f>'IS 2027'!F63+S35</f>
        <v>745104.26700000011</v>
      </c>
      <c r="T24" s="160">
        <f>'IS 2027'!G63+T35</f>
        <v>750071.83499999996</v>
      </c>
      <c r="U24" s="160">
        <f>'IS 2027'!H63+U35</f>
        <v>765097.91780000017</v>
      </c>
      <c r="V24" s="160">
        <f>SUM(G24:R24)</f>
        <v>8373069.0969999991</v>
      </c>
    </row>
    <row r="25" spans="1:22" x14ac:dyDescent="0.3">
      <c r="B25" s="159" t="s">
        <v>209</v>
      </c>
      <c r="C25" s="159"/>
      <c r="D25" s="159"/>
      <c r="E25" s="159"/>
      <c r="F25" s="159"/>
      <c r="G25" s="160">
        <f>G24-'IS 2026'!F58</f>
        <v>652879.85340000002</v>
      </c>
      <c r="H25" s="160">
        <f>H24-'IS 2026'!G58</f>
        <v>670204.24680000008</v>
      </c>
      <c r="I25" s="160">
        <f>I24-'IS 2026'!H58</f>
        <v>675171.81479999993</v>
      </c>
      <c r="J25" s="160">
        <f>J24-'IS 2026'!I58</f>
        <v>679984.38280000014</v>
      </c>
      <c r="K25" s="160">
        <f>K24-'IS 2026'!J58</f>
        <v>684951.95079999988</v>
      </c>
      <c r="L25" s="160">
        <f>L24-'IS 2026'!K58</f>
        <v>689919.51880000008</v>
      </c>
      <c r="M25" s="160">
        <f>M24-'IS 2026'!L58</f>
        <v>694887.08680000005</v>
      </c>
      <c r="N25" s="160">
        <f>N24-'IS 2026'!M58</f>
        <v>714633.16959999991</v>
      </c>
      <c r="O25" s="160">
        <f>O24-'IS 2026'!N58</f>
        <v>719600.73760000011</v>
      </c>
      <c r="P25" s="160">
        <f>P24-'IS 2026'!O58</f>
        <v>724568.30559999996</v>
      </c>
      <c r="Q25" s="160">
        <f>Q24-'IS 2026'!P58</f>
        <v>736925.13100000017</v>
      </c>
      <c r="R25" s="160">
        <f>R24-'IS 2026'!Q58</f>
        <v>750879.89899999986</v>
      </c>
      <c r="S25" s="160">
        <f>S24-'IS 2026'!R58</f>
        <v>746860.26700000011</v>
      </c>
      <c r="T25" s="160">
        <f>T24-'IS 2026'!S58</f>
        <v>751827.83499999996</v>
      </c>
      <c r="U25" s="160">
        <f>U24-'IS 2026'!T58</f>
        <v>766853.91780000017</v>
      </c>
      <c r="V25" s="160"/>
    </row>
    <row r="26" spans="1:22" x14ac:dyDescent="0.3">
      <c r="B26" s="364" t="s">
        <v>166</v>
      </c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60">
        <f>'CF 2027'!G26</f>
        <v>0</v>
      </c>
      <c r="T26" s="160">
        <f>'CF 2027'!H26</f>
        <v>0</v>
      </c>
      <c r="U26" s="160">
        <f>'CF 2027'!I26</f>
        <v>0</v>
      </c>
      <c r="V26" s="358"/>
    </row>
    <row r="27" spans="1:22" x14ac:dyDescent="0.3">
      <c r="B27" s="366" t="s">
        <v>167</v>
      </c>
      <c r="C27" s="159"/>
      <c r="D27" s="159"/>
      <c r="E27" s="159"/>
      <c r="F27" s="159"/>
      <c r="G27" s="160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60">
        <f>'CF 2027'!G27</f>
        <v>0</v>
      </c>
      <c r="T27" s="160">
        <f>'CF 2027'!H27</f>
        <v>0</v>
      </c>
      <c r="U27" s="160">
        <f>'CF 2027'!I27</f>
        <v>0</v>
      </c>
      <c r="V27" s="358"/>
    </row>
    <row r="28" spans="1:22" x14ac:dyDescent="0.3">
      <c r="B28" s="367" t="s">
        <v>127</v>
      </c>
      <c r="C28" s="159"/>
      <c r="D28" s="159"/>
      <c r="E28" s="159"/>
      <c r="F28" s="159"/>
      <c r="G28" s="160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368">
        <f>'CF 2027'!G28</f>
        <v>0</v>
      </c>
      <c r="T28" s="160">
        <f>'CF 2027'!H28</f>
        <v>0</v>
      </c>
      <c r="U28" s="160">
        <f>'CF 2027'!I28</f>
        <v>0</v>
      </c>
      <c r="V28" s="358"/>
    </row>
    <row r="29" spans="1:22" x14ac:dyDescent="0.3">
      <c r="B29" s="366" t="s">
        <v>168</v>
      </c>
      <c r="C29" s="159"/>
      <c r="D29" s="159"/>
      <c r="E29" s="159"/>
      <c r="F29" s="159"/>
      <c r="G29" s="160">
        <f>SUM(G27:G28)</f>
        <v>0</v>
      </c>
      <c r="H29" s="160">
        <f t="shared" ref="H29:R29" si="3">SUM(H27:H28)</f>
        <v>0</v>
      </c>
      <c r="I29" s="160">
        <f t="shared" si="3"/>
        <v>0</v>
      </c>
      <c r="J29" s="160">
        <f t="shared" si="3"/>
        <v>0</v>
      </c>
      <c r="K29" s="160">
        <f t="shared" si="3"/>
        <v>0</v>
      </c>
      <c r="L29" s="160">
        <f t="shared" si="3"/>
        <v>0</v>
      </c>
      <c r="M29" s="160">
        <f t="shared" si="3"/>
        <v>0</v>
      </c>
      <c r="N29" s="160">
        <f t="shared" si="3"/>
        <v>0</v>
      </c>
      <c r="O29" s="160">
        <f t="shared" si="3"/>
        <v>0</v>
      </c>
      <c r="P29" s="160">
        <f t="shared" si="3"/>
        <v>0</v>
      </c>
      <c r="Q29" s="160">
        <f t="shared" si="3"/>
        <v>0</v>
      </c>
      <c r="R29" s="160">
        <f t="shared" si="3"/>
        <v>0</v>
      </c>
      <c r="S29" s="160">
        <f>'CF 2027'!G29</f>
        <v>0</v>
      </c>
      <c r="T29" s="160">
        <f>'CF 2027'!H29</f>
        <v>0</v>
      </c>
      <c r="U29" s="160">
        <f>'CF 2027'!I29</f>
        <v>0</v>
      </c>
      <c r="V29" s="358"/>
    </row>
    <row r="30" spans="1:22" x14ac:dyDescent="0.3">
      <c r="B30" s="369" t="s">
        <v>169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60">
        <f>'CF 2027'!G30</f>
        <v>0</v>
      </c>
      <c r="T30" s="160">
        <f>'CF 2027'!H30</f>
        <v>0</v>
      </c>
      <c r="U30" s="160">
        <f>'CF 2027'!I30</f>
        <v>0</v>
      </c>
      <c r="V30" s="358"/>
    </row>
    <row r="31" spans="1:22" x14ac:dyDescent="0.3">
      <c r="B31" s="360" t="s">
        <v>170</v>
      </c>
      <c r="C31" s="358"/>
      <c r="D31" s="358"/>
      <c r="E31" s="358"/>
      <c r="F31" s="358"/>
      <c r="G31" s="225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225">
        <f>'CF 2027'!G31</f>
        <v>0</v>
      </c>
      <c r="T31" s="225">
        <f>'CF 2027'!H31</f>
        <v>0</v>
      </c>
      <c r="U31" s="225">
        <f>'CF 2027'!I31</f>
        <v>0</v>
      </c>
      <c r="V31" s="358"/>
    </row>
    <row r="32" spans="1:22" x14ac:dyDescent="0.3">
      <c r="B32" s="362" t="s">
        <v>127</v>
      </c>
      <c r="C32" s="358"/>
      <c r="D32" s="358"/>
      <c r="E32" s="358"/>
      <c r="F32" s="358"/>
      <c r="G32" s="225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225">
        <f>'CF 2027'!G32</f>
        <v>0</v>
      </c>
      <c r="T32" s="225">
        <f>'CF 2027'!H32</f>
        <v>0</v>
      </c>
      <c r="U32" s="225">
        <f>'CF 2027'!I32</f>
        <v>0</v>
      </c>
      <c r="V32" s="358"/>
    </row>
    <row r="33" spans="1:22" x14ac:dyDescent="0.3">
      <c r="B33" s="362" t="s">
        <v>128</v>
      </c>
      <c r="C33" s="358"/>
      <c r="D33" s="358"/>
      <c r="E33" s="358"/>
      <c r="F33" s="358"/>
      <c r="G33" s="225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225">
        <f>'CF 2027'!G33</f>
        <v>0</v>
      </c>
      <c r="T33" s="225">
        <f>'CF 2027'!H33</f>
        <v>0</v>
      </c>
      <c r="U33" s="225">
        <f>'CF 2027'!I33</f>
        <v>0</v>
      </c>
      <c r="V33" s="358"/>
    </row>
    <row r="34" spans="1:22" x14ac:dyDescent="0.3">
      <c r="B34" s="362" t="s">
        <v>129</v>
      </c>
      <c r="C34" s="358"/>
      <c r="D34" s="358"/>
      <c r="E34" s="358"/>
      <c r="F34" s="358"/>
      <c r="G34" s="225"/>
      <c r="H34" s="358"/>
      <c r="I34" s="358"/>
      <c r="J34" s="358"/>
      <c r="K34" s="358"/>
      <c r="L34" s="358"/>
      <c r="M34" s="358"/>
      <c r="N34" s="358"/>
      <c r="O34" s="358"/>
      <c r="P34" s="358"/>
      <c r="Q34" s="358"/>
      <c r="R34" s="358"/>
      <c r="S34" s="225">
        <f>'CF 2027'!G34</f>
        <v>0</v>
      </c>
      <c r="T34" s="225">
        <f>'CF 2027'!H34</f>
        <v>0</v>
      </c>
      <c r="U34" s="225">
        <f>'CF 2027'!I34</f>
        <v>0</v>
      </c>
      <c r="V34" s="358"/>
    </row>
    <row r="35" spans="1:22" x14ac:dyDescent="0.3">
      <c r="B35" s="360" t="s">
        <v>171</v>
      </c>
      <c r="C35" s="358"/>
      <c r="D35" s="358"/>
      <c r="E35" s="358"/>
      <c r="F35" s="358"/>
      <c r="G35" s="380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>
        <f>SUM(G31:R35)</f>
        <v>0</v>
      </c>
    </row>
    <row r="36" spans="1:22" x14ac:dyDescent="0.3">
      <c r="B36" s="362" t="s">
        <v>127</v>
      </c>
      <c r="C36" s="358"/>
      <c r="D36" s="358"/>
      <c r="E36" s="358"/>
      <c r="F36" s="358"/>
      <c r="G36" s="358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>
        <f>'CF 2027'!G36</f>
        <v>0</v>
      </c>
      <c r="T36" s="225">
        <f>'CF 2027'!H36</f>
        <v>0</v>
      </c>
      <c r="U36" s="225">
        <f>'CF 2027'!I36</f>
        <v>0</v>
      </c>
      <c r="V36" s="358"/>
    </row>
    <row r="37" spans="1:22" x14ac:dyDescent="0.3">
      <c r="B37" s="360" t="s">
        <v>172</v>
      </c>
      <c r="C37" s="358"/>
      <c r="D37" s="358"/>
      <c r="E37" s="358"/>
      <c r="F37" s="358"/>
      <c r="G37" s="225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225">
        <f>'CF 2027'!G37</f>
        <v>0</v>
      </c>
      <c r="T37" s="225">
        <f>'CF 2027'!H37</f>
        <v>0</v>
      </c>
      <c r="U37" s="225">
        <f>'CF 2027'!I37</f>
        <v>0</v>
      </c>
      <c r="V37" s="358"/>
    </row>
    <row r="38" spans="1:22" x14ac:dyDescent="0.3">
      <c r="B38" s="362" t="s">
        <v>127</v>
      </c>
      <c r="C38" s="358"/>
      <c r="D38" s="358"/>
      <c r="E38" s="358"/>
      <c r="F38" s="358"/>
      <c r="G38" s="225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225">
        <f>'CF 2027'!G38</f>
        <v>0</v>
      </c>
      <c r="T38" s="225">
        <f>'CF 2027'!H38</f>
        <v>0</v>
      </c>
      <c r="U38" s="225">
        <f>'CF 2027'!I38</f>
        <v>0</v>
      </c>
      <c r="V38" s="358"/>
    </row>
    <row r="39" spans="1:22" x14ac:dyDescent="0.3">
      <c r="B39" s="360" t="s">
        <v>173</v>
      </c>
      <c r="C39" s="358"/>
      <c r="D39" s="358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225">
        <f>'CF 2027'!G39</f>
        <v>0</v>
      </c>
      <c r="T39" s="225">
        <f>'CF 2027'!H39</f>
        <v>0</v>
      </c>
      <c r="U39" s="225">
        <f>'CF 2027'!I39</f>
        <v>0</v>
      </c>
      <c r="V39" s="358"/>
    </row>
    <row r="40" spans="1:22" x14ac:dyDescent="0.3">
      <c r="B40" s="362" t="s">
        <v>127</v>
      </c>
      <c r="C40" s="358"/>
      <c r="D40" s="358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58"/>
      <c r="P40" s="358"/>
      <c r="Q40" s="358"/>
      <c r="R40" s="358"/>
      <c r="S40" s="225">
        <f>'CF 2027'!G40</f>
        <v>0</v>
      </c>
      <c r="T40" s="225">
        <f>'CF 2027'!H40</f>
        <v>0</v>
      </c>
      <c r="U40" s="225">
        <f>'CF 2027'!I40</f>
        <v>0</v>
      </c>
      <c r="V40" s="358"/>
    </row>
    <row r="41" spans="1:22" x14ac:dyDescent="0.3">
      <c r="B41" s="360" t="s">
        <v>174</v>
      </c>
      <c r="C41" s="358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225">
        <f>'CF 2027'!G41</f>
        <v>0</v>
      </c>
      <c r="T41" s="225">
        <f>'CF 2027'!H41</f>
        <v>0</v>
      </c>
      <c r="U41" s="225">
        <f>'CF 2027'!I41</f>
        <v>0</v>
      </c>
      <c r="V41" s="358"/>
    </row>
    <row r="42" spans="1:22" x14ac:dyDescent="0.3">
      <c r="B42" s="362" t="s">
        <v>127</v>
      </c>
      <c r="C42" s="358"/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225">
        <f>'CF 2027'!G42</f>
        <v>0</v>
      </c>
      <c r="T42" s="225">
        <f>'CF 2027'!H42</f>
        <v>0</v>
      </c>
      <c r="U42" s="225">
        <f>'CF 2027'!I42</f>
        <v>0</v>
      </c>
      <c r="V42" s="358"/>
    </row>
    <row r="43" spans="1:22" x14ac:dyDescent="0.3">
      <c r="B43" s="360" t="s">
        <v>52</v>
      </c>
      <c r="C43" s="358"/>
      <c r="D43" s="358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225">
        <f>'CF 2027'!G43</f>
        <v>0</v>
      </c>
      <c r="T43" s="225">
        <f>'CF 2027'!H43</f>
        <v>0</v>
      </c>
      <c r="U43" s="225">
        <f>'CF 2027'!I43</f>
        <v>0</v>
      </c>
      <c r="V43" s="358"/>
    </row>
    <row r="44" spans="1:22" x14ac:dyDescent="0.3">
      <c r="B44" s="360" t="s">
        <v>175</v>
      </c>
      <c r="C44" s="358"/>
      <c r="D44" s="358"/>
      <c r="E44" s="358"/>
      <c r="F44" s="358"/>
      <c r="G44" s="225">
        <f>SUM(G31:G43)</f>
        <v>0</v>
      </c>
      <c r="H44" s="225">
        <f t="shared" ref="H44:R44" si="4">SUM(H31:H43)</f>
        <v>0</v>
      </c>
      <c r="I44" s="225">
        <f t="shared" si="4"/>
        <v>0</v>
      </c>
      <c r="J44" s="225">
        <f t="shared" si="4"/>
        <v>0</v>
      </c>
      <c r="K44" s="225">
        <f t="shared" si="4"/>
        <v>0</v>
      </c>
      <c r="L44" s="225">
        <f t="shared" si="4"/>
        <v>0</v>
      </c>
      <c r="M44" s="225">
        <f t="shared" si="4"/>
        <v>0</v>
      </c>
      <c r="N44" s="225">
        <f t="shared" si="4"/>
        <v>0</v>
      </c>
      <c r="O44" s="225">
        <f t="shared" si="4"/>
        <v>0</v>
      </c>
      <c r="P44" s="225">
        <f t="shared" si="4"/>
        <v>0</v>
      </c>
      <c r="Q44" s="225">
        <f t="shared" si="4"/>
        <v>0</v>
      </c>
      <c r="R44" s="225">
        <f t="shared" si="4"/>
        <v>0</v>
      </c>
      <c r="S44" s="225">
        <f>'CF 2027'!G44</f>
        <v>0</v>
      </c>
      <c r="T44" s="225">
        <f>'CF 2027'!H44</f>
        <v>0</v>
      </c>
      <c r="U44" s="225">
        <f>'CF 2027'!I44</f>
        <v>0</v>
      </c>
      <c r="V44" s="358"/>
    </row>
    <row r="45" spans="1:22" x14ac:dyDescent="0.3">
      <c r="B45" s="370" t="s">
        <v>176</v>
      </c>
      <c r="C45" s="371"/>
      <c r="D45" s="371"/>
      <c r="E45" s="371"/>
      <c r="F45" s="371"/>
      <c r="G45" s="378">
        <f>G54</f>
        <v>720275.85340000002</v>
      </c>
      <c r="H45" s="378">
        <f>H24+H44</f>
        <v>668293.24680000008</v>
      </c>
      <c r="I45" s="378">
        <f>I24+I44</f>
        <v>673260.81479999993</v>
      </c>
      <c r="J45" s="378">
        <f>J24+J44</f>
        <v>678228.38280000014</v>
      </c>
      <c r="K45" s="378">
        <f t="shared" ref="K45:U45" si="5">K24+K44</f>
        <v>683195.95079999988</v>
      </c>
      <c r="L45" s="378">
        <f t="shared" si="5"/>
        <v>688163.51880000008</v>
      </c>
      <c r="M45" s="378">
        <f t="shared" si="5"/>
        <v>693131.08680000005</v>
      </c>
      <c r="N45" s="378">
        <f t="shared" si="5"/>
        <v>712877.16959999991</v>
      </c>
      <c r="O45" s="378">
        <f t="shared" si="5"/>
        <v>717844.73760000011</v>
      </c>
      <c r="P45" s="378">
        <f t="shared" si="5"/>
        <v>722812.30559999996</v>
      </c>
      <c r="Q45" s="378">
        <f t="shared" si="5"/>
        <v>735169.13100000017</v>
      </c>
      <c r="R45" s="378">
        <f t="shared" si="5"/>
        <v>749123.89899999986</v>
      </c>
      <c r="S45" s="378">
        <f t="shared" si="5"/>
        <v>745104.26700000011</v>
      </c>
      <c r="T45" s="378">
        <f t="shared" si="5"/>
        <v>750071.83499999996</v>
      </c>
      <c r="U45" s="378">
        <f t="shared" si="5"/>
        <v>765097.91780000017</v>
      </c>
      <c r="V45" s="373">
        <f>SUM(G45:R45)</f>
        <v>8442376.0969999991</v>
      </c>
    </row>
    <row r="46" spans="1:22" x14ac:dyDescent="0.3">
      <c r="A46" s="156"/>
      <c r="B46" s="183" t="s">
        <v>177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</row>
    <row r="47" spans="1:22" x14ac:dyDescent="0.3">
      <c r="B47" s="374" t="s">
        <v>168</v>
      </c>
      <c r="C47" s="374"/>
      <c r="D47" s="374"/>
      <c r="E47" s="374"/>
      <c r="F47" s="374"/>
      <c r="G47" s="376">
        <f>G29</f>
        <v>0</v>
      </c>
      <c r="H47" s="376">
        <f t="shared" ref="H47:U47" si="6">H29</f>
        <v>0</v>
      </c>
      <c r="I47" s="376">
        <f t="shared" si="6"/>
        <v>0</v>
      </c>
      <c r="J47" s="376">
        <f t="shared" si="6"/>
        <v>0</v>
      </c>
      <c r="K47" s="376">
        <f t="shared" si="6"/>
        <v>0</v>
      </c>
      <c r="L47" s="376">
        <f t="shared" si="6"/>
        <v>0</v>
      </c>
      <c r="M47" s="376">
        <f t="shared" si="6"/>
        <v>0</v>
      </c>
      <c r="N47" s="376">
        <f t="shared" si="6"/>
        <v>0</v>
      </c>
      <c r="O47" s="376">
        <f t="shared" si="6"/>
        <v>0</v>
      </c>
      <c r="P47" s="376">
        <f t="shared" si="6"/>
        <v>0</v>
      </c>
      <c r="Q47" s="376">
        <f t="shared" si="6"/>
        <v>0</v>
      </c>
      <c r="R47" s="376">
        <f t="shared" si="6"/>
        <v>0</v>
      </c>
      <c r="S47" s="376">
        <f t="shared" si="6"/>
        <v>0</v>
      </c>
      <c r="T47" s="376">
        <f t="shared" si="6"/>
        <v>0</v>
      </c>
      <c r="U47" s="376">
        <f t="shared" si="6"/>
        <v>0</v>
      </c>
    </row>
    <row r="48" spans="1:22" x14ac:dyDescent="0.3">
      <c r="B48" s="159" t="s">
        <v>175</v>
      </c>
      <c r="C48" s="159"/>
      <c r="D48" s="159"/>
      <c r="E48" s="159"/>
      <c r="F48" s="159"/>
      <c r="G48" s="160">
        <f>G44</f>
        <v>0</v>
      </c>
      <c r="H48" s="160">
        <f t="shared" ref="H48:U48" si="7">H44</f>
        <v>0</v>
      </c>
      <c r="I48" s="160">
        <f t="shared" si="7"/>
        <v>0</v>
      </c>
      <c r="J48" s="160">
        <f t="shared" si="7"/>
        <v>0</v>
      </c>
      <c r="K48" s="160">
        <f t="shared" si="7"/>
        <v>0</v>
      </c>
      <c r="L48" s="160">
        <f t="shared" si="7"/>
        <v>0</v>
      </c>
      <c r="M48" s="160">
        <f t="shared" si="7"/>
        <v>0</v>
      </c>
      <c r="N48" s="160">
        <f t="shared" si="7"/>
        <v>0</v>
      </c>
      <c r="O48" s="160">
        <f t="shared" si="7"/>
        <v>0</v>
      </c>
      <c r="P48" s="160">
        <f t="shared" si="7"/>
        <v>0</v>
      </c>
      <c r="Q48" s="160">
        <f t="shared" si="7"/>
        <v>0</v>
      </c>
      <c r="R48" s="160">
        <f t="shared" si="7"/>
        <v>0</v>
      </c>
      <c r="S48" s="160">
        <f t="shared" si="7"/>
        <v>0</v>
      </c>
      <c r="T48" s="160">
        <f t="shared" si="7"/>
        <v>0</v>
      </c>
      <c r="U48" s="160">
        <f t="shared" si="7"/>
        <v>0</v>
      </c>
    </row>
    <row r="49" spans="1:22" x14ac:dyDescent="0.3">
      <c r="B49" s="159" t="s">
        <v>44</v>
      </c>
      <c r="C49" s="159"/>
      <c r="D49" s="159"/>
      <c r="E49" s="159"/>
      <c r="F49" s="159"/>
      <c r="G49" s="160">
        <f>G11</f>
        <v>883218.06675</v>
      </c>
      <c r="H49" s="160">
        <f t="shared" ref="H49:U49" si="8">H11</f>
        <v>904873.55850000004</v>
      </c>
      <c r="I49" s="160">
        <f t="shared" si="8"/>
        <v>911083.01849999989</v>
      </c>
      <c r="J49" s="160">
        <f t="shared" si="8"/>
        <v>917292.4785000002</v>
      </c>
      <c r="K49" s="160">
        <f t="shared" si="8"/>
        <v>923501.93849999981</v>
      </c>
      <c r="L49" s="160">
        <f t="shared" si="8"/>
        <v>929711.39850000013</v>
      </c>
      <c r="M49" s="160">
        <f t="shared" si="8"/>
        <v>935920.85850000009</v>
      </c>
      <c r="N49" s="160">
        <f t="shared" si="8"/>
        <v>960603.46199999982</v>
      </c>
      <c r="O49" s="160">
        <f t="shared" si="8"/>
        <v>966812.92200000014</v>
      </c>
      <c r="P49" s="160">
        <f t="shared" si="8"/>
        <v>973022.38199999998</v>
      </c>
      <c r="Q49" s="160">
        <f t="shared" si="8"/>
        <v>988468.41375000018</v>
      </c>
      <c r="R49" s="160">
        <f t="shared" si="8"/>
        <v>994677.8737499998</v>
      </c>
      <c r="S49" s="160">
        <f t="shared" si="8"/>
        <v>1000887.3337500001</v>
      </c>
      <c r="T49" s="160">
        <f t="shared" si="8"/>
        <v>1007096.79375</v>
      </c>
      <c r="U49" s="160">
        <f t="shared" si="8"/>
        <v>1031779.3972500002</v>
      </c>
    </row>
    <row r="50" spans="1:22" x14ac:dyDescent="0.3">
      <c r="B50" s="159" t="s">
        <v>45</v>
      </c>
      <c r="C50" s="159"/>
      <c r="D50" s="159"/>
      <c r="E50" s="159"/>
      <c r="F50" s="159"/>
      <c r="G50" s="160">
        <f>G19</f>
        <v>-200</v>
      </c>
      <c r="H50" s="160">
        <f t="shared" ref="H50:U50" si="9">H19</f>
        <v>-200</v>
      </c>
      <c r="I50" s="160">
        <f t="shared" si="9"/>
        <v>-200</v>
      </c>
      <c r="J50" s="160">
        <f t="shared" si="9"/>
        <v>-200</v>
      </c>
      <c r="K50" s="160">
        <f t="shared" si="9"/>
        <v>-200</v>
      </c>
      <c r="L50" s="160">
        <f t="shared" si="9"/>
        <v>-200</v>
      </c>
      <c r="M50" s="160">
        <f t="shared" si="9"/>
        <v>-200</v>
      </c>
      <c r="N50" s="160">
        <f t="shared" si="9"/>
        <v>-200</v>
      </c>
      <c r="O50" s="160">
        <f t="shared" si="9"/>
        <v>-200</v>
      </c>
      <c r="P50" s="160">
        <f t="shared" si="9"/>
        <v>-200</v>
      </c>
      <c r="Q50" s="160">
        <f t="shared" si="9"/>
        <v>-200</v>
      </c>
      <c r="R50" s="160">
        <f t="shared" si="9"/>
        <v>-200</v>
      </c>
      <c r="S50" s="160">
        <f t="shared" si="9"/>
        <v>-200</v>
      </c>
      <c r="T50" s="160">
        <f t="shared" si="9"/>
        <v>-200</v>
      </c>
      <c r="U50" s="160">
        <f t="shared" si="9"/>
        <v>-200</v>
      </c>
    </row>
    <row r="51" spans="1:22" x14ac:dyDescent="0.3">
      <c r="B51" s="159" t="s">
        <v>178</v>
      </c>
      <c r="C51" s="159"/>
      <c r="D51" s="159"/>
      <c r="E51" s="159"/>
      <c r="F51" s="159"/>
      <c r="G51" s="160">
        <f>SUM(G47:G50)</f>
        <v>883018.06675</v>
      </c>
      <c r="H51" s="160">
        <f t="shared" ref="H51:U51" si="10">SUM(H47:H50)</f>
        <v>904673.55850000004</v>
      </c>
      <c r="I51" s="160">
        <f t="shared" si="10"/>
        <v>910883.01849999989</v>
      </c>
      <c r="J51" s="160">
        <f t="shared" si="10"/>
        <v>917092.4785000002</v>
      </c>
      <c r="K51" s="160">
        <f t="shared" si="10"/>
        <v>923301.93849999981</v>
      </c>
      <c r="L51" s="160">
        <f t="shared" si="10"/>
        <v>929511.39850000013</v>
      </c>
      <c r="M51" s="160">
        <f t="shared" si="10"/>
        <v>935720.85850000009</v>
      </c>
      <c r="N51" s="160">
        <f t="shared" si="10"/>
        <v>960403.46199999982</v>
      </c>
      <c r="O51" s="160">
        <f t="shared" si="10"/>
        <v>966612.92200000014</v>
      </c>
      <c r="P51" s="160">
        <f t="shared" si="10"/>
        <v>972822.38199999998</v>
      </c>
      <c r="Q51" s="160">
        <f t="shared" si="10"/>
        <v>988268.41375000018</v>
      </c>
      <c r="R51" s="160">
        <f t="shared" si="10"/>
        <v>994477.8737499998</v>
      </c>
      <c r="S51" s="160">
        <f t="shared" si="10"/>
        <v>1000687.3337500001</v>
      </c>
      <c r="T51" s="160">
        <f t="shared" si="10"/>
        <v>1006896.79375</v>
      </c>
      <c r="U51" s="160">
        <f t="shared" si="10"/>
        <v>1031579.3972500002</v>
      </c>
    </row>
    <row r="52" spans="1:22" x14ac:dyDescent="0.3">
      <c r="B52" s="159" t="s">
        <v>161</v>
      </c>
      <c r="C52" s="159"/>
      <c r="D52" s="159"/>
      <c r="E52" s="159"/>
      <c r="F52" s="159"/>
      <c r="G52" s="160">
        <f>G20</f>
        <v>0</v>
      </c>
      <c r="H52" s="160">
        <f t="shared" ref="H52:U52" si="11">H20</f>
        <v>0</v>
      </c>
      <c r="I52" s="160">
        <f t="shared" si="11"/>
        <v>0</v>
      </c>
      <c r="J52" s="160">
        <f t="shared" si="11"/>
        <v>0</v>
      </c>
      <c r="K52" s="160">
        <f t="shared" si="11"/>
        <v>0</v>
      </c>
      <c r="L52" s="160">
        <f t="shared" si="11"/>
        <v>0</v>
      </c>
      <c r="M52" s="160">
        <f t="shared" si="11"/>
        <v>0</v>
      </c>
      <c r="N52" s="160">
        <f t="shared" si="11"/>
        <v>0</v>
      </c>
      <c r="O52" s="160">
        <f t="shared" si="11"/>
        <v>0</v>
      </c>
      <c r="P52" s="160">
        <f t="shared" si="11"/>
        <v>0</v>
      </c>
      <c r="Q52" s="160">
        <f t="shared" si="11"/>
        <v>0</v>
      </c>
      <c r="R52" s="160">
        <f t="shared" si="11"/>
        <v>0</v>
      </c>
      <c r="S52" s="160">
        <f t="shared" si="11"/>
        <v>0</v>
      </c>
      <c r="T52" s="160">
        <f t="shared" si="11"/>
        <v>0</v>
      </c>
      <c r="U52" s="160">
        <f t="shared" si="11"/>
        <v>0</v>
      </c>
    </row>
    <row r="53" spans="1:22" x14ac:dyDescent="0.3">
      <c r="B53" s="159" t="s">
        <v>162</v>
      </c>
      <c r="C53" s="159"/>
      <c r="D53" s="159"/>
      <c r="E53" s="159"/>
      <c r="F53" s="159"/>
      <c r="G53" s="379">
        <f>G21</f>
        <v>-162742.21335000001</v>
      </c>
      <c r="H53" s="379">
        <f t="shared" ref="H53:U53" si="12">H21</f>
        <v>-167073.31170000002</v>
      </c>
      <c r="I53" s="379">
        <f t="shared" si="12"/>
        <v>-168315.20369999998</v>
      </c>
      <c r="J53" s="379">
        <f t="shared" si="12"/>
        <v>-169557.09570000006</v>
      </c>
      <c r="K53" s="379">
        <f t="shared" si="12"/>
        <v>-170798.98769999997</v>
      </c>
      <c r="L53" s="379">
        <f t="shared" si="12"/>
        <v>-172040.87970000005</v>
      </c>
      <c r="M53" s="379">
        <f t="shared" si="12"/>
        <v>-173282.77170000004</v>
      </c>
      <c r="N53" s="379">
        <f t="shared" si="12"/>
        <v>-178219.29239999998</v>
      </c>
      <c r="O53" s="379">
        <f t="shared" si="12"/>
        <v>-179461.18440000003</v>
      </c>
      <c r="P53" s="379">
        <f t="shared" si="12"/>
        <v>-180703.07640000002</v>
      </c>
      <c r="Q53" s="379">
        <f t="shared" si="12"/>
        <v>-183792.28275000004</v>
      </c>
      <c r="R53" s="379">
        <f t="shared" si="12"/>
        <v>-187280.97474999996</v>
      </c>
      <c r="S53" s="379">
        <f t="shared" si="12"/>
        <v>-190640.06675000003</v>
      </c>
      <c r="T53" s="379">
        <f t="shared" si="12"/>
        <v>-191881.95874999999</v>
      </c>
      <c r="U53" s="379">
        <f t="shared" si="12"/>
        <v>-196818.47945000004</v>
      </c>
    </row>
    <row r="54" spans="1:22" x14ac:dyDescent="0.3">
      <c r="B54" s="159" t="s">
        <v>176</v>
      </c>
      <c r="C54" s="159"/>
      <c r="D54" s="159"/>
      <c r="E54" s="159"/>
      <c r="F54" s="159"/>
      <c r="G54" s="160">
        <f>SUM(G51:G53)</f>
        <v>720275.85340000002</v>
      </c>
      <c r="H54" s="160">
        <f>SUM(H51:H53)</f>
        <v>737600.24680000008</v>
      </c>
      <c r="I54" s="160">
        <f t="shared" ref="I54:U54" si="13">SUM(I51:I53)</f>
        <v>742567.81479999993</v>
      </c>
      <c r="J54" s="160">
        <f t="shared" si="13"/>
        <v>747535.38280000014</v>
      </c>
      <c r="K54" s="160">
        <f t="shared" si="13"/>
        <v>752502.95079999988</v>
      </c>
      <c r="L54" s="160">
        <f t="shared" si="13"/>
        <v>757470.51880000008</v>
      </c>
      <c r="M54" s="160">
        <f t="shared" si="13"/>
        <v>762438.08680000005</v>
      </c>
      <c r="N54" s="160">
        <f t="shared" si="13"/>
        <v>782184.16959999991</v>
      </c>
      <c r="O54" s="160">
        <f t="shared" si="13"/>
        <v>787151.73760000011</v>
      </c>
      <c r="P54" s="160">
        <f t="shared" si="13"/>
        <v>792119.30559999996</v>
      </c>
      <c r="Q54" s="160">
        <f t="shared" si="13"/>
        <v>804476.13100000017</v>
      </c>
      <c r="R54" s="160">
        <f t="shared" si="13"/>
        <v>807196.89899999986</v>
      </c>
      <c r="S54" s="160">
        <f t="shared" si="13"/>
        <v>810047.26700000011</v>
      </c>
      <c r="T54" s="160">
        <f t="shared" si="13"/>
        <v>815014.83499999996</v>
      </c>
      <c r="U54" s="160">
        <f t="shared" si="13"/>
        <v>834760.91780000017</v>
      </c>
    </row>
    <row r="55" spans="1:22" x14ac:dyDescent="0.3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2" x14ac:dyDescent="0.3">
      <c r="A56" s="156"/>
      <c r="B56" s="183" t="s">
        <v>179</v>
      </c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</row>
    <row r="57" spans="1:22" x14ac:dyDescent="0.3">
      <c r="B57" s="358" t="s">
        <v>180</v>
      </c>
      <c r="C57" s="358"/>
      <c r="D57" s="358"/>
      <c r="E57" s="358"/>
      <c r="F57" s="358"/>
      <c r="G57" s="225">
        <f>SUM(G24+G29)</f>
        <v>650968.85340000002</v>
      </c>
      <c r="H57" s="225">
        <f t="shared" ref="H57:U57" si="14">SUM(H24+H29)</f>
        <v>668293.24680000008</v>
      </c>
      <c r="I57" s="225">
        <f t="shared" si="14"/>
        <v>673260.81479999993</v>
      </c>
      <c r="J57" s="225">
        <f t="shared" si="14"/>
        <v>678228.38280000014</v>
      </c>
      <c r="K57" s="225">
        <f t="shared" si="14"/>
        <v>683195.95079999988</v>
      </c>
      <c r="L57" s="225">
        <f t="shared" si="14"/>
        <v>688163.51880000008</v>
      </c>
      <c r="M57" s="225">
        <f t="shared" si="14"/>
        <v>693131.08680000005</v>
      </c>
      <c r="N57" s="225">
        <f t="shared" si="14"/>
        <v>712877.16959999991</v>
      </c>
      <c r="O57" s="225">
        <f t="shared" si="14"/>
        <v>717844.73760000011</v>
      </c>
      <c r="P57" s="225">
        <f t="shared" si="14"/>
        <v>722812.30559999996</v>
      </c>
      <c r="Q57" s="225">
        <f t="shared" si="14"/>
        <v>735169.13100000017</v>
      </c>
      <c r="R57" s="225">
        <f t="shared" si="14"/>
        <v>749123.89899999986</v>
      </c>
      <c r="S57" s="225">
        <f t="shared" si="14"/>
        <v>745104.26700000011</v>
      </c>
      <c r="T57" s="225">
        <f t="shared" si="14"/>
        <v>750071.83499999996</v>
      </c>
      <c r="U57" s="225">
        <f t="shared" si="14"/>
        <v>765097.91780000017</v>
      </c>
    </row>
    <row r="58" spans="1:22" x14ac:dyDescent="0.3">
      <c r="B58" s="358" t="s">
        <v>181</v>
      </c>
      <c r="C58" s="358"/>
      <c r="D58" s="358"/>
      <c r="E58" s="358"/>
      <c r="F58" s="358"/>
      <c r="G58" s="225">
        <f>G54</f>
        <v>720275.85340000002</v>
      </c>
      <c r="H58" s="225">
        <f t="shared" ref="H58:U58" si="15">H54</f>
        <v>737600.24680000008</v>
      </c>
      <c r="I58" s="225">
        <f t="shared" si="15"/>
        <v>742567.81479999993</v>
      </c>
      <c r="J58" s="225">
        <f t="shared" si="15"/>
        <v>747535.38280000014</v>
      </c>
      <c r="K58" s="225">
        <f t="shared" si="15"/>
        <v>752502.95079999988</v>
      </c>
      <c r="L58" s="225">
        <f t="shared" si="15"/>
        <v>757470.51880000008</v>
      </c>
      <c r="M58" s="225">
        <f t="shared" si="15"/>
        <v>762438.08680000005</v>
      </c>
      <c r="N58" s="225">
        <f t="shared" si="15"/>
        <v>782184.16959999991</v>
      </c>
      <c r="O58" s="225">
        <f t="shared" si="15"/>
        <v>787151.73760000011</v>
      </c>
      <c r="P58" s="225">
        <f t="shared" si="15"/>
        <v>792119.30559999996</v>
      </c>
      <c r="Q58" s="225">
        <f t="shared" si="15"/>
        <v>804476.13100000017</v>
      </c>
      <c r="R58" s="225">
        <f t="shared" si="15"/>
        <v>807196.89899999986</v>
      </c>
      <c r="S58" s="225">
        <f t="shared" si="15"/>
        <v>810047.26700000011</v>
      </c>
      <c r="T58" s="225">
        <f t="shared" si="15"/>
        <v>815014.83499999996</v>
      </c>
      <c r="U58" s="225">
        <f t="shared" si="15"/>
        <v>834760.91780000017</v>
      </c>
    </row>
    <row r="59" spans="1:22" x14ac:dyDescent="0.3">
      <c r="B59" s="358" t="s">
        <v>182</v>
      </c>
      <c r="C59" s="358"/>
      <c r="D59" s="358"/>
      <c r="E59" s="358"/>
      <c r="F59" s="358"/>
      <c r="G59" s="225">
        <f>G54</f>
        <v>720275.85340000002</v>
      </c>
      <c r="H59" s="225">
        <f t="shared" ref="H59:T59" si="16">H54</f>
        <v>737600.24680000008</v>
      </c>
      <c r="I59" s="225">
        <f t="shared" si="16"/>
        <v>742567.81479999993</v>
      </c>
      <c r="J59" s="225">
        <f t="shared" si="16"/>
        <v>747535.38280000014</v>
      </c>
      <c r="K59" s="225">
        <f t="shared" si="16"/>
        <v>752502.95079999988</v>
      </c>
      <c r="L59" s="225">
        <f t="shared" si="16"/>
        <v>757470.51880000008</v>
      </c>
      <c r="M59" s="225">
        <f t="shared" si="16"/>
        <v>762438.08680000005</v>
      </c>
      <c r="N59" s="225">
        <f t="shared" si="16"/>
        <v>782184.16959999991</v>
      </c>
      <c r="O59" s="225">
        <f t="shared" si="16"/>
        <v>787151.73760000011</v>
      </c>
      <c r="P59" s="225">
        <f t="shared" si="16"/>
        <v>792119.30559999996</v>
      </c>
      <c r="Q59" s="225">
        <f t="shared" si="16"/>
        <v>804476.13100000017</v>
      </c>
      <c r="R59" s="225">
        <f t="shared" si="16"/>
        <v>807196.89899999986</v>
      </c>
      <c r="S59" s="225">
        <f t="shared" si="16"/>
        <v>810047.26700000011</v>
      </c>
      <c r="T59" s="225">
        <f t="shared" si="16"/>
        <v>815014.83499999996</v>
      </c>
      <c r="U59" s="225">
        <f>U54</f>
        <v>834760.91780000017</v>
      </c>
    </row>
    <row r="60" spans="1:22" x14ac:dyDescent="0.3">
      <c r="B60" s="358" t="s">
        <v>174</v>
      </c>
      <c r="C60" s="358"/>
      <c r="D60" s="358"/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</row>
    <row r="61" spans="1:22" x14ac:dyDescent="0.3">
      <c r="B61" s="358" t="s">
        <v>176</v>
      </c>
      <c r="C61" s="358"/>
      <c r="D61" s="358"/>
      <c r="E61" s="358"/>
      <c r="F61" s="358"/>
      <c r="G61" s="225">
        <f>G54</f>
        <v>720275.85340000002</v>
      </c>
      <c r="H61" s="225">
        <f t="shared" ref="H61:U61" si="17">H54</f>
        <v>737600.24680000008</v>
      </c>
      <c r="I61" s="225">
        <f t="shared" si="17"/>
        <v>742567.81479999993</v>
      </c>
      <c r="J61" s="225">
        <f t="shared" si="17"/>
        <v>747535.38280000014</v>
      </c>
      <c r="K61" s="225">
        <f t="shared" si="17"/>
        <v>752502.95079999988</v>
      </c>
      <c r="L61" s="225">
        <f t="shared" si="17"/>
        <v>757470.51880000008</v>
      </c>
      <c r="M61" s="225">
        <f t="shared" si="17"/>
        <v>762438.08680000005</v>
      </c>
      <c r="N61" s="225">
        <f t="shared" si="17"/>
        <v>782184.16959999991</v>
      </c>
      <c r="O61" s="225">
        <f t="shared" si="17"/>
        <v>787151.73760000011</v>
      </c>
      <c r="P61" s="225">
        <f t="shared" si="17"/>
        <v>792119.30559999996</v>
      </c>
      <c r="Q61" s="225">
        <f t="shared" si="17"/>
        <v>804476.13100000017</v>
      </c>
      <c r="R61" s="225">
        <f t="shared" si="17"/>
        <v>807196.89899999986</v>
      </c>
      <c r="S61" s="225">
        <f t="shared" si="17"/>
        <v>810047.26700000011</v>
      </c>
      <c r="T61" s="225">
        <f t="shared" si="17"/>
        <v>815014.83499999996</v>
      </c>
      <c r="U61" s="225">
        <f t="shared" si="17"/>
        <v>834760.91780000017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84A24-3A83-4632-9DE4-F4465BA5D8E1}">
  <sheetPr codeName="Sheet31"/>
  <dimension ref="A1:Y620"/>
  <sheetViews>
    <sheetView showGridLines="0" topLeftCell="A13" workbookViewId="0">
      <selection activeCell="F24" sqref="F24:T24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88671875" style="136" bestFit="1" customWidth="1"/>
    <col min="7" max="7" width="9.88671875" bestFit="1" customWidth="1"/>
    <col min="8" max="8" width="10.21875" customWidth="1"/>
    <col min="9" max="9" width="10.44140625" customWidth="1"/>
    <col min="10" max="10" width="9.6640625" customWidth="1"/>
    <col min="11" max="11" width="10" customWidth="1"/>
    <col min="12" max="12" width="9.88671875" customWidth="1"/>
    <col min="13" max="14" width="10" customWidth="1"/>
    <col min="15" max="15" width="10.109375" customWidth="1"/>
    <col min="16" max="16" width="9.77734375" customWidth="1"/>
    <col min="17" max="17" width="10.44140625" customWidth="1"/>
    <col min="18" max="18" width="9.88671875" bestFit="1" customWidth="1"/>
    <col min="19" max="19" width="10" customWidth="1"/>
    <col min="20" max="20" width="9.88671875" customWidth="1"/>
    <col min="21" max="21" width="11.2187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184</v>
      </c>
      <c r="F2"/>
    </row>
    <row r="3" spans="1:25" x14ac:dyDescent="0.3">
      <c r="B3" t="s">
        <v>153</v>
      </c>
      <c r="F3"/>
    </row>
    <row r="4" spans="1:25" x14ac:dyDescent="0.3">
      <c r="F4"/>
    </row>
    <row r="5" spans="1:25" x14ac:dyDescent="0.3">
      <c r="A5" s="156"/>
      <c r="B5" s="183" t="s">
        <v>185</v>
      </c>
      <c r="C5" s="156"/>
      <c r="D5" s="156"/>
      <c r="E5" s="156"/>
      <c r="F5" s="215">
        <v>2026</v>
      </c>
      <c r="G5" s="215">
        <v>2026</v>
      </c>
      <c r="H5" s="215">
        <v>2026</v>
      </c>
      <c r="I5" s="215">
        <v>2026</v>
      </c>
      <c r="J5" s="215">
        <v>2026</v>
      </c>
      <c r="K5" s="215">
        <v>2026</v>
      </c>
      <c r="L5" s="215">
        <v>2026</v>
      </c>
      <c r="M5" s="215">
        <v>2026</v>
      </c>
      <c r="N5" s="215">
        <v>2026</v>
      </c>
      <c r="O5" s="215">
        <v>2026</v>
      </c>
      <c r="P5" s="215">
        <v>2026</v>
      </c>
      <c r="Q5" s="215">
        <v>2026</v>
      </c>
      <c r="R5" s="215">
        <v>2027</v>
      </c>
      <c r="S5" s="215">
        <v>2027</v>
      </c>
      <c r="T5" s="215">
        <v>2027</v>
      </c>
      <c r="U5" s="156"/>
    </row>
    <row r="6" spans="1:25" ht="15" thickBot="1" x14ac:dyDescent="0.35">
      <c r="A6" s="168"/>
      <c r="B6" s="169" t="s">
        <v>71</v>
      </c>
      <c r="C6" s="157"/>
      <c r="D6" s="157"/>
      <c r="E6" s="157"/>
      <c r="F6" s="214" t="s">
        <v>32</v>
      </c>
      <c r="G6" s="214" t="s">
        <v>33</v>
      </c>
      <c r="H6" s="214" t="s">
        <v>34</v>
      </c>
      <c r="I6" s="214" t="s">
        <v>35</v>
      </c>
      <c r="J6" s="214" t="s">
        <v>36</v>
      </c>
      <c r="K6" s="214" t="s">
        <v>37</v>
      </c>
      <c r="L6" s="214" t="s">
        <v>38</v>
      </c>
      <c r="M6" s="214" t="s">
        <v>39</v>
      </c>
      <c r="N6" s="214" t="s">
        <v>40</v>
      </c>
      <c r="O6" s="214" t="s">
        <v>41</v>
      </c>
      <c r="P6" s="214" t="s">
        <v>42</v>
      </c>
      <c r="Q6" s="214" t="s">
        <v>43</v>
      </c>
      <c r="R6" s="214" t="s">
        <v>32</v>
      </c>
      <c r="S6" s="214" t="s">
        <v>33</v>
      </c>
      <c r="T6" s="214" t="s">
        <v>34</v>
      </c>
      <c r="U6" s="211" t="s">
        <v>80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78" t="s">
        <v>186</v>
      </c>
      <c r="F8"/>
    </row>
    <row r="9" spans="1:25" x14ac:dyDescent="0.3">
      <c r="C9" s="179"/>
      <c r="F9"/>
    </row>
    <row r="10" spans="1:25" x14ac:dyDescent="0.3">
      <c r="C10" s="178" t="s">
        <v>55</v>
      </c>
      <c r="F10"/>
      <c r="G10" s="180"/>
      <c r="H10" s="180"/>
      <c r="I10" s="180"/>
      <c r="J10" s="180"/>
      <c r="K10" s="180"/>
      <c r="L10" s="179"/>
      <c r="M10" s="180"/>
      <c r="N10" s="180"/>
      <c r="O10" s="180"/>
      <c r="P10" s="180"/>
      <c r="Q10" s="180"/>
      <c r="R10" s="180"/>
      <c r="S10" s="180"/>
      <c r="T10" s="180"/>
      <c r="V10" s="1"/>
    </row>
    <row r="11" spans="1:25" x14ac:dyDescent="0.3">
      <c r="C11" s="179" t="s">
        <v>187</v>
      </c>
      <c r="F11" s="180">
        <f>'BS 2025'!Q14+'CF 2026'!G45</f>
        <v>22068210.121682286</v>
      </c>
      <c r="G11" s="180">
        <f>F14+'CF 2026'!H45</f>
        <v>22736503.368482288</v>
      </c>
      <c r="H11" s="180">
        <f>G14+'CF 2026'!I45</f>
        <v>23409764.18328229</v>
      </c>
      <c r="I11" s="180">
        <f>H14+'CF 2026'!J45</f>
        <v>24087992.566082291</v>
      </c>
      <c r="J11" s="180">
        <f>I14+'CF 2026'!K45</f>
        <v>24771188.516882293</v>
      </c>
      <c r="K11" s="180">
        <f>J14+'CF 2026'!L45</f>
        <v>25459352.035682295</v>
      </c>
      <c r="L11" s="180">
        <f>K14+'CF 2026'!M45</f>
        <v>26152483.122482296</v>
      </c>
      <c r="M11" s="180">
        <f>L14+'CF 2026'!N45</f>
        <v>26865360.292082295</v>
      </c>
      <c r="N11" s="180">
        <f>M14+'CF 2026'!O45</f>
        <v>27583205.029682294</v>
      </c>
      <c r="O11" s="180">
        <f>N14+'CF 2026'!P45</f>
        <v>28306017.335282292</v>
      </c>
      <c r="P11" s="180">
        <f>O14+'CF 2026'!Q45</f>
        <v>29041186.466282293</v>
      </c>
      <c r="Q11" s="180">
        <f>P14+'CF 2026'!R45</f>
        <v>29790310.365282293</v>
      </c>
      <c r="R11" s="180">
        <f>'BS 2027'!F11</f>
        <v>30604721.632282294</v>
      </c>
      <c r="S11" s="180">
        <f>'BS 2027'!G11</f>
        <v>31424100.467282295</v>
      </c>
      <c r="T11" s="180">
        <f>'BS 2027'!H11</f>
        <v>32264405.385082297</v>
      </c>
      <c r="V11" s="1"/>
    </row>
    <row r="12" spans="1:25" x14ac:dyDescent="0.3">
      <c r="C12" s="179" t="s">
        <v>188</v>
      </c>
      <c r="F12" s="180"/>
      <c r="G12" s="179"/>
      <c r="H12" s="179"/>
      <c r="I12" s="179" t="s">
        <v>205</v>
      </c>
      <c r="J12" s="179"/>
      <c r="K12" s="179" t="s">
        <v>205</v>
      </c>
      <c r="L12" s="179"/>
      <c r="M12" s="179"/>
      <c r="N12" s="179"/>
      <c r="O12" s="179"/>
      <c r="P12" s="179"/>
      <c r="Q12" s="179"/>
      <c r="R12" s="179"/>
      <c r="S12" s="179" t="s">
        <v>205</v>
      </c>
      <c r="T12" s="179" t="s">
        <v>205</v>
      </c>
      <c r="V12" s="1"/>
    </row>
    <row r="13" spans="1:25" x14ac:dyDescent="0.3">
      <c r="C13" s="179" t="s">
        <v>189</v>
      </c>
      <c r="F13"/>
      <c r="I13" s="180"/>
      <c r="K13" s="180"/>
      <c r="S13" s="180"/>
      <c r="T13" s="180"/>
      <c r="V13" s="1"/>
    </row>
    <row r="14" spans="1:25" x14ac:dyDescent="0.3">
      <c r="C14" s="179" t="s">
        <v>190</v>
      </c>
      <c r="F14" s="180">
        <f>SUM(F11:F13)</f>
        <v>22068210.121682286</v>
      </c>
      <c r="G14" s="180">
        <f t="shared" ref="G14:Q14" si="0">SUM(G11:G13)</f>
        <v>22736503.368482288</v>
      </c>
      <c r="H14" s="180">
        <f t="shared" si="0"/>
        <v>23409764.18328229</v>
      </c>
      <c r="I14" s="180">
        <f t="shared" si="0"/>
        <v>24087992.566082291</v>
      </c>
      <c r="J14" s="180">
        <f t="shared" si="0"/>
        <v>24771188.516882293</v>
      </c>
      <c r="K14" s="180">
        <f t="shared" si="0"/>
        <v>25459352.035682295</v>
      </c>
      <c r="L14" s="180">
        <f t="shared" si="0"/>
        <v>26152483.122482296</v>
      </c>
      <c r="M14" s="180">
        <f t="shared" si="0"/>
        <v>26865360.292082295</v>
      </c>
      <c r="N14" s="180">
        <f t="shared" si="0"/>
        <v>27583205.029682294</v>
      </c>
      <c r="O14" s="180">
        <f t="shared" si="0"/>
        <v>28306017.335282292</v>
      </c>
      <c r="P14" s="180">
        <f t="shared" si="0"/>
        <v>29041186.466282293</v>
      </c>
      <c r="Q14" s="180">
        <f t="shared" si="0"/>
        <v>29790310.365282293</v>
      </c>
      <c r="R14" s="180">
        <f t="shared" ref="R14" si="1">SUM(R11:R13)</f>
        <v>30604721.632282294</v>
      </c>
      <c r="S14" s="180">
        <f t="shared" ref="S14" si="2">SUM(S11:S13)</f>
        <v>31424100.467282295</v>
      </c>
      <c r="T14" s="180">
        <f t="shared" ref="T14" si="3">SUM(T11:T13)</f>
        <v>32264405.385082297</v>
      </c>
      <c r="U14" s="225">
        <f>SUM(F14:Q14)</f>
        <v>310271573.40318751</v>
      </c>
      <c r="V14" s="1"/>
    </row>
    <row r="15" spans="1:25" x14ac:dyDescent="0.3">
      <c r="C15" s="178" t="s">
        <v>56</v>
      </c>
      <c r="F15"/>
      <c r="G15" s="179"/>
      <c r="H15" s="179"/>
      <c r="I15" s="179"/>
      <c r="J15" s="182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V15" s="1"/>
    </row>
    <row r="16" spans="1:25" x14ac:dyDescent="0.3">
      <c r="C16" s="181" t="s">
        <v>191</v>
      </c>
      <c r="F16" s="180">
        <f>'BS 2025'!Q16-'IS 2026'!F58</f>
        <v>511392</v>
      </c>
      <c r="G16" s="180">
        <f>F16-'IS 2026'!G58</f>
        <v>513303</v>
      </c>
      <c r="H16" s="180">
        <f>G16-'IS 2026'!H58</f>
        <v>515214</v>
      </c>
      <c r="I16" s="180">
        <f>H16-'IS 2026'!I58</f>
        <v>516970</v>
      </c>
      <c r="J16" s="180">
        <f>I16-'IS 2026'!J58</f>
        <v>518726</v>
      </c>
      <c r="K16" s="180">
        <f>J16-'IS 2026'!K58</f>
        <v>520482</v>
      </c>
      <c r="L16" s="180">
        <f>K16-'IS 2026'!L58</f>
        <v>522238</v>
      </c>
      <c r="M16" s="180">
        <f>L16-'IS 2026'!M58</f>
        <v>523994</v>
      </c>
      <c r="N16" s="180">
        <f>M16-'IS 2026'!N58</f>
        <v>525750</v>
      </c>
      <c r="O16" s="180">
        <f>N16-'IS 2026'!O58</f>
        <v>527506</v>
      </c>
      <c r="P16" s="180">
        <f>O16-'IS 2026'!P58</f>
        <v>529262</v>
      </c>
      <c r="Q16" s="180">
        <f>P16-'IS 2026'!Q58</f>
        <v>531018</v>
      </c>
      <c r="R16" s="180">
        <f>'BS 2027'!F16</f>
        <v>532774</v>
      </c>
      <c r="S16" s="187">
        <f>R16-'IS 2025'!G60</f>
        <v>534624</v>
      </c>
      <c r="T16" s="187">
        <f>S16-'IS 2025'!H60</f>
        <v>536474</v>
      </c>
      <c r="V16" s="1"/>
    </row>
    <row r="17" spans="1:22" x14ac:dyDescent="0.3">
      <c r="C17" s="181" t="s">
        <v>192</v>
      </c>
      <c r="F17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V17" s="1"/>
    </row>
    <row r="18" spans="1:22" x14ac:dyDescent="0.3">
      <c r="C18" s="181" t="s">
        <v>193</v>
      </c>
      <c r="F18" s="187">
        <f>SUM(F16:F17)</f>
        <v>511392</v>
      </c>
      <c r="G18" s="187">
        <f t="shared" ref="G18:T19" si="4">SUM(G16:G17)</f>
        <v>513303</v>
      </c>
      <c r="H18" s="187">
        <f t="shared" si="4"/>
        <v>515214</v>
      </c>
      <c r="I18" s="187">
        <f t="shared" si="4"/>
        <v>516970</v>
      </c>
      <c r="J18" s="187">
        <f t="shared" si="4"/>
        <v>518726</v>
      </c>
      <c r="K18" s="187">
        <f t="shared" si="4"/>
        <v>520482</v>
      </c>
      <c r="L18" s="187">
        <f t="shared" si="4"/>
        <v>522238</v>
      </c>
      <c r="M18" s="187">
        <f t="shared" si="4"/>
        <v>523994</v>
      </c>
      <c r="N18" s="187">
        <f t="shared" si="4"/>
        <v>525750</v>
      </c>
      <c r="O18" s="187">
        <f t="shared" si="4"/>
        <v>527506</v>
      </c>
      <c r="P18" s="187">
        <f t="shared" si="4"/>
        <v>529262</v>
      </c>
      <c r="Q18" s="187">
        <f t="shared" si="4"/>
        <v>531018</v>
      </c>
      <c r="R18" s="187">
        <f t="shared" si="4"/>
        <v>532774</v>
      </c>
      <c r="S18" s="187">
        <f t="shared" si="4"/>
        <v>534624</v>
      </c>
      <c r="T18" s="187">
        <f t="shared" si="4"/>
        <v>536474</v>
      </c>
      <c r="V18" s="1"/>
    </row>
    <row r="19" spans="1:22" x14ac:dyDescent="0.3">
      <c r="A19" s="151"/>
      <c r="B19" s="156"/>
      <c r="C19" s="190" t="s">
        <v>194</v>
      </c>
      <c r="D19" s="156"/>
      <c r="E19" s="156"/>
      <c r="F19" s="191">
        <f>SUM(F17:F18)</f>
        <v>511392</v>
      </c>
      <c r="G19" s="191">
        <f t="shared" si="4"/>
        <v>513303</v>
      </c>
      <c r="H19" s="191">
        <f t="shared" si="4"/>
        <v>515214</v>
      </c>
      <c r="I19" s="191">
        <f t="shared" si="4"/>
        <v>516970</v>
      </c>
      <c r="J19" s="191">
        <f t="shared" si="4"/>
        <v>518726</v>
      </c>
      <c r="K19" s="191">
        <f t="shared" si="4"/>
        <v>520482</v>
      </c>
      <c r="L19" s="191">
        <f t="shared" si="4"/>
        <v>522238</v>
      </c>
      <c r="M19" s="191">
        <f t="shared" si="4"/>
        <v>523994</v>
      </c>
      <c r="N19" s="191">
        <f t="shared" si="4"/>
        <v>525750</v>
      </c>
      <c r="O19" s="191">
        <f t="shared" si="4"/>
        <v>527506</v>
      </c>
      <c r="P19" s="191">
        <f t="shared" si="4"/>
        <v>529262</v>
      </c>
      <c r="Q19" s="191">
        <f t="shared" si="4"/>
        <v>531018</v>
      </c>
      <c r="R19" s="191">
        <f t="shared" si="4"/>
        <v>532774</v>
      </c>
      <c r="S19" s="191">
        <f t="shared" si="4"/>
        <v>534624</v>
      </c>
      <c r="T19" s="191">
        <f t="shared" si="4"/>
        <v>536474</v>
      </c>
      <c r="U19" s="164">
        <f>SUM(F19:Q19)</f>
        <v>6255855</v>
      </c>
      <c r="V19" s="1"/>
    </row>
    <row r="20" spans="1:22" x14ac:dyDescent="0.3">
      <c r="A20" s="168"/>
      <c r="B20" s="157"/>
      <c r="C20" s="192" t="s">
        <v>57</v>
      </c>
      <c r="D20" s="157"/>
      <c r="E20" s="157"/>
      <c r="F20" s="193">
        <f>F14+F19</f>
        <v>22579602.121682286</v>
      </c>
      <c r="G20" s="193">
        <f>G14+G19</f>
        <v>23249806.368482288</v>
      </c>
      <c r="H20" s="193">
        <f t="shared" ref="H20:T20" si="5">H14+H19</f>
        <v>23924978.18328229</v>
      </c>
      <c r="I20" s="193">
        <f t="shared" si="5"/>
        <v>24604962.566082291</v>
      </c>
      <c r="J20" s="193">
        <f t="shared" si="5"/>
        <v>25289914.516882293</v>
      </c>
      <c r="K20" s="193">
        <f t="shared" si="5"/>
        <v>25979834.035682295</v>
      </c>
      <c r="L20" s="193">
        <f t="shared" si="5"/>
        <v>26674721.122482296</v>
      </c>
      <c r="M20" s="193">
        <f t="shared" si="5"/>
        <v>27389354.292082295</v>
      </c>
      <c r="N20" s="193">
        <f t="shared" si="5"/>
        <v>28108955.029682294</v>
      </c>
      <c r="O20" s="193">
        <f t="shared" si="5"/>
        <v>28833523.335282292</v>
      </c>
      <c r="P20" s="193">
        <f t="shared" si="5"/>
        <v>29570448.466282293</v>
      </c>
      <c r="Q20" s="193">
        <f t="shared" si="5"/>
        <v>30321328.365282293</v>
      </c>
      <c r="R20" s="193">
        <f t="shared" si="5"/>
        <v>31137495.632282294</v>
      </c>
      <c r="S20" s="193">
        <f t="shared" si="5"/>
        <v>31958724.467282295</v>
      </c>
      <c r="T20" s="193">
        <f t="shared" si="5"/>
        <v>32800879.385082297</v>
      </c>
      <c r="U20" s="158">
        <f>SUM(F20:Q20)</f>
        <v>316527428.40318751</v>
      </c>
      <c r="V20" s="1"/>
    </row>
    <row r="21" spans="1:22" x14ac:dyDescent="0.3">
      <c r="C21" s="189" t="s">
        <v>58</v>
      </c>
      <c r="F21"/>
      <c r="I21" s="182"/>
      <c r="K21" s="182"/>
      <c r="S21" s="182"/>
      <c r="T21" s="182"/>
      <c r="V21" s="1"/>
    </row>
    <row r="22" spans="1:22" x14ac:dyDescent="0.3">
      <c r="C22" s="181" t="s">
        <v>195</v>
      </c>
      <c r="F22" s="182"/>
      <c r="G22" s="182"/>
      <c r="Q22" s="182"/>
      <c r="V22" s="1"/>
    </row>
    <row r="23" spans="1:22" x14ac:dyDescent="0.3">
      <c r="C23" s="181" t="s">
        <v>196</v>
      </c>
      <c r="F23"/>
      <c r="H23" s="182"/>
      <c r="J23" s="182"/>
      <c r="V23" s="1"/>
    </row>
    <row r="24" spans="1:22" x14ac:dyDescent="0.3">
      <c r="C24" s="179" t="s">
        <v>197</v>
      </c>
      <c r="F24" s="225">
        <f>'CF 2026'!G53</f>
        <v>-162742.21335000001</v>
      </c>
      <c r="G24" s="225">
        <f>'CF 2026'!H53</f>
        <v>-167073.31170000002</v>
      </c>
      <c r="H24" s="225">
        <f>'CF 2026'!I53</f>
        <v>-168315.20369999998</v>
      </c>
      <c r="I24" s="225">
        <f>'CF 2026'!J53</f>
        <v>-169557.09570000006</v>
      </c>
      <c r="J24" s="225">
        <f>'CF 2026'!K53</f>
        <v>-170798.98769999997</v>
      </c>
      <c r="K24" s="225">
        <f>'CF 2026'!L53</f>
        <v>-172040.87970000005</v>
      </c>
      <c r="L24" s="225">
        <f>'CF 2026'!M53</f>
        <v>-173282.77170000004</v>
      </c>
      <c r="M24" s="225">
        <f>'CF 2026'!N53</f>
        <v>-178219.29239999998</v>
      </c>
      <c r="N24" s="225">
        <f>'CF 2026'!O53</f>
        <v>-179461.18440000003</v>
      </c>
      <c r="O24" s="225">
        <f>'CF 2026'!P53</f>
        <v>-180703.07640000002</v>
      </c>
      <c r="P24" s="225">
        <f>'CF 2026'!Q53</f>
        <v>-183792.28275000004</v>
      </c>
      <c r="Q24" s="225">
        <f>'CF 2026'!R53</f>
        <v>-187280.97474999996</v>
      </c>
      <c r="R24" s="225">
        <f>'CF 2026'!S53</f>
        <v>-190640.06675000003</v>
      </c>
      <c r="S24" s="225">
        <f>'CF 2026'!T53</f>
        <v>-191881.95874999999</v>
      </c>
      <c r="T24" s="225">
        <f>'CF 2026'!U53</f>
        <v>-196818.47945000004</v>
      </c>
      <c r="V24" s="1"/>
    </row>
    <row r="25" spans="1:22" x14ac:dyDescent="0.3">
      <c r="A25" s="156"/>
      <c r="B25" s="156"/>
      <c r="C25" s="183" t="s">
        <v>198</v>
      </c>
      <c r="D25" s="156"/>
      <c r="E25" s="156"/>
      <c r="F25" s="164">
        <f>SUM(F22:F24)</f>
        <v>-162742.21335000001</v>
      </c>
      <c r="G25" s="164">
        <f t="shared" ref="G25:T25" si="6">SUM(G22:G24)</f>
        <v>-167073.31170000002</v>
      </c>
      <c r="H25" s="164">
        <f t="shared" si="6"/>
        <v>-168315.20369999998</v>
      </c>
      <c r="I25" s="164">
        <f t="shared" si="6"/>
        <v>-169557.09570000006</v>
      </c>
      <c r="J25" s="164">
        <f t="shared" si="6"/>
        <v>-170798.98769999997</v>
      </c>
      <c r="K25" s="164">
        <f t="shared" si="6"/>
        <v>-172040.87970000005</v>
      </c>
      <c r="L25" s="164">
        <f t="shared" si="6"/>
        <v>-173282.77170000004</v>
      </c>
      <c r="M25" s="164">
        <f t="shared" si="6"/>
        <v>-178219.29239999998</v>
      </c>
      <c r="N25" s="164">
        <f t="shared" si="6"/>
        <v>-179461.18440000003</v>
      </c>
      <c r="O25" s="164">
        <f t="shared" si="6"/>
        <v>-180703.07640000002</v>
      </c>
      <c r="P25" s="164">
        <f t="shared" si="6"/>
        <v>-183792.28275000004</v>
      </c>
      <c r="Q25" s="164">
        <f t="shared" si="6"/>
        <v>-187280.97474999996</v>
      </c>
      <c r="R25" s="164">
        <f t="shared" si="6"/>
        <v>-190640.06675000003</v>
      </c>
      <c r="S25" s="164">
        <f t="shared" si="6"/>
        <v>-191881.95874999999</v>
      </c>
      <c r="T25" s="164">
        <f t="shared" si="6"/>
        <v>-196818.47945000004</v>
      </c>
      <c r="U25" s="164">
        <f>SUM(F25:Q25)</f>
        <v>-2093267.27425</v>
      </c>
      <c r="V25" s="1"/>
    </row>
    <row r="26" spans="1:22" x14ac:dyDescent="0.3">
      <c r="A26" s="157"/>
      <c r="B26" s="157"/>
      <c r="C26" s="194" t="s">
        <v>59</v>
      </c>
      <c r="D26" s="157"/>
      <c r="E26" s="157"/>
      <c r="F26" s="158"/>
      <c r="G26" s="157"/>
      <c r="H26" s="157"/>
      <c r="I26" s="158"/>
      <c r="J26" s="157"/>
      <c r="K26" s="158"/>
      <c r="L26" s="195"/>
      <c r="M26" s="195"/>
      <c r="N26" s="195"/>
      <c r="O26" s="195"/>
      <c r="P26" s="195"/>
      <c r="Q26" s="157"/>
      <c r="R26" s="195"/>
      <c r="S26" s="158"/>
      <c r="T26" s="158"/>
      <c r="U26" s="157"/>
      <c r="V26" s="1"/>
    </row>
    <row r="27" spans="1:22" x14ac:dyDescent="0.3">
      <c r="C27" s="178" t="s">
        <v>199</v>
      </c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225">
        <f>SUM(F27:Q27)</f>
        <v>0</v>
      </c>
      <c r="V27" s="1"/>
    </row>
    <row r="28" spans="1:22" ht="12.6" customHeight="1" x14ac:dyDescent="0.3">
      <c r="C28" s="179"/>
      <c r="F28"/>
      <c r="J28" s="180" t="s">
        <v>205</v>
      </c>
      <c r="U28" s="358"/>
      <c r="V28" s="1"/>
    </row>
    <row r="29" spans="1:22" x14ac:dyDescent="0.3">
      <c r="C29" s="178" t="s">
        <v>200</v>
      </c>
      <c r="F29" s="180"/>
      <c r="G29" s="180"/>
      <c r="H29" s="180"/>
      <c r="Q29" s="180"/>
      <c r="U29" s="358"/>
      <c r="V29" s="1"/>
    </row>
    <row r="30" spans="1:22" x14ac:dyDescent="0.3">
      <c r="C30" s="181" t="s">
        <v>208</v>
      </c>
      <c r="F30" s="180"/>
      <c r="G30" s="180"/>
      <c r="H30" s="180"/>
      <c r="Q30" s="180"/>
      <c r="U30" s="358"/>
      <c r="V30" s="1"/>
    </row>
    <row r="31" spans="1:22" x14ac:dyDescent="0.3">
      <c r="C31" s="178" t="s">
        <v>201</v>
      </c>
      <c r="F31" s="187">
        <f>SUM(F27:F29)</f>
        <v>0</v>
      </c>
      <c r="G31" s="187">
        <f t="shared" ref="G31:T31" si="7">SUM(G27:G29)</f>
        <v>0</v>
      </c>
      <c r="H31" s="187">
        <f t="shared" si="7"/>
        <v>0</v>
      </c>
      <c r="I31" s="187">
        <f t="shared" si="7"/>
        <v>0</v>
      </c>
      <c r="J31" s="187">
        <f t="shared" si="7"/>
        <v>0</v>
      </c>
      <c r="K31" s="187">
        <f t="shared" si="7"/>
        <v>0</v>
      </c>
      <c r="L31" s="187">
        <f t="shared" si="7"/>
        <v>0</v>
      </c>
      <c r="M31" s="187">
        <f t="shared" si="7"/>
        <v>0</v>
      </c>
      <c r="N31" s="187">
        <f t="shared" si="7"/>
        <v>0</v>
      </c>
      <c r="O31" s="187">
        <f t="shared" si="7"/>
        <v>0</v>
      </c>
      <c r="P31" s="187">
        <f t="shared" si="7"/>
        <v>0</v>
      </c>
      <c r="Q31" s="187">
        <f t="shared" si="7"/>
        <v>0</v>
      </c>
      <c r="R31" s="187">
        <f t="shared" si="7"/>
        <v>0</v>
      </c>
      <c r="S31" s="187">
        <f t="shared" si="7"/>
        <v>0</v>
      </c>
      <c r="T31" s="187">
        <f t="shared" si="7"/>
        <v>0</v>
      </c>
      <c r="U31" s="358"/>
      <c r="V31" s="1"/>
    </row>
    <row r="32" spans="1:22" x14ac:dyDescent="0.3">
      <c r="C32" s="178" t="s">
        <v>60</v>
      </c>
      <c r="F32" s="187">
        <f>F31+F24</f>
        <v>-162742.21335000001</v>
      </c>
      <c r="G32" s="187">
        <f t="shared" ref="G32:T32" si="8">G31+G24</f>
        <v>-167073.31170000002</v>
      </c>
      <c r="H32" s="187">
        <f t="shared" si="8"/>
        <v>-168315.20369999998</v>
      </c>
      <c r="I32" s="187">
        <f t="shared" si="8"/>
        <v>-169557.09570000006</v>
      </c>
      <c r="J32" s="187">
        <f t="shared" si="8"/>
        <v>-170798.98769999997</v>
      </c>
      <c r="K32" s="187">
        <f t="shared" si="8"/>
        <v>-172040.87970000005</v>
      </c>
      <c r="L32" s="187">
        <f t="shared" si="8"/>
        <v>-173282.77170000004</v>
      </c>
      <c r="M32" s="187">
        <f t="shared" si="8"/>
        <v>-178219.29239999998</v>
      </c>
      <c r="N32" s="187">
        <f t="shared" si="8"/>
        <v>-179461.18440000003</v>
      </c>
      <c r="O32" s="187">
        <f t="shared" si="8"/>
        <v>-180703.07640000002</v>
      </c>
      <c r="P32" s="187">
        <f t="shared" si="8"/>
        <v>-183792.28275000004</v>
      </c>
      <c r="Q32" s="187">
        <f t="shared" si="8"/>
        <v>-187280.97474999996</v>
      </c>
      <c r="R32" s="187">
        <f t="shared" si="8"/>
        <v>-190640.06675000003</v>
      </c>
      <c r="S32" s="187">
        <f t="shared" si="8"/>
        <v>-191881.95874999999</v>
      </c>
      <c r="T32" s="187">
        <f t="shared" si="8"/>
        <v>-196818.47945000004</v>
      </c>
      <c r="U32" s="358"/>
      <c r="V32" s="1"/>
    </row>
    <row r="33" spans="3:22" x14ac:dyDescent="0.3">
      <c r="C33" s="178" t="s">
        <v>61</v>
      </c>
      <c r="F33" s="224">
        <f>F20+F32</f>
        <v>22416859.908332285</v>
      </c>
      <c r="G33" s="224">
        <f>G20+G32</f>
        <v>23082733.056782287</v>
      </c>
      <c r="H33" s="224">
        <f t="shared" ref="H33:T33" si="9">H20+H32</f>
        <v>23756662.979582291</v>
      </c>
      <c r="I33" s="224">
        <f t="shared" si="9"/>
        <v>24435405.470382292</v>
      </c>
      <c r="J33" s="224">
        <f t="shared" si="9"/>
        <v>25119115.529182293</v>
      </c>
      <c r="K33" s="224">
        <f t="shared" si="9"/>
        <v>25807793.155982293</v>
      </c>
      <c r="L33" s="224">
        <f t="shared" si="9"/>
        <v>26501438.350782298</v>
      </c>
      <c r="M33" s="224">
        <f t="shared" si="9"/>
        <v>27211134.999682296</v>
      </c>
      <c r="N33" s="224">
        <f t="shared" si="9"/>
        <v>27929493.845282294</v>
      </c>
      <c r="O33" s="224">
        <f t="shared" si="9"/>
        <v>28652820.258882292</v>
      </c>
      <c r="P33" s="224">
        <f t="shared" si="9"/>
        <v>29386656.183532294</v>
      </c>
      <c r="Q33" s="224">
        <f t="shared" si="9"/>
        <v>30134047.390532292</v>
      </c>
      <c r="R33" s="224">
        <f t="shared" si="9"/>
        <v>30946855.565532293</v>
      </c>
      <c r="S33" s="224">
        <f t="shared" si="9"/>
        <v>31766842.508532297</v>
      </c>
      <c r="T33" s="224">
        <f t="shared" si="9"/>
        <v>32604060.905632298</v>
      </c>
      <c r="U33" s="359">
        <f>SUM(F33:Q33)</f>
        <v>314434161.12893748</v>
      </c>
      <c r="V33" s="1"/>
    </row>
    <row r="34" spans="3:22" x14ac:dyDescent="0.3">
      <c r="C34" s="181" t="s">
        <v>63</v>
      </c>
      <c r="F34" s="179"/>
      <c r="G34" s="179"/>
      <c r="H34" s="179"/>
      <c r="I34" s="179"/>
      <c r="J34" s="180"/>
      <c r="K34" s="180"/>
      <c r="L34" s="180"/>
      <c r="M34" s="180"/>
      <c r="N34" s="180"/>
      <c r="O34" s="180"/>
      <c r="P34" s="180"/>
      <c r="Q34" s="179"/>
      <c r="R34" s="180"/>
      <c r="S34" s="180"/>
      <c r="T34" s="180"/>
      <c r="V34" s="1"/>
    </row>
    <row r="35" spans="3:22" x14ac:dyDescent="0.3">
      <c r="C35" s="181" t="s">
        <v>65</v>
      </c>
      <c r="F35" s="180">
        <f>SUM(F33:F34)</f>
        <v>22416859.908332285</v>
      </c>
      <c r="G35" s="180">
        <f t="shared" ref="G35:T35" si="10">SUM(G33:G34)</f>
        <v>23082733.056782287</v>
      </c>
      <c r="H35" s="180">
        <f t="shared" si="10"/>
        <v>23756662.979582291</v>
      </c>
      <c r="I35" s="180">
        <f t="shared" si="10"/>
        <v>24435405.470382292</v>
      </c>
      <c r="J35" s="180">
        <f t="shared" si="10"/>
        <v>25119115.529182293</v>
      </c>
      <c r="K35" s="180">
        <f t="shared" si="10"/>
        <v>25807793.155982293</v>
      </c>
      <c r="L35" s="180">
        <f t="shared" si="10"/>
        <v>26501438.350782298</v>
      </c>
      <c r="M35" s="180">
        <f t="shared" si="10"/>
        <v>27211134.999682296</v>
      </c>
      <c r="N35" s="180">
        <f t="shared" si="10"/>
        <v>27929493.845282294</v>
      </c>
      <c r="O35" s="180">
        <f t="shared" si="10"/>
        <v>28652820.258882292</v>
      </c>
      <c r="P35" s="180">
        <f t="shared" si="10"/>
        <v>29386656.183532294</v>
      </c>
      <c r="Q35" s="180">
        <f t="shared" si="10"/>
        <v>30134047.390532292</v>
      </c>
      <c r="R35" s="180">
        <f t="shared" si="10"/>
        <v>30946855.565532293</v>
      </c>
      <c r="S35" s="180">
        <f t="shared" si="10"/>
        <v>31766842.508532297</v>
      </c>
      <c r="T35" s="180">
        <f t="shared" si="10"/>
        <v>32604060.905632298</v>
      </c>
      <c r="V35" s="1"/>
    </row>
    <row r="36" spans="3:22" x14ac:dyDescent="0.3">
      <c r="C36" s="188" t="s">
        <v>66</v>
      </c>
      <c r="F36" s="180">
        <f>F34+F35</f>
        <v>22416859.908332285</v>
      </c>
      <c r="G36" s="180">
        <f t="shared" ref="G36:T36" si="11">G34+G35</f>
        <v>23082733.056782287</v>
      </c>
      <c r="H36" s="180">
        <f t="shared" si="11"/>
        <v>23756662.979582291</v>
      </c>
      <c r="I36" s="180">
        <f t="shared" si="11"/>
        <v>24435405.470382292</v>
      </c>
      <c r="J36" s="180">
        <f t="shared" si="11"/>
        <v>25119115.529182293</v>
      </c>
      <c r="K36" s="180">
        <f t="shared" si="11"/>
        <v>25807793.155982293</v>
      </c>
      <c r="L36" s="180">
        <f t="shared" si="11"/>
        <v>26501438.350782298</v>
      </c>
      <c r="M36" s="180">
        <f t="shared" si="11"/>
        <v>27211134.999682296</v>
      </c>
      <c r="N36" s="180">
        <f t="shared" si="11"/>
        <v>27929493.845282294</v>
      </c>
      <c r="O36" s="180">
        <f t="shared" si="11"/>
        <v>28652820.258882292</v>
      </c>
      <c r="P36" s="180">
        <f t="shared" si="11"/>
        <v>29386656.183532294</v>
      </c>
      <c r="Q36" s="180">
        <f t="shared" si="11"/>
        <v>30134047.390532292</v>
      </c>
      <c r="R36" s="180">
        <f t="shared" si="11"/>
        <v>30946855.565532293</v>
      </c>
      <c r="S36" s="180">
        <f t="shared" si="11"/>
        <v>31766842.508532297</v>
      </c>
      <c r="T36" s="180">
        <f t="shared" si="11"/>
        <v>32604060.905632298</v>
      </c>
      <c r="V36" s="1"/>
    </row>
    <row r="37" spans="3:22" x14ac:dyDescent="0.3">
      <c r="C37" s="181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V37" s="1"/>
    </row>
    <row r="38" spans="3:22" x14ac:dyDescent="0.3">
      <c r="C38" s="181" t="s">
        <v>202</v>
      </c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V38" s="1"/>
    </row>
    <row r="39" spans="3:22" x14ac:dyDescent="0.3">
      <c r="C39" s="181" t="s">
        <v>203</v>
      </c>
      <c r="F3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V39" s="1"/>
    </row>
    <row r="40" spans="3:22" x14ac:dyDescent="0.3">
      <c r="C40" s="181" t="s">
        <v>204</v>
      </c>
      <c r="F40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V40" s="1"/>
    </row>
    <row r="41" spans="3:22" x14ac:dyDescent="0.3">
      <c r="C41" s="181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B9B64-5E41-41B5-BB65-3C913EE02CC6}">
  <sheetPr codeName="Sheet21"/>
  <dimension ref="A1:AP83"/>
  <sheetViews>
    <sheetView showGridLines="0" workbookViewId="0">
      <selection activeCell="H50" sqref="H50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" style="136" bestFit="1" customWidth="1"/>
    <col min="7" max="8" width="10" bestFit="1" customWidth="1"/>
    <col min="9" max="9" width="9.88671875" customWidth="1"/>
    <col min="10" max="10" width="11.44140625" bestFit="1" customWidth="1"/>
    <col min="11" max="12" width="10" bestFit="1" customWidth="1"/>
    <col min="13" max="13" width="11.44140625" bestFit="1" customWidth="1"/>
    <col min="14" max="14" width="9.5546875" customWidth="1"/>
    <col min="15" max="15" width="10" bestFit="1" customWidth="1"/>
    <col min="16" max="17" width="11.44140625" bestFit="1" customWidth="1"/>
    <col min="18" max="19" width="10" bestFit="1" customWidth="1"/>
    <col min="20" max="20" width="9.332031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1" t="s">
        <v>151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O2" s="349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153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52"/>
      <c r="B5" s="155" t="s">
        <v>185</v>
      </c>
      <c r="C5" s="152"/>
      <c r="D5" s="152"/>
      <c r="E5" s="152"/>
      <c r="F5" s="210">
        <v>2023</v>
      </c>
      <c r="G5" s="210">
        <v>2023</v>
      </c>
      <c r="H5" s="210">
        <v>2023</v>
      </c>
      <c r="I5" s="210">
        <v>2023</v>
      </c>
      <c r="J5" s="210">
        <v>2023</v>
      </c>
      <c r="K5" s="210">
        <v>2023</v>
      </c>
      <c r="L5" s="210">
        <v>2023</v>
      </c>
      <c r="M5" s="210">
        <v>2023</v>
      </c>
      <c r="N5" s="210">
        <v>2023</v>
      </c>
      <c r="O5" s="210">
        <v>2023</v>
      </c>
      <c r="P5" s="210">
        <v>2023</v>
      </c>
      <c r="Q5" s="210">
        <v>2023</v>
      </c>
      <c r="R5" s="210">
        <v>2024</v>
      </c>
      <c r="S5" s="210">
        <v>2024</v>
      </c>
      <c r="T5" s="210">
        <v>2024</v>
      </c>
      <c r="U5" s="156" t="s">
        <v>80</v>
      </c>
    </row>
    <row r="6" spans="1:42" ht="15" thickBot="1" x14ac:dyDescent="0.35">
      <c r="A6" s="154"/>
      <c r="B6" s="162" t="s">
        <v>71</v>
      </c>
      <c r="C6" s="154"/>
      <c r="D6" s="154"/>
      <c r="E6" s="154"/>
      <c r="F6" s="209" t="s">
        <v>32</v>
      </c>
      <c r="G6" s="209" t="s">
        <v>33</v>
      </c>
      <c r="H6" s="209" t="s">
        <v>34</v>
      </c>
      <c r="I6" s="209" t="s">
        <v>35</v>
      </c>
      <c r="J6" s="209" t="s">
        <v>36</v>
      </c>
      <c r="K6" s="209" t="s">
        <v>37</v>
      </c>
      <c r="L6" s="209" t="s">
        <v>38</v>
      </c>
      <c r="M6" s="209" t="s">
        <v>39</v>
      </c>
      <c r="N6" s="209" t="s">
        <v>40</v>
      </c>
      <c r="O6" s="209" t="s">
        <v>41</v>
      </c>
      <c r="P6" s="209" t="s">
        <v>42</v>
      </c>
      <c r="Q6" s="209" t="s">
        <v>43</v>
      </c>
      <c r="R6" s="209" t="s">
        <v>32</v>
      </c>
      <c r="S6" s="209" t="s">
        <v>33</v>
      </c>
      <c r="T6" s="209" t="s">
        <v>34</v>
      </c>
      <c r="U6" s="168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8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4" t="s">
        <v>360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4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45" t="s">
        <v>290</v>
      </c>
      <c r="D12" s="13"/>
      <c r="E12" s="13"/>
      <c r="F12" s="160">
        <f>'2023 Sales Summary'!F27</f>
        <v>11443.355999999996</v>
      </c>
      <c r="G12" s="160">
        <f>'2023 Sales Summary'!G27</f>
        <v>11680.524000000001</v>
      </c>
      <c r="H12" s="160">
        <f>'2023 Sales Summary'!H27</f>
        <v>11974.61232</v>
      </c>
      <c r="I12" s="160">
        <f>'2023 Sales Summary'!I27</f>
        <v>12243.797999999997</v>
      </c>
      <c r="J12" s="160">
        <f>'2023 Sales Summary'!J27</f>
        <v>12833.753399999998</v>
      </c>
      <c r="K12" s="160">
        <f>'2023 Sales Summary'!K27</f>
        <v>13308.089400000001</v>
      </c>
      <c r="L12" s="160">
        <f>'2023 Sales Summary'!L27</f>
        <v>13566.009599999999</v>
      </c>
      <c r="M12" s="160">
        <f>'2023 Sales Summary'!M27</f>
        <v>14007.735000000001</v>
      </c>
      <c r="N12" s="160">
        <f>'2023 Sales Summary'!N27</f>
        <v>14467.247999999996</v>
      </c>
      <c r="O12" s="160">
        <f>'2023 Sales Summary'!O27</f>
        <v>15297.336000000001</v>
      </c>
      <c r="P12" s="160">
        <f>'2023 Sales Summary'!P27</f>
        <v>15667.911000000002</v>
      </c>
      <c r="Q12" s="160">
        <f>'2023 Sales Summary'!Q27</f>
        <v>16779.636000000002</v>
      </c>
      <c r="R12" s="160">
        <f>'IS 2024'!F12</f>
        <v>16779.636000000002</v>
      </c>
      <c r="S12" s="160">
        <f>'IS 2024'!G12</f>
        <v>17016.803999999996</v>
      </c>
      <c r="T12" s="160">
        <f>'IS 2024'!H12</f>
        <v>17253.971999999998</v>
      </c>
      <c r="U12" s="13"/>
    </row>
    <row r="13" spans="1:42" x14ac:dyDescent="0.3">
      <c r="A13" s="13"/>
      <c r="B13" s="13"/>
      <c r="C13" s="145" t="s">
        <v>291</v>
      </c>
      <c r="D13" s="13"/>
      <c r="E13" s="13"/>
      <c r="F13" s="160">
        <f>'2023 Sales Summary'!F30</f>
        <v>16105.463999999996</v>
      </c>
      <c r="G13" s="160">
        <f>'2023 Sales Summary'!G30</f>
        <v>16439.256000000001</v>
      </c>
      <c r="H13" s="160">
        <f>'2023 Sales Summary'!H30</f>
        <v>16853.158080000001</v>
      </c>
      <c r="I13" s="160">
        <f>'2023 Sales Summary'!I30</f>
        <v>17232.011999999995</v>
      </c>
      <c r="J13" s="160">
        <f>'2023 Sales Summary'!J30</f>
        <v>18062.319599999999</v>
      </c>
      <c r="K13" s="160">
        <f>'2023 Sales Summary'!K30</f>
        <v>18729.903600000001</v>
      </c>
      <c r="L13" s="160">
        <f>'2023 Sales Summary'!L30</f>
        <v>19092.902399999999</v>
      </c>
      <c r="M13" s="160">
        <f>'2023 Sales Summary'!M30</f>
        <v>19714.59</v>
      </c>
      <c r="N13" s="160">
        <f>'2023 Sales Summary'!N30</f>
        <v>20361.311999999994</v>
      </c>
      <c r="O13" s="160">
        <f>'2023 Sales Summary'!O30</f>
        <v>21529.584000000003</v>
      </c>
      <c r="P13" s="160">
        <f>'2023 Sales Summary'!P30</f>
        <v>22051.134000000002</v>
      </c>
      <c r="Q13" s="160">
        <f>'2023 Sales Summary'!Q30</f>
        <v>23615.784000000003</v>
      </c>
      <c r="R13" s="160">
        <f>'IS 2024'!F13</f>
        <v>23615.784000000003</v>
      </c>
      <c r="S13" s="160">
        <f>'IS 2024'!G13</f>
        <v>23949.575999999997</v>
      </c>
      <c r="T13" s="160">
        <f>'IS 2024'!H13</f>
        <v>24283.367999999999</v>
      </c>
      <c r="U13" s="13"/>
    </row>
    <row r="14" spans="1:42" x14ac:dyDescent="0.3">
      <c r="A14" s="13"/>
      <c r="B14" s="13"/>
      <c r="C14" s="145" t="s">
        <v>292</v>
      </c>
      <c r="D14" s="13"/>
      <c r="E14" s="13"/>
      <c r="F14" s="160">
        <f>'2023 Sales Summary'!F33</f>
        <v>44925.767999999989</v>
      </c>
      <c r="G14" s="160">
        <f>'2023 Sales Summary'!G33</f>
        <v>45856.872000000003</v>
      </c>
      <c r="H14" s="160">
        <f>'2023 Sales Summary'!H33</f>
        <v>47011.44096</v>
      </c>
      <c r="I14" s="160">
        <f>'2023 Sales Summary'!I33</f>
        <v>48068.243999999984</v>
      </c>
      <c r="J14" s="160">
        <f>'2023 Sales Summary'!J33</f>
        <v>50384.365199999993</v>
      </c>
      <c r="K14" s="160">
        <f>'2023 Sales Summary'!K33</f>
        <v>52246.573199999999</v>
      </c>
      <c r="L14" s="160">
        <f>'2023 Sales Summary'!L33</f>
        <v>53259.148799999995</v>
      </c>
      <c r="M14" s="160">
        <f>'2023 Sales Summary'!M33</f>
        <v>54993.33</v>
      </c>
      <c r="N14" s="160">
        <f>'2023 Sales Summary'!N33</f>
        <v>56797.343999999983</v>
      </c>
      <c r="O14" s="160">
        <f>'2023 Sales Summary'!O33</f>
        <v>60056.208000000006</v>
      </c>
      <c r="P14" s="160">
        <f>'2023 Sales Summary'!P33</f>
        <v>61511.058000000005</v>
      </c>
      <c r="Q14" s="160">
        <f>'2023 Sales Summary'!Q33</f>
        <v>65875.608000000007</v>
      </c>
      <c r="R14" s="160">
        <f>'IS 2024'!F14</f>
        <v>65875.608000000007</v>
      </c>
      <c r="S14" s="160">
        <f>'IS 2024'!G14</f>
        <v>66806.711999999985</v>
      </c>
      <c r="T14" s="160">
        <f>'IS 2024'!H14</f>
        <v>67737.815999999992</v>
      </c>
      <c r="U14" s="13"/>
    </row>
    <row r="15" spans="1:42" x14ac:dyDescent="0.3">
      <c r="A15" s="13"/>
      <c r="B15" s="13"/>
      <c r="C15" s="145" t="s">
        <v>294</v>
      </c>
      <c r="D15" s="13"/>
      <c r="E15" s="13"/>
      <c r="F15" s="160">
        <f>'2023 Sales Summary'!F36</f>
        <v>150317.66399999999</v>
      </c>
      <c r="G15" s="160">
        <f>'2023 Sales Summary'!G36</f>
        <v>153433.05600000004</v>
      </c>
      <c r="H15" s="160">
        <f>'2023 Sales Summary'!H36</f>
        <v>157296.14208000005</v>
      </c>
      <c r="I15" s="160">
        <f>'2023 Sales Summary'!I36</f>
        <v>160832.11199999999</v>
      </c>
      <c r="J15" s="160">
        <f>'2023 Sales Summary'!J36</f>
        <v>168581.64960000003</v>
      </c>
      <c r="K15" s="160">
        <f>'2023 Sales Summary'!K36</f>
        <v>174812.43360000005</v>
      </c>
      <c r="L15" s="160">
        <f>'2023 Sales Summary'!L36</f>
        <v>178200.42240000004</v>
      </c>
      <c r="M15" s="160">
        <f>'2023 Sales Summary'!M36</f>
        <v>184002.84000000003</v>
      </c>
      <c r="N15" s="160">
        <f>'2023 Sales Summary'!N36</f>
        <v>190038.91199999998</v>
      </c>
      <c r="O15" s="160">
        <f>'2023 Sales Summary'!O36</f>
        <v>200942.78400000004</v>
      </c>
      <c r="P15" s="160">
        <f>'2023 Sales Summary'!P36</f>
        <v>205810.58400000006</v>
      </c>
      <c r="Q15" s="160">
        <f>'2023 Sales Summary'!Q36</f>
        <v>220413.98400000008</v>
      </c>
      <c r="R15" s="160">
        <f>'IS 2024'!F15</f>
        <v>220413.98400000008</v>
      </c>
      <c r="S15" s="160">
        <f>'IS 2024'!G15</f>
        <v>223529.37599999999</v>
      </c>
      <c r="T15" s="160">
        <f>'IS 2024'!H15</f>
        <v>226644.76800000004</v>
      </c>
      <c r="U15" s="13"/>
    </row>
    <row r="16" spans="1:42" x14ac:dyDescent="0.3">
      <c r="A16" s="13"/>
      <c r="B16" s="13"/>
      <c r="C16" s="145" t="s">
        <v>293</v>
      </c>
      <c r="D16" s="13"/>
      <c r="E16" s="13"/>
      <c r="F16" s="160">
        <f>'2023 Sales Summary'!F39</f>
        <v>318718.6559999999</v>
      </c>
      <c r="G16" s="160">
        <f>'2023 Sales Summary'!G39</f>
        <v>325324.22400000005</v>
      </c>
      <c r="H16" s="160">
        <f>'2023 Sales Summary'!H39</f>
        <v>333515.12832000002</v>
      </c>
      <c r="I16" s="160">
        <f>'2023 Sales Summary'!I39</f>
        <v>341012.44799999992</v>
      </c>
      <c r="J16" s="160">
        <f>'2023 Sales Summary'!J39</f>
        <v>357443.79839999997</v>
      </c>
      <c r="K16" s="160">
        <f>'2023 Sales Summary'!K39</f>
        <v>370654.93440000003</v>
      </c>
      <c r="L16" s="160">
        <f>'2023 Sales Summary'!L39</f>
        <v>377838.48959999997</v>
      </c>
      <c r="M16" s="160">
        <f>'2023 Sales Summary'!M39</f>
        <v>390141.36000000004</v>
      </c>
      <c r="N16" s="160">
        <f>'2023 Sales Summary'!N39</f>
        <v>402939.64799999987</v>
      </c>
      <c r="O16" s="160">
        <f>'2023 Sales Summary'!O39</f>
        <v>426059.13600000006</v>
      </c>
      <c r="P16" s="160">
        <f>'2023 Sales Summary'!P39</f>
        <v>436380.33600000007</v>
      </c>
      <c r="Q16" s="160">
        <f>'2023 Sales Summary'!Q39</f>
        <v>467343.9360000001</v>
      </c>
      <c r="R16" s="160">
        <f>'IS 2024'!F16</f>
        <v>467343.9360000001</v>
      </c>
      <c r="S16" s="160">
        <f>'IS 2024'!G16</f>
        <v>473949.50399999996</v>
      </c>
      <c r="T16" s="160">
        <f>'IS 2024'!H16</f>
        <v>480555.07199999999</v>
      </c>
      <c r="U16" s="13"/>
    </row>
    <row r="17" spans="1:21" x14ac:dyDescent="0.3">
      <c r="A17" s="152"/>
      <c r="B17" s="152"/>
      <c r="C17" s="155" t="s">
        <v>125</v>
      </c>
      <c r="D17" s="152"/>
      <c r="E17" s="152"/>
      <c r="F17" s="153">
        <f>SUM(F12:F16)</f>
        <v>541510.90799999982</v>
      </c>
      <c r="G17" s="153">
        <f>SUM(G12:G16)</f>
        <v>552733.93200000003</v>
      </c>
      <c r="H17" s="153">
        <f>SUM(H12:H16)</f>
        <v>566650.48176000011</v>
      </c>
      <c r="I17" s="153">
        <f>SUM(I12:I16)</f>
        <v>579388.61399999983</v>
      </c>
      <c r="J17" s="153">
        <f t="shared" ref="J17:T17" si="0">SUM(J12:J16)</f>
        <v>607305.88620000007</v>
      </c>
      <c r="K17" s="153">
        <f t="shared" si="0"/>
        <v>629751.93420000002</v>
      </c>
      <c r="L17" s="153">
        <f t="shared" si="0"/>
        <v>641956.97279999999</v>
      </c>
      <c r="M17" s="153">
        <f t="shared" si="0"/>
        <v>662859.85499999998</v>
      </c>
      <c r="N17" s="153">
        <f t="shared" si="0"/>
        <v>684604.46399999992</v>
      </c>
      <c r="O17" s="153">
        <f t="shared" si="0"/>
        <v>723885.04800000018</v>
      </c>
      <c r="P17" s="153">
        <f t="shared" si="0"/>
        <v>741421.02300000004</v>
      </c>
      <c r="Q17" s="153">
        <f t="shared" si="0"/>
        <v>794028.94800000021</v>
      </c>
      <c r="R17" s="153">
        <f t="shared" si="0"/>
        <v>794028.94800000021</v>
      </c>
      <c r="S17" s="153">
        <f t="shared" si="0"/>
        <v>805251.97199999995</v>
      </c>
      <c r="T17" s="153">
        <f t="shared" si="0"/>
        <v>816474.99600000004</v>
      </c>
      <c r="U17" s="164">
        <f>SUM(F17:Q17)</f>
        <v>7726098.0669600004</v>
      </c>
    </row>
    <row r="18" spans="1:21" x14ac:dyDescent="0.3">
      <c r="A18" s="154"/>
      <c r="B18" s="154"/>
      <c r="C18" s="162" t="s">
        <v>126</v>
      </c>
      <c r="D18" s="154"/>
      <c r="E18" s="154"/>
      <c r="F18" s="163">
        <f>SUM(F19:F24)</f>
        <v>-32544</v>
      </c>
      <c r="G18" s="163">
        <f t="shared" ref="G18:T18" si="1">SUM(G19:G24)</f>
        <v>-32544</v>
      </c>
      <c r="H18" s="163">
        <f t="shared" si="1"/>
        <v>-32544</v>
      </c>
      <c r="I18" s="163">
        <f t="shared" si="1"/>
        <v>-32544</v>
      </c>
      <c r="J18" s="163">
        <f t="shared" si="1"/>
        <v>-32544</v>
      </c>
      <c r="K18" s="163">
        <f t="shared" si="1"/>
        <v>-32544</v>
      </c>
      <c r="L18" s="163">
        <f t="shared" si="1"/>
        <v>-32544</v>
      </c>
      <c r="M18" s="163">
        <f t="shared" si="1"/>
        <v>-32544</v>
      </c>
      <c r="N18" s="163">
        <f t="shared" si="1"/>
        <v>-32544</v>
      </c>
      <c r="O18" s="163">
        <f t="shared" si="1"/>
        <v>-32544</v>
      </c>
      <c r="P18" s="163">
        <f t="shared" si="1"/>
        <v>-32544</v>
      </c>
      <c r="Q18" s="163">
        <f t="shared" si="1"/>
        <v>-32544</v>
      </c>
      <c r="R18" s="163">
        <f t="shared" si="1"/>
        <v>-32544</v>
      </c>
      <c r="S18" s="163">
        <f t="shared" si="1"/>
        <v>-32544</v>
      </c>
      <c r="T18" s="163">
        <f t="shared" si="1"/>
        <v>-32544</v>
      </c>
      <c r="U18" s="158">
        <f t="shared" ref="U18:U65" si="2">SUM(F18:Q18)</f>
        <v>-390528</v>
      </c>
    </row>
    <row r="19" spans="1:21" x14ac:dyDescent="0.3">
      <c r="A19" s="13"/>
      <c r="B19" s="13"/>
      <c r="C19" s="145" t="s">
        <v>216</v>
      </c>
      <c r="D19" s="13"/>
      <c r="E19" s="13"/>
      <c r="F19" s="142">
        <v>-31654</v>
      </c>
      <c r="G19" s="142">
        <v>-31654</v>
      </c>
      <c r="H19" s="142">
        <v>-31654</v>
      </c>
      <c r="I19" s="142">
        <v>-31654</v>
      </c>
      <c r="J19" s="142">
        <v>-31654</v>
      </c>
      <c r="K19" s="142">
        <v>-31654</v>
      </c>
      <c r="L19" s="142">
        <v>-31654</v>
      </c>
      <c r="M19" s="142">
        <v>-31654</v>
      </c>
      <c r="N19" s="142">
        <v>-31654</v>
      </c>
      <c r="O19" s="142">
        <v>-31654</v>
      </c>
      <c r="P19" s="142">
        <v>-31654</v>
      </c>
      <c r="Q19" s="142">
        <v>-31654</v>
      </c>
      <c r="R19" s="142">
        <v>-31654</v>
      </c>
      <c r="S19" s="142">
        <v>-31654</v>
      </c>
      <c r="T19" s="142">
        <v>-31654</v>
      </c>
      <c r="U19" s="160">
        <f t="shared" si="2"/>
        <v>-379848</v>
      </c>
    </row>
    <row r="20" spans="1:21" x14ac:dyDescent="0.3">
      <c r="A20" s="13"/>
      <c r="B20" s="13"/>
      <c r="C20" s="145" t="s">
        <v>217</v>
      </c>
      <c r="D20" s="13"/>
      <c r="E20" s="13"/>
      <c r="F20" s="143">
        <v>-700</v>
      </c>
      <c r="G20" s="143">
        <v>-700</v>
      </c>
      <c r="H20" s="143">
        <v>-700</v>
      </c>
      <c r="I20" s="143">
        <v>-700</v>
      </c>
      <c r="J20" s="143">
        <v>-700</v>
      </c>
      <c r="K20" s="143">
        <v>-700</v>
      </c>
      <c r="L20" s="143">
        <v>-700</v>
      </c>
      <c r="M20" s="143">
        <v>-700</v>
      </c>
      <c r="N20" s="143">
        <v>-700</v>
      </c>
      <c r="O20" s="143">
        <v>-700</v>
      </c>
      <c r="P20" s="143">
        <v>-700</v>
      </c>
      <c r="Q20" s="143">
        <v>-700</v>
      </c>
      <c r="R20" s="143">
        <v>-700</v>
      </c>
      <c r="S20" s="143">
        <v>-700</v>
      </c>
      <c r="T20" s="143">
        <v>-700</v>
      </c>
      <c r="U20" s="160">
        <f t="shared" si="2"/>
        <v>-8400</v>
      </c>
    </row>
    <row r="21" spans="1:21" x14ac:dyDescent="0.3">
      <c r="A21" s="13"/>
      <c r="B21" s="13"/>
      <c r="C21" s="145" t="s">
        <v>218</v>
      </c>
      <c r="D21" s="13"/>
      <c r="E21" s="13"/>
      <c r="F21" s="143">
        <v>-125</v>
      </c>
      <c r="G21" s="143">
        <v>-125</v>
      </c>
      <c r="H21" s="143">
        <v>-125</v>
      </c>
      <c r="I21" s="143">
        <v>-125</v>
      </c>
      <c r="J21" s="143">
        <v>-125</v>
      </c>
      <c r="K21" s="143">
        <v>-125</v>
      </c>
      <c r="L21" s="143">
        <v>-125</v>
      </c>
      <c r="M21" s="143">
        <v>-125</v>
      </c>
      <c r="N21" s="143">
        <v>-125</v>
      </c>
      <c r="O21" s="143">
        <v>-125</v>
      </c>
      <c r="P21" s="143">
        <v>-125</v>
      </c>
      <c r="Q21" s="143">
        <v>-125</v>
      </c>
      <c r="R21" s="143">
        <v>-125</v>
      </c>
      <c r="S21" s="143">
        <v>-125</v>
      </c>
      <c r="T21" s="143">
        <v>-125</v>
      </c>
      <c r="U21" s="160">
        <f t="shared" si="2"/>
        <v>-1500</v>
      </c>
    </row>
    <row r="22" spans="1:21" x14ac:dyDescent="0.3">
      <c r="A22" s="13"/>
      <c r="B22" s="13"/>
      <c r="C22" s="145" t="s">
        <v>219</v>
      </c>
      <c r="D22" s="13"/>
      <c r="E22" s="13"/>
      <c r="F22" s="143">
        <v>-65</v>
      </c>
      <c r="G22" s="143">
        <v>-65</v>
      </c>
      <c r="H22" s="143">
        <v>-65</v>
      </c>
      <c r="I22" s="143">
        <v>-65</v>
      </c>
      <c r="J22" s="143">
        <v>-65</v>
      </c>
      <c r="K22" s="143">
        <v>-65</v>
      </c>
      <c r="L22" s="143">
        <v>-65</v>
      </c>
      <c r="M22" s="143">
        <v>-65</v>
      </c>
      <c r="N22" s="143">
        <v>-65</v>
      </c>
      <c r="O22" s="143">
        <v>-65</v>
      </c>
      <c r="P22" s="143">
        <v>-65</v>
      </c>
      <c r="Q22" s="143">
        <v>-65</v>
      </c>
      <c r="R22" s="143">
        <v>-65</v>
      </c>
      <c r="S22" s="143">
        <v>-65</v>
      </c>
      <c r="T22" s="143">
        <v>-65</v>
      </c>
      <c r="U22" s="160">
        <f t="shared" si="2"/>
        <v>-780</v>
      </c>
    </row>
    <row r="23" spans="1:21" x14ac:dyDescent="0.3">
      <c r="A23" s="13"/>
      <c r="B23" s="13"/>
      <c r="C23" s="145" t="s">
        <v>220</v>
      </c>
      <c r="D23" s="13"/>
      <c r="E23" s="1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0"/>
    </row>
    <row r="24" spans="1:21" x14ac:dyDescent="0.3">
      <c r="A24" s="13"/>
      <c r="B24" s="13"/>
      <c r="C24" s="145" t="s">
        <v>221</v>
      </c>
      <c r="D24" s="13"/>
      <c r="E24" s="1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0"/>
    </row>
    <row r="25" spans="1:21" x14ac:dyDescent="0.3">
      <c r="A25" s="13"/>
      <c r="B25" s="13"/>
      <c r="C25" s="143"/>
      <c r="D25" s="13"/>
      <c r="E25" s="1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0"/>
    </row>
    <row r="26" spans="1:21" x14ac:dyDescent="0.3">
      <c r="A26" s="165"/>
      <c r="B26" s="165"/>
      <c r="C26" s="166" t="s">
        <v>4</v>
      </c>
      <c r="D26" s="165"/>
      <c r="E26" s="165"/>
      <c r="F26" s="167">
        <f>SUM(F17+F18)</f>
        <v>508966.90799999982</v>
      </c>
      <c r="G26" s="167">
        <f t="shared" ref="G26:T26" si="3">SUM(G17+G18)</f>
        <v>520189.93200000003</v>
      </c>
      <c r="H26" s="167">
        <f t="shared" si="3"/>
        <v>534106.48176000011</v>
      </c>
      <c r="I26" s="167">
        <f t="shared" si="3"/>
        <v>546844.61399999983</v>
      </c>
      <c r="J26" s="167">
        <f t="shared" si="3"/>
        <v>574761.88620000007</v>
      </c>
      <c r="K26" s="167">
        <f t="shared" si="3"/>
        <v>597207.93420000002</v>
      </c>
      <c r="L26" s="167">
        <f t="shared" si="3"/>
        <v>609412.97279999999</v>
      </c>
      <c r="M26" s="167">
        <f t="shared" si="3"/>
        <v>630315.85499999998</v>
      </c>
      <c r="N26" s="167">
        <f t="shared" si="3"/>
        <v>652060.46399999992</v>
      </c>
      <c r="O26" s="167">
        <f t="shared" si="3"/>
        <v>691341.04800000018</v>
      </c>
      <c r="P26" s="167">
        <f t="shared" si="3"/>
        <v>708877.02300000004</v>
      </c>
      <c r="Q26" s="167">
        <f t="shared" si="3"/>
        <v>761484.94800000021</v>
      </c>
      <c r="R26" s="167">
        <f t="shared" si="3"/>
        <v>761484.94800000021</v>
      </c>
      <c r="S26" s="167">
        <f t="shared" si="3"/>
        <v>772707.97199999995</v>
      </c>
      <c r="T26" s="167">
        <f t="shared" si="3"/>
        <v>783930.99600000004</v>
      </c>
      <c r="U26" s="308">
        <f t="shared" si="2"/>
        <v>7335570.0669600004</v>
      </c>
    </row>
    <row r="27" spans="1:21" ht="15" customHeight="1" x14ac:dyDescent="0.3">
      <c r="A27" s="13"/>
      <c r="B27" s="13"/>
      <c r="C27" s="143"/>
      <c r="D27" s="13"/>
      <c r="E27" s="1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0"/>
    </row>
    <row r="28" spans="1:21" ht="15" customHeight="1" x14ac:dyDescent="0.3">
      <c r="A28" s="13"/>
      <c r="B28" s="13"/>
      <c r="C28" s="144" t="s">
        <v>6</v>
      </c>
      <c r="D28" s="13"/>
      <c r="E28" s="1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0"/>
    </row>
    <row r="29" spans="1:21" ht="15" customHeight="1" x14ac:dyDescent="0.3">
      <c r="A29" s="13"/>
      <c r="B29" s="13"/>
      <c r="C29" s="145" t="s">
        <v>127</v>
      </c>
      <c r="D29" s="13"/>
      <c r="E29" s="13"/>
      <c r="F29" s="160">
        <v>-3493</v>
      </c>
      <c r="G29" s="160">
        <v>-3493</v>
      </c>
      <c r="H29" s="160">
        <v>-3493</v>
      </c>
      <c r="I29" s="160">
        <v>-3493</v>
      </c>
      <c r="J29" s="160">
        <v>-3493</v>
      </c>
      <c r="K29" s="160">
        <v>-3493</v>
      </c>
      <c r="L29" s="160">
        <v>-3493</v>
      </c>
      <c r="M29" s="160">
        <v>-3493</v>
      </c>
      <c r="N29" s="160">
        <v>-3493</v>
      </c>
      <c r="O29" s="160">
        <v>-3493</v>
      </c>
      <c r="P29" s="160">
        <v>-3493</v>
      </c>
      <c r="Q29" s="160">
        <v>-3493</v>
      </c>
      <c r="R29" s="160">
        <v>-3493</v>
      </c>
      <c r="S29" s="160">
        <v>-3493</v>
      </c>
      <c r="T29" s="160">
        <v>-3493</v>
      </c>
      <c r="U29" s="160">
        <f t="shared" si="2"/>
        <v>-41916</v>
      </c>
    </row>
    <row r="30" spans="1:21" ht="15" customHeight="1" x14ac:dyDescent="0.3">
      <c r="A30" s="13"/>
      <c r="B30" s="13"/>
      <c r="C30" s="145" t="s">
        <v>128</v>
      </c>
      <c r="D30" s="13"/>
      <c r="E30" s="13"/>
      <c r="F30" s="160">
        <v>-13493</v>
      </c>
      <c r="G30" s="160">
        <v>-13493</v>
      </c>
      <c r="H30" s="160">
        <v>-13493</v>
      </c>
      <c r="I30" s="160">
        <v>-13493</v>
      </c>
      <c r="J30" s="160">
        <v>-13493</v>
      </c>
      <c r="K30" s="160">
        <v>-13493</v>
      </c>
      <c r="L30" s="160">
        <v>-13493</v>
      </c>
      <c r="M30" s="160">
        <v>-13493</v>
      </c>
      <c r="N30" s="160">
        <v>-13493</v>
      </c>
      <c r="O30" s="160">
        <v>-13493</v>
      </c>
      <c r="P30" s="160">
        <v>-13493</v>
      </c>
      <c r="Q30" s="160">
        <v>-13493</v>
      </c>
      <c r="R30" s="381">
        <v>-3400</v>
      </c>
      <c r="S30" s="381">
        <v>-3400</v>
      </c>
      <c r="T30" s="381">
        <v>-3400</v>
      </c>
      <c r="U30" s="160">
        <f t="shared" si="2"/>
        <v>-161916</v>
      </c>
    </row>
    <row r="31" spans="1:21" ht="15" customHeight="1" x14ac:dyDescent="0.3">
      <c r="A31" s="13"/>
      <c r="B31" s="13"/>
      <c r="C31" s="145" t="s">
        <v>129</v>
      </c>
      <c r="D31" s="13"/>
      <c r="E31" s="13"/>
      <c r="F31" s="160">
        <v>-493</v>
      </c>
      <c r="G31" s="160">
        <v>-493</v>
      </c>
      <c r="H31" s="160">
        <v>-493</v>
      </c>
      <c r="I31" s="160">
        <v>-493</v>
      </c>
      <c r="J31" s="160">
        <v>-493</v>
      </c>
      <c r="K31" s="160">
        <v>-493</v>
      </c>
      <c r="L31" s="160">
        <v>-493</v>
      </c>
      <c r="M31" s="160">
        <v>-493</v>
      </c>
      <c r="N31" s="160">
        <v>-493</v>
      </c>
      <c r="O31" s="160">
        <v>-493</v>
      </c>
      <c r="P31" s="160">
        <v>-493</v>
      </c>
      <c r="Q31" s="160">
        <v>-493</v>
      </c>
      <c r="R31" s="307" t="s">
        <v>154</v>
      </c>
      <c r="S31" s="307" t="s">
        <v>154</v>
      </c>
      <c r="T31" s="307" t="s">
        <v>154</v>
      </c>
      <c r="U31" s="160">
        <f t="shared" si="2"/>
        <v>-5916</v>
      </c>
    </row>
    <row r="32" spans="1:21" ht="15" customHeight="1" x14ac:dyDescent="0.3">
      <c r="A32" s="13"/>
      <c r="B32" s="13"/>
      <c r="C32" s="145" t="s">
        <v>130</v>
      </c>
      <c r="D32" s="13"/>
      <c r="E32" s="13"/>
      <c r="F32" s="381">
        <v>-11234</v>
      </c>
      <c r="G32" s="381">
        <v>-11234</v>
      </c>
      <c r="H32" s="381">
        <v>-11234</v>
      </c>
      <c r="I32" s="381">
        <v>-11234</v>
      </c>
      <c r="J32" s="381">
        <v>-11234</v>
      </c>
      <c r="K32" s="381">
        <v>-11234</v>
      </c>
      <c r="L32" s="381">
        <v>-11234</v>
      </c>
      <c r="M32" s="381">
        <v>-11234</v>
      </c>
      <c r="N32" s="381">
        <v>-11234</v>
      </c>
      <c r="O32" s="381">
        <v>-11234</v>
      </c>
      <c r="P32" s="381">
        <v>-11234</v>
      </c>
      <c r="Q32" s="307" t="s">
        <v>154</v>
      </c>
      <c r="R32" s="307" t="s">
        <v>154</v>
      </c>
      <c r="S32" s="307" t="s">
        <v>154</v>
      </c>
      <c r="T32" s="307" t="s">
        <v>154</v>
      </c>
      <c r="U32" s="160">
        <f t="shared" si="2"/>
        <v>-123574</v>
      </c>
    </row>
    <row r="33" spans="1:21" ht="15" customHeight="1" x14ac:dyDescent="0.3">
      <c r="A33" s="13"/>
      <c r="B33" s="13"/>
      <c r="C33" s="145" t="s">
        <v>131</v>
      </c>
      <c r="D33" s="13"/>
      <c r="E33" s="13"/>
      <c r="F33" s="161" t="s">
        <v>154</v>
      </c>
      <c r="G33" s="161" t="s">
        <v>154</v>
      </c>
      <c r="H33" s="161" t="s">
        <v>154</v>
      </c>
      <c r="I33" s="161" t="s">
        <v>154</v>
      </c>
      <c r="J33" s="161" t="s">
        <v>154</v>
      </c>
      <c r="K33" s="161" t="s">
        <v>154</v>
      </c>
      <c r="L33" s="161" t="s">
        <v>154</v>
      </c>
      <c r="M33" s="161" t="s">
        <v>154</v>
      </c>
      <c r="N33" s="161" t="s">
        <v>154</v>
      </c>
      <c r="O33" s="161" t="s">
        <v>154</v>
      </c>
      <c r="P33" s="161" t="s">
        <v>154</v>
      </c>
      <c r="Q33" s="161" t="s">
        <v>154</v>
      </c>
      <c r="R33" s="161" t="s">
        <v>154</v>
      </c>
      <c r="S33" s="161" t="s">
        <v>154</v>
      </c>
      <c r="T33" s="161" t="s">
        <v>154</v>
      </c>
      <c r="U33" s="140"/>
    </row>
    <row r="34" spans="1:21" ht="15" customHeight="1" x14ac:dyDescent="0.3">
      <c r="A34" s="13"/>
      <c r="B34" s="13"/>
      <c r="C34" s="145" t="s">
        <v>132</v>
      </c>
      <c r="D34" s="13"/>
      <c r="E34" s="13"/>
      <c r="F34" s="161" t="s">
        <v>154</v>
      </c>
      <c r="G34" s="161" t="s">
        <v>154</v>
      </c>
      <c r="H34" s="161" t="s">
        <v>154</v>
      </c>
      <c r="I34" s="161" t="s">
        <v>154</v>
      </c>
      <c r="J34" s="161" t="s">
        <v>154</v>
      </c>
      <c r="K34" s="161" t="s">
        <v>154</v>
      </c>
      <c r="L34" s="161" t="s">
        <v>154</v>
      </c>
      <c r="M34" s="161" t="s">
        <v>154</v>
      </c>
      <c r="N34" s="161" t="s">
        <v>154</v>
      </c>
      <c r="O34" s="161" t="s">
        <v>154</v>
      </c>
      <c r="P34" s="161" t="s">
        <v>154</v>
      </c>
      <c r="Q34" s="161" t="s">
        <v>154</v>
      </c>
      <c r="R34" s="161" t="s">
        <v>154</v>
      </c>
      <c r="S34" s="161" t="s">
        <v>154</v>
      </c>
      <c r="T34" s="161" t="s">
        <v>154</v>
      </c>
      <c r="U34" s="140"/>
    </row>
    <row r="35" spans="1:21" ht="15" customHeight="1" x14ac:dyDescent="0.3">
      <c r="A35" s="13"/>
      <c r="B35" s="13"/>
      <c r="C35" s="145" t="s">
        <v>133</v>
      </c>
      <c r="D35" s="13"/>
      <c r="E35" s="13"/>
      <c r="F35" s="161" t="s">
        <v>154</v>
      </c>
      <c r="G35" s="161" t="s">
        <v>154</v>
      </c>
      <c r="H35" s="161" t="s">
        <v>154</v>
      </c>
      <c r="I35" s="161" t="s">
        <v>154</v>
      </c>
      <c r="J35" s="161" t="s">
        <v>154</v>
      </c>
      <c r="K35" s="161" t="s">
        <v>154</v>
      </c>
      <c r="L35" s="161" t="s">
        <v>154</v>
      </c>
      <c r="M35" s="161" t="s">
        <v>154</v>
      </c>
      <c r="N35" s="161" t="s">
        <v>154</v>
      </c>
      <c r="O35" s="161" t="s">
        <v>154</v>
      </c>
      <c r="P35" s="161" t="s">
        <v>154</v>
      </c>
      <c r="Q35" s="161" t="s">
        <v>154</v>
      </c>
      <c r="R35" s="161" t="s">
        <v>154</v>
      </c>
      <c r="S35" s="161" t="s">
        <v>154</v>
      </c>
      <c r="T35" s="161" t="s">
        <v>154</v>
      </c>
      <c r="U35" s="140"/>
    </row>
    <row r="36" spans="1:21" ht="15" customHeight="1" x14ac:dyDescent="0.3">
      <c r="A36" s="13"/>
      <c r="B36" s="13"/>
      <c r="C36" s="145" t="s">
        <v>134</v>
      </c>
      <c r="D36" s="13"/>
      <c r="E36" s="13"/>
      <c r="F36" s="161" t="s">
        <v>154</v>
      </c>
      <c r="G36" s="161" t="s">
        <v>154</v>
      </c>
      <c r="H36" s="161" t="s">
        <v>154</v>
      </c>
      <c r="I36" s="161" t="s">
        <v>154</v>
      </c>
      <c r="J36" s="161" t="s">
        <v>154</v>
      </c>
      <c r="K36" s="161" t="s">
        <v>154</v>
      </c>
      <c r="L36" s="161" t="s">
        <v>154</v>
      </c>
      <c r="M36" s="161" t="s">
        <v>154</v>
      </c>
      <c r="N36" s="161" t="s">
        <v>154</v>
      </c>
      <c r="O36" s="161" t="s">
        <v>154</v>
      </c>
      <c r="P36" s="161" t="s">
        <v>154</v>
      </c>
      <c r="Q36" s="161" t="s">
        <v>154</v>
      </c>
      <c r="R36" s="161" t="s">
        <v>154</v>
      </c>
      <c r="S36" s="161" t="s">
        <v>154</v>
      </c>
      <c r="T36" s="161" t="s">
        <v>154</v>
      </c>
      <c r="U36" s="140"/>
    </row>
    <row r="37" spans="1:21" ht="15" customHeight="1" x14ac:dyDescent="0.3">
      <c r="A37" s="13"/>
      <c r="B37" s="13"/>
      <c r="C37" s="145"/>
      <c r="D37" s="13"/>
      <c r="E37" s="13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40"/>
    </row>
    <row r="38" spans="1:21" x14ac:dyDescent="0.3">
      <c r="A38" s="156"/>
      <c r="B38" s="156"/>
      <c r="C38" s="183" t="s">
        <v>135</v>
      </c>
      <c r="D38" s="156"/>
      <c r="E38" s="156"/>
      <c r="F38" s="164">
        <f>SUM(F29:F36)</f>
        <v>-28713</v>
      </c>
      <c r="G38" s="164">
        <f t="shared" ref="G38:T38" si="4">SUM(G29:G36)</f>
        <v>-28713</v>
      </c>
      <c r="H38" s="164">
        <f t="shared" si="4"/>
        <v>-28713</v>
      </c>
      <c r="I38" s="164">
        <f t="shared" si="4"/>
        <v>-28713</v>
      </c>
      <c r="J38" s="164">
        <f t="shared" si="4"/>
        <v>-28713</v>
      </c>
      <c r="K38" s="164">
        <f t="shared" si="4"/>
        <v>-28713</v>
      </c>
      <c r="L38" s="164">
        <f t="shared" si="4"/>
        <v>-28713</v>
      </c>
      <c r="M38" s="164">
        <f t="shared" si="4"/>
        <v>-28713</v>
      </c>
      <c r="N38" s="164">
        <f t="shared" si="4"/>
        <v>-28713</v>
      </c>
      <c r="O38" s="164">
        <f t="shared" si="4"/>
        <v>-28713</v>
      </c>
      <c r="P38" s="164">
        <f t="shared" si="4"/>
        <v>-28713</v>
      </c>
      <c r="Q38" s="164">
        <f t="shared" si="4"/>
        <v>-17479</v>
      </c>
      <c r="R38" s="164">
        <f t="shared" si="4"/>
        <v>-6893</v>
      </c>
      <c r="S38" s="164">
        <f t="shared" si="4"/>
        <v>-6893</v>
      </c>
      <c r="T38" s="164">
        <f t="shared" si="4"/>
        <v>-6893</v>
      </c>
      <c r="U38" s="164">
        <f t="shared" si="2"/>
        <v>-333322</v>
      </c>
    </row>
    <row r="39" spans="1:21" x14ac:dyDescent="0.3">
      <c r="A39" s="157"/>
      <c r="B39" s="157"/>
      <c r="C39" s="194" t="s">
        <v>136</v>
      </c>
      <c r="D39" s="157"/>
      <c r="E39" s="157"/>
      <c r="F39" s="158">
        <v>-45063</v>
      </c>
      <c r="G39" s="158">
        <v>-45063</v>
      </c>
      <c r="H39" s="158">
        <v>-45063</v>
      </c>
      <c r="I39" s="158">
        <v>-45063</v>
      </c>
      <c r="J39" s="158">
        <v>-45063</v>
      </c>
      <c r="K39" s="158">
        <v>-45063</v>
      </c>
      <c r="L39" s="158">
        <v>-45063</v>
      </c>
      <c r="M39" s="158">
        <v>-45063</v>
      </c>
      <c r="N39" s="158">
        <v>-45063</v>
      </c>
      <c r="O39" s="158">
        <v>-45063</v>
      </c>
      <c r="P39" s="158">
        <v>-45063</v>
      </c>
      <c r="Q39" s="158">
        <v>-45063</v>
      </c>
      <c r="R39" s="158">
        <v>-45063</v>
      </c>
      <c r="S39" s="158">
        <v>-45063</v>
      </c>
      <c r="T39" s="158">
        <v>-45063</v>
      </c>
      <c r="U39" s="158">
        <f t="shared" si="2"/>
        <v>-540756</v>
      </c>
    </row>
    <row r="40" spans="1:21" x14ac:dyDescent="0.3">
      <c r="A40" s="13"/>
      <c r="B40" s="13"/>
      <c r="C40" s="143"/>
      <c r="D40" s="13"/>
      <c r="E40" s="1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0"/>
    </row>
    <row r="41" spans="1:21" x14ac:dyDescent="0.3">
      <c r="A41" s="13"/>
      <c r="B41" s="13"/>
      <c r="C41" s="144" t="s">
        <v>31</v>
      </c>
      <c r="D41" s="13"/>
      <c r="E41" s="1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0"/>
    </row>
    <row r="42" spans="1:21" x14ac:dyDescent="0.3">
      <c r="A42" s="13"/>
      <c r="B42" s="13"/>
      <c r="C42" s="143" t="s">
        <v>81</v>
      </c>
      <c r="D42" s="13"/>
      <c r="E42" s="13"/>
      <c r="F42" s="160">
        <v>-1750</v>
      </c>
      <c r="G42" s="160">
        <v>-1750</v>
      </c>
      <c r="H42" s="160">
        <v>-1750</v>
      </c>
      <c r="I42" s="160">
        <v>-1750</v>
      </c>
      <c r="J42" s="160">
        <v>-1750</v>
      </c>
      <c r="K42" s="160">
        <v>-1750</v>
      </c>
      <c r="L42" s="160">
        <v>-1750</v>
      </c>
      <c r="M42" s="160">
        <v>-1750</v>
      </c>
      <c r="N42" s="160">
        <v>-1750</v>
      </c>
      <c r="O42" s="160">
        <v>-1750</v>
      </c>
      <c r="P42" s="160">
        <v>-1750</v>
      </c>
      <c r="Q42" s="160">
        <v>-1750</v>
      </c>
      <c r="R42" s="160">
        <v>-1750</v>
      </c>
      <c r="S42" s="160">
        <v>-1750</v>
      </c>
      <c r="T42" s="160">
        <v>-1750</v>
      </c>
      <c r="U42" s="160">
        <f t="shared" si="2"/>
        <v>-21000</v>
      </c>
    </row>
    <row r="43" spans="1:21" x14ac:dyDescent="0.3">
      <c r="A43" s="13"/>
      <c r="B43" s="13"/>
      <c r="C43" s="143" t="s">
        <v>137</v>
      </c>
      <c r="D43" s="13"/>
      <c r="E43" s="13"/>
      <c r="F43" s="160">
        <v>-2550</v>
      </c>
      <c r="G43" s="160">
        <v>-2550</v>
      </c>
      <c r="H43" s="160">
        <v>-2550</v>
      </c>
      <c r="I43" s="160">
        <v>-2550</v>
      </c>
      <c r="J43" s="160">
        <v>-2550</v>
      </c>
      <c r="K43" s="160">
        <v>-2550</v>
      </c>
      <c r="L43" s="160">
        <v>-2550</v>
      </c>
      <c r="M43" s="160">
        <v>-2550</v>
      </c>
      <c r="N43" s="160">
        <v>-2550</v>
      </c>
      <c r="O43" s="160">
        <v>-2550</v>
      </c>
      <c r="P43" s="160">
        <v>-2550</v>
      </c>
      <c r="Q43" s="160">
        <v>-2550</v>
      </c>
      <c r="R43" s="160">
        <v>-2550</v>
      </c>
      <c r="S43" s="160">
        <v>-2550</v>
      </c>
      <c r="T43" s="160">
        <v>-2550</v>
      </c>
      <c r="U43" s="160">
        <f t="shared" si="2"/>
        <v>-30600</v>
      </c>
    </row>
    <row r="44" spans="1:21" x14ac:dyDescent="0.3">
      <c r="A44" s="13"/>
      <c r="B44" s="13"/>
      <c r="C44" s="143" t="s">
        <v>246</v>
      </c>
      <c r="D44" s="13"/>
      <c r="E44" s="13"/>
      <c r="F44" s="160">
        <v>-700</v>
      </c>
      <c r="G44" s="160">
        <v>-700</v>
      </c>
      <c r="H44" s="160">
        <v>-700</v>
      </c>
      <c r="I44" s="160">
        <v>-700</v>
      </c>
      <c r="J44" s="160">
        <v>-700</v>
      </c>
      <c r="K44" s="160">
        <v>-700</v>
      </c>
      <c r="L44" s="160">
        <v>-700</v>
      </c>
      <c r="M44" s="160">
        <v>-700</v>
      </c>
      <c r="N44" s="160">
        <v>-700</v>
      </c>
      <c r="O44" s="160">
        <v>-700</v>
      </c>
      <c r="P44" s="160">
        <v>-700</v>
      </c>
      <c r="Q44" s="160">
        <v>-700</v>
      </c>
      <c r="R44" s="160">
        <v>-700</v>
      </c>
      <c r="S44" s="160">
        <v>-700</v>
      </c>
      <c r="T44" s="160">
        <v>-700</v>
      </c>
      <c r="U44" s="160">
        <f t="shared" si="2"/>
        <v>-8400</v>
      </c>
    </row>
    <row r="45" spans="1:21" x14ac:dyDescent="0.3">
      <c r="A45" s="13"/>
      <c r="B45" s="13"/>
      <c r="C45" s="143" t="s">
        <v>247</v>
      </c>
      <c r="D45" s="13"/>
      <c r="E45" s="13"/>
      <c r="F45" s="160">
        <v>-1350</v>
      </c>
      <c r="G45" s="160">
        <v>-1350</v>
      </c>
      <c r="H45" s="160">
        <v>-1350</v>
      </c>
      <c r="I45" s="160">
        <v>-1350</v>
      </c>
      <c r="J45" s="160">
        <v>-1350</v>
      </c>
      <c r="K45" s="160">
        <v>-1350</v>
      </c>
      <c r="L45" s="160">
        <v>-1350</v>
      </c>
      <c r="M45" s="160">
        <v>-1350</v>
      </c>
      <c r="N45" s="160">
        <v>-1350</v>
      </c>
      <c r="O45" s="160">
        <v>-1350</v>
      </c>
      <c r="P45" s="160">
        <v>-1350</v>
      </c>
      <c r="Q45" s="160">
        <v>-1350</v>
      </c>
      <c r="R45" s="160">
        <v>-1350</v>
      </c>
      <c r="S45" s="160">
        <v>-1350</v>
      </c>
      <c r="T45" s="160">
        <v>-1350</v>
      </c>
      <c r="U45" s="160">
        <f t="shared" si="2"/>
        <v>-16200</v>
      </c>
    </row>
    <row r="46" spans="1:21" x14ac:dyDescent="0.3">
      <c r="A46" s="13"/>
      <c r="B46" s="13"/>
      <c r="C46" s="143" t="s">
        <v>241</v>
      </c>
      <c r="D46" s="13"/>
      <c r="E46" s="13"/>
      <c r="F46" s="160">
        <v>-1900</v>
      </c>
      <c r="G46" s="160">
        <v>-1900</v>
      </c>
      <c r="H46" s="160">
        <v>-1900</v>
      </c>
      <c r="I46" s="160">
        <v>-1900</v>
      </c>
      <c r="J46" s="160">
        <v>-1900</v>
      </c>
      <c r="K46" s="160">
        <v>-1900</v>
      </c>
      <c r="L46" s="160">
        <v>-1900</v>
      </c>
      <c r="M46" s="160">
        <v>-1900</v>
      </c>
      <c r="N46" s="160">
        <v>-1900</v>
      </c>
      <c r="O46" s="160">
        <v>-1900</v>
      </c>
      <c r="P46" s="160">
        <v>-1900</v>
      </c>
      <c r="Q46" s="160">
        <v>-1900</v>
      </c>
      <c r="R46" s="160">
        <v>-1900</v>
      </c>
      <c r="S46" s="160">
        <v>-1900</v>
      </c>
      <c r="T46" s="160">
        <v>-1900</v>
      </c>
      <c r="U46" s="160">
        <f t="shared" si="2"/>
        <v>-22800</v>
      </c>
    </row>
    <row r="47" spans="1:21" x14ac:dyDescent="0.3">
      <c r="A47" s="13"/>
      <c r="B47" s="13"/>
      <c r="C47" s="143" t="s">
        <v>138</v>
      </c>
      <c r="D47" s="13"/>
      <c r="E47" s="1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0"/>
    </row>
    <row r="48" spans="1:21" x14ac:dyDescent="0.3">
      <c r="A48" s="13"/>
      <c r="B48" s="13"/>
      <c r="C48" s="145" t="s">
        <v>139</v>
      </c>
      <c r="D48" s="13"/>
      <c r="E48" s="1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0"/>
    </row>
    <row r="49" spans="1:21" x14ac:dyDescent="0.3">
      <c r="A49" s="13"/>
      <c r="B49" s="13"/>
      <c r="C49" s="145" t="s">
        <v>140</v>
      </c>
      <c r="D49" s="13"/>
      <c r="E49" s="1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0"/>
    </row>
    <row r="50" spans="1:21" x14ac:dyDescent="0.3">
      <c r="A50" s="13"/>
      <c r="B50" s="13"/>
      <c r="C50" s="145" t="s">
        <v>141</v>
      </c>
      <c r="D50" s="13"/>
      <c r="E50" s="1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0"/>
    </row>
    <row r="51" spans="1:21" x14ac:dyDescent="0.3">
      <c r="A51" s="13"/>
      <c r="B51" s="13"/>
      <c r="C51" s="145" t="s">
        <v>142</v>
      </c>
      <c r="D51" s="13"/>
      <c r="E51" s="1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0"/>
    </row>
    <row r="52" spans="1:21" x14ac:dyDescent="0.3">
      <c r="A52" s="13"/>
      <c r="B52" s="13"/>
      <c r="C52" s="145" t="s">
        <v>143</v>
      </c>
      <c r="D52" s="13"/>
      <c r="E52" s="1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0"/>
    </row>
    <row r="53" spans="1:21" x14ac:dyDescent="0.3">
      <c r="A53" s="13"/>
      <c r="B53" s="13"/>
      <c r="C53" s="145" t="s">
        <v>144</v>
      </c>
      <c r="D53" s="13"/>
      <c r="E53" s="1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0"/>
    </row>
    <row r="54" spans="1:21" x14ac:dyDescent="0.3">
      <c r="A54" s="13"/>
      <c r="B54" s="13"/>
      <c r="C54" s="145" t="s">
        <v>145</v>
      </c>
      <c r="D54" s="13"/>
      <c r="E54" s="1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0"/>
    </row>
    <row r="55" spans="1:21" x14ac:dyDescent="0.3">
      <c r="A55" s="13"/>
      <c r="B55" s="13"/>
      <c r="C55" s="145" t="s">
        <v>146</v>
      </c>
      <c r="D55" s="13"/>
      <c r="E55" s="1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0"/>
    </row>
    <row r="56" spans="1:21" x14ac:dyDescent="0.3">
      <c r="A56" s="13"/>
      <c r="B56" s="13"/>
      <c r="C56" s="145" t="s">
        <v>147</v>
      </c>
      <c r="D56" s="13"/>
      <c r="E56" s="1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0"/>
    </row>
    <row r="57" spans="1:21" x14ac:dyDescent="0.3">
      <c r="A57" s="13"/>
      <c r="B57" s="13"/>
      <c r="C57" s="145"/>
      <c r="D57" s="13"/>
      <c r="E57" s="1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0"/>
    </row>
    <row r="58" spans="1:21" s="119" customFormat="1" ht="14.4" customHeight="1" x14ac:dyDescent="0.3">
      <c r="A58" s="170"/>
      <c r="B58" s="170"/>
      <c r="C58" s="171" t="s">
        <v>148</v>
      </c>
      <c r="D58" s="170"/>
      <c r="E58" s="170"/>
      <c r="F58" s="172">
        <f>SUM(F42:F56)</f>
        <v>-8250</v>
      </c>
      <c r="G58" s="172">
        <f>SUM(G42:G56)</f>
        <v>-8250</v>
      </c>
      <c r="H58" s="172">
        <f t="shared" ref="H58:T58" si="5">SUM(H42:H56)</f>
        <v>-8250</v>
      </c>
      <c r="I58" s="172">
        <f t="shared" si="5"/>
        <v>-8250</v>
      </c>
      <c r="J58" s="172">
        <f t="shared" si="5"/>
        <v>-8250</v>
      </c>
      <c r="K58" s="172">
        <f t="shared" si="5"/>
        <v>-8250</v>
      </c>
      <c r="L58" s="172">
        <f t="shared" si="5"/>
        <v>-8250</v>
      </c>
      <c r="M58" s="172">
        <f t="shared" si="5"/>
        <v>-8250</v>
      </c>
      <c r="N58" s="172">
        <f t="shared" si="5"/>
        <v>-8250</v>
      </c>
      <c r="O58" s="172">
        <f t="shared" si="5"/>
        <v>-8250</v>
      </c>
      <c r="P58" s="172">
        <f t="shared" si="5"/>
        <v>-8250</v>
      </c>
      <c r="Q58" s="172">
        <f t="shared" si="5"/>
        <v>-8250</v>
      </c>
      <c r="R58" s="172">
        <f t="shared" si="5"/>
        <v>-8250</v>
      </c>
      <c r="S58" s="172">
        <f t="shared" si="5"/>
        <v>-8250</v>
      </c>
      <c r="T58" s="172">
        <f t="shared" si="5"/>
        <v>-8250</v>
      </c>
      <c r="U58" s="164">
        <f t="shared" si="2"/>
        <v>-99000</v>
      </c>
    </row>
    <row r="59" spans="1:21" s="119" customFormat="1" ht="14.4" customHeight="1" x14ac:dyDescent="0.3">
      <c r="A59" s="173"/>
      <c r="B59" s="173"/>
      <c r="C59" s="174" t="s">
        <v>10</v>
      </c>
      <c r="D59" s="173"/>
      <c r="E59" s="173"/>
      <c r="F59" s="175">
        <f>F17+F18+F38+F58</f>
        <v>472003.90799999982</v>
      </c>
      <c r="G59" s="175">
        <f t="shared" ref="G59:L59" si="6">G17+G18+G38+G58</f>
        <v>483226.93200000003</v>
      </c>
      <c r="H59" s="175">
        <f t="shared" si="6"/>
        <v>497143.48176000011</v>
      </c>
      <c r="I59" s="175">
        <f t="shared" si="6"/>
        <v>509881.61399999983</v>
      </c>
      <c r="J59" s="175">
        <f t="shared" si="6"/>
        <v>537798.88620000007</v>
      </c>
      <c r="K59" s="175">
        <f t="shared" si="6"/>
        <v>560244.93420000002</v>
      </c>
      <c r="L59" s="175">
        <f t="shared" si="6"/>
        <v>572449.97279999999</v>
      </c>
      <c r="M59" s="175">
        <f>M17+M18+M38+M58</f>
        <v>593352.85499999998</v>
      </c>
      <c r="N59" s="175">
        <f t="shared" ref="N59" si="7">N17+N18+N38+N58</f>
        <v>615097.46399999992</v>
      </c>
      <c r="O59" s="175">
        <f>O17+O18+O38+O58</f>
        <v>654378.04800000018</v>
      </c>
      <c r="P59" s="175">
        <f t="shared" ref="P59" si="8">P17+P18+P38+P58</f>
        <v>671914.02300000004</v>
      </c>
      <c r="Q59" s="175">
        <f t="shared" ref="Q59" si="9">Q17+Q18+Q38+Q58</f>
        <v>735755.94800000021</v>
      </c>
      <c r="R59" s="175">
        <f t="shared" ref="R59" si="10">R17+R18+R38+R58</f>
        <v>746341.94800000021</v>
      </c>
      <c r="S59" s="175">
        <f t="shared" ref="S59" si="11">S17+S18+S38+S58</f>
        <v>757564.97199999995</v>
      </c>
      <c r="T59" s="175">
        <f t="shared" ref="T59" si="12">T17+T18+T38+T58</f>
        <v>768787.99600000004</v>
      </c>
      <c r="U59" s="158">
        <f t="shared" si="2"/>
        <v>6903248.0669600004</v>
      </c>
    </row>
    <row r="60" spans="1:21" s="119" customFormat="1" ht="14.4" customHeight="1" x14ac:dyDescent="0.3">
      <c r="A60" s="117"/>
      <c r="B60" s="117"/>
      <c r="C60" s="146" t="s">
        <v>149</v>
      </c>
      <c r="D60" s="117"/>
      <c r="E60" s="117"/>
      <c r="F60" s="354">
        <v>-1711</v>
      </c>
      <c r="G60" s="354">
        <v>-1711</v>
      </c>
      <c r="H60" s="354">
        <v>-1711</v>
      </c>
      <c r="I60" s="354">
        <v>-1711</v>
      </c>
      <c r="J60" s="354">
        <v>-1711</v>
      </c>
      <c r="K60" s="354">
        <v>-1711</v>
      </c>
      <c r="L60" s="354">
        <v>-1711</v>
      </c>
      <c r="M60" s="354">
        <v>-1711</v>
      </c>
      <c r="N60" s="354">
        <v>-1711</v>
      </c>
      <c r="O60" s="354">
        <v>-1711</v>
      </c>
      <c r="P60" s="354">
        <v>-1711</v>
      </c>
      <c r="Q60" s="354">
        <v>-1711</v>
      </c>
      <c r="R60" s="354">
        <v>-1450</v>
      </c>
      <c r="S60" s="354">
        <v>-1450</v>
      </c>
      <c r="T60" s="354">
        <v>-1450</v>
      </c>
      <c r="U60" s="355">
        <f t="shared" si="2"/>
        <v>-20532</v>
      </c>
    </row>
    <row r="61" spans="1:21" s="119" customFormat="1" ht="25.05" customHeight="1" x14ac:dyDescent="0.3">
      <c r="A61" s="117"/>
      <c r="B61" s="117"/>
      <c r="C61" s="146" t="s">
        <v>12</v>
      </c>
      <c r="D61" s="117"/>
      <c r="E61" s="117"/>
      <c r="F61" s="355">
        <f>F59+F60</f>
        <v>470292.90799999982</v>
      </c>
      <c r="G61" s="355">
        <f t="shared" ref="G61:T61" si="13">G59+G60</f>
        <v>481515.93200000003</v>
      </c>
      <c r="H61" s="355">
        <f t="shared" si="13"/>
        <v>495432.48176000011</v>
      </c>
      <c r="I61" s="355">
        <f t="shared" si="13"/>
        <v>508170.61399999983</v>
      </c>
      <c r="J61" s="355">
        <f t="shared" si="13"/>
        <v>536087.88620000007</v>
      </c>
      <c r="K61" s="355">
        <f t="shared" si="13"/>
        <v>558533.93420000002</v>
      </c>
      <c r="L61" s="355">
        <f t="shared" si="13"/>
        <v>570738.97279999999</v>
      </c>
      <c r="M61" s="355">
        <f t="shared" si="13"/>
        <v>591641.85499999998</v>
      </c>
      <c r="N61" s="355">
        <f t="shared" si="13"/>
        <v>613386.46399999992</v>
      </c>
      <c r="O61" s="355">
        <f t="shared" si="13"/>
        <v>652667.04800000018</v>
      </c>
      <c r="P61" s="355">
        <f t="shared" si="13"/>
        <v>670203.02300000004</v>
      </c>
      <c r="Q61" s="355">
        <f t="shared" si="13"/>
        <v>734044.94800000021</v>
      </c>
      <c r="R61" s="355">
        <f t="shared" si="13"/>
        <v>744891.94800000021</v>
      </c>
      <c r="S61" s="355">
        <f t="shared" si="13"/>
        <v>756114.97199999995</v>
      </c>
      <c r="T61" s="355">
        <f t="shared" si="13"/>
        <v>767337.99600000004</v>
      </c>
      <c r="U61" s="355">
        <f t="shared" si="2"/>
        <v>6882716.0669600004</v>
      </c>
    </row>
    <row r="62" spans="1:21" s="119" customFormat="1" ht="25.05" customHeight="1" x14ac:dyDescent="0.3">
      <c r="A62" s="117"/>
      <c r="B62" s="117"/>
      <c r="C62" s="149" t="s">
        <v>150</v>
      </c>
      <c r="D62" s="150"/>
      <c r="E62" s="117"/>
      <c r="F62" s="355">
        <f>('BS 2023'!F27*0.2)</f>
        <v>-90000</v>
      </c>
      <c r="G62" s="355">
        <f>('BS 2023'!G27*0.2)</f>
        <v>-86636.400000000009</v>
      </c>
      <c r="H62" s="355">
        <f>('BS 2023'!H27*0.2)</f>
        <v>-83272.800000000003</v>
      </c>
      <c r="I62" s="355">
        <f>('BS 2023'!I27*0.2)</f>
        <v>-79909.200000000012</v>
      </c>
      <c r="J62" s="355">
        <f>('BS 2023'!J27*0.2)</f>
        <v>-76545.600000000006</v>
      </c>
      <c r="K62" s="355">
        <f>('BS 2023'!K27*0.2)</f>
        <v>-73182</v>
      </c>
      <c r="L62" s="355">
        <f>('BS 2023'!L27*0.2)</f>
        <v>-69818.400000000009</v>
      </c>
      <c r="M62" s="355">
        <f>('BS 2023'!M27*0.2)</f>
        <v>-66454.8</v>
      </c>
      <c r="N62" s="355">
        <f>('BS 2023'!N27*0.2)</f>
        <v>-63091.200000000004</v>
      </c>
      <c r="O62" s="355">
        <f>('BS 2023'!O27*0.2)</f>
        <v>-59727.600000000006</v>
      </c>
      <c r="P62" s="355">
        <f>('BS 2023'!P27*0.2)</f>
        <v>-56364</v>
      </c>
      <c r="Q62" s="355">
        <f>('BS 2023'!Q27*0.2)</f>
        <v>-53000.4</v>
      </c>
      <c r="R62" s="355">
        <f>('BS 2023'!R27*0.2)</f>
        <v>-49636.800000000003</v>
      </c>
      <c r="S62" s="355">
        <f>('BS 2023'!S27*0.2)</f>
        <v>-46273.200000000004</v>
      </c>
      <c r="T62" s="355">
        <f>('BS 2023'!T27*0.2)</f>
        <v>-42909.600000000006</v>
      </c>
      <c r="U62" s="355">
        <f t="shared" si="2"/>
        <v>-858002.4</v>
      </c>
    </row>
    <row r="63" spans="1:21" s="119" customFormat="1" ht="25.05" customHeight="1" x14ac:dyDescent="0.3">
      <c r="A63" s="117"/>
      <c r="B63" s="117"/>
      <c r="C63" s="146" t="s">
        <v>14</v>
      </c>
      <c r="D63" s="117"/>
      <c r="E63" s="117"/>
      <c r="F63" s="355">
        <f>F17+F18+F38+F58</f>
        <v>472003.90799999982</v>
      </c>
      <c r="G63" s="355">
        <f t="shared" ref="G63:T63" si="14">G17+G18+G38+G58</f>
        <v>483226.93200000003</v>
      </c>
      <c r="H63" s="355">
        <f t="shared" si="14"/>
        <v>497143.48176000011</v>
      </c>
      <c r="I63" s="355">
        <f t="shared" si="14"/>
        <v>509881.61399999983</v>
      </c>
      <c r="J63" s="355">
        <f t="shared" si="14"/>
        <v>537798.88620000007</v>
      </c>
      <c r="K63" s="355">
        <f t="shared" si="14"/>
        <v>560244.93420000002</v>
      </c>
      <c r="L63" s="355">
        <f t="shared" si="14"/>
        <v>572449.97279999999</v>
      </c>
      <c r="M63" s="355">
        <f t="shared" si="14"/>
        <v>593352.85499999998</v>
      </c>
      <c r="N63" s="355">
        <f t="shared" si="14"/>
        <v>615097.46399999992</v>
      </c>
      <c r="O63" s="355">
        <f t="shared" si="14"/>
        <v>654378.04800000018</v>
      </c>
      <c r="P63" s="355">
        <f t="shared" si="14"/>
        <v>671914.02300000004</v>
      </c>
      <c r="Q63" s="355">
        <f t="shared" si="14"/>
        <v>735755.94800000021</v>
      </c>
      <c r="R63" s="355">
        <f t="shared" si="14"/>
        <v>746341.94800000021</v>
      </c>
      <c r="S63" s="355">
        <f t="shared" si="14"/>
        <v>757564.97199999995</v>
      </c>
      <c r="T63" s="355">
        <f t="shared" si="14"/>
        <v>768787.99600000004</v>
      </c>
      <c r="U63" s="355">
        <f t="shared" si="2"/>
        <v>6903248.0669600004</v>
      </c>
    </row>
    <row r="64" spans="1:21" s="119" customFormat="1" ht="25.05" customHeight="1" x14ac:dyDescent="0.3">
      <c r="A64" s="117"/>
      <c r="B64" s="117"/>
      <c r="C64" s="149" t="s">
        <v>15</v>
      </c>
      <c r="D64" s="117"/>
      <c r="E64" s="117"/>
      <c r="F64" s="355">
        <f>(F63*0.2)*-1</f>
        <v>-94400.781599999973</v>
      </c>
      <c r="G64" s="355">
        <f t="shared" ref="G64:T64" si="15">(G63*0.2)*-1</f>
        <v>-96645.386400000018</v>
      </c>
      <c r="H64" s="355">
        <f t="shared" si="15"/>
        <v>-99428.696352000028</v>
      </c>
      <c r="I64" s="355">
        <f t="shared" si="15"/>
        <v>-101976.32279999997</v>
      </c>
      <c r="J64" s="355">
        <f t="shared" si="15"/>
        <v>-107559.77724000002</v>
      </c>
      <c r="K64" s="355">
        <f t="shared" si="15"/>
        <v>-112048.98684000001</v>
      </c>
      <c r="L64" s="355">
        <f t="shared" si="15"/>
        <v>-114489.99456000001</v>
      </c>
      <c r="M64" s="355">
        <f t="shared" si="15"/>
        <v>-118670.571</v>
      </c>
      <c r="N64" s="355">
        <f t="shared" si="15"/>
        <v>-123019.49279999999</v>
      </c>
      <c r="O64" s="355">
        <f t="shared" si="15"/>
        <v>-130875.60960000004</v>
      </c>
      <c r="P64" s="355">
        <f t="shared" si="15"/>
        <v>-134382.8046</v>
      </c>
      <c r="Q64" s="355">
        <f t="shared" si="15"/>
        <v>-147151.18960000004</v>
      </c>
      <c r="R64" s="355">
        <f t="shared" si="15"/>
        <v>-149268.38960000005</v>
      </c>
      <c r="S64" s="355">
        <f t="shared" si="15"/>
        <v>-151512.9944</v>
      </c>
      <c r="T64" s="355">
        <f t="shared" si="15"/>
        <v>-153757.59920000003</v>
      </c>
      <c r="U64" s="355">
        <f t="shared" si="2"/>
        <v>-1380649.6133920001</v>
      </c>
    </row>
    <row r="65" spans="1:21" s="119" customFormat="1" ht="14.4" customHeight="1" x14ac:dyDescent="0.3">
      <c r="A65" s="176"/>
      <c r="B65" s="176"/>
      <c r="C65" s="177" t="s">
        <v>16</v>
      </c>
      <c r="D65" s="176"/>
      <c r="E65" s="176"/>
      <c r="F65" s="310">
        <f>F63+F64</f>
        <v>377603.12639999983</v>
      </c>
      <c r="G65" s="310">
        <f>G63+G64</f>
        <v>386581.54560000001</v>
      </c>
      <c r="H65" s="310">
        <f t="shared" ref="H65:T65" si="16">H63+H64</f>
        <v>397714.78540800011</v>
      </c>
      <c r="I65" s="310">
        <f t="shared" si="16"/>
        <v>407905.29119999986</v>
      </c>
      <c r="J65" s="310">
        <f t="shared" si="16"/>
        <v>430239.10896000004</v>
      </c>
      <c r="K65" s="310">
        <f t="shared" si="16"/>
        <v>448195.94735999999</v>
      </c>
      <c r="L65" s="310">
        <f t="shared" si="16"/>
        <v>457959.97823999997</v>
      </c>
      <c r="M65" s="310">
        <f t="shared" si="16"/>
        <v>474682.28399999999</v>
      </c>
      <c r="N65" s="310">
        <f t="shared" si="16"/>
        <v>492077.97119999991</v>
      </c>
      <c r="O65" s="310">
        <f t="shared" si="16"/>
        <v>523502.43840000016</v>
      </c>
      <c r="P65" s="310">
        <f t="shared" si="16"/>
        <v>537531.21840000001</v>
      </c>
      <c r="Q65" s="310">
        <f t="shared" si="16"/>
        <v>588604.75840000017</v>
      </c>
      <c r="R65" s="310">
        <f t="shared" si="16"/>
        <v>597073.55840000021</v>
      </c>
      <c r="S65" s="310">
        <f t="shared" si="16"/>
        <v>606051.97759999998</v>
      </c>
      <c r="T65" s="310">
        <f t="shared" si="16"/>
        <v>615030.39679999999</v>
      </c>
      <c r="U65" s="311">
        <f t="shared" si="2"/>
        <v>5522598.4535680003</v>
      </c>
    </row>
    <row r="66" spans="1:21" x14ac:dyDescent="0.3">
      <c r="F66"/>
    </row>
    <row r="67" spans="1:21" x14ac:dyDescent="0.3">
      <c r="F67"/>
    </row>
    <row r="68" spans="1:21" x14ac:dyDescent="0.3">
      <c r="F68"/>
    </row>
    <row r="69" spans="1:21" x14ac:dyDescent="0.3">
      <c r="F69"/>
    </row>
    <row r="70" spans="1:21" x14ac:dyDescent="0.3">
      <c r="F70"/>
    </row>
    <row r="71" spans="1:21" x14ac:dyDescent="0.3">
      <c r="F71"/>
    </row>
    <row r="72" spans="1:21" x14ac:dyDescent="0.3">
      <c r="F72"/>
    </row>
    <row r="73" spans="1:21" x14ac:dyDescent="0.3">
      <c r="F73"/>
    </row>
    <row r="74" spans="1:21" x14ac:dyDescent="0.3">
      <c r="F74"/>
    </row>
    <row r="75" spans="1:21" x14ac:dyDescent="0.3">
      <c r="F75"/>
    </row>
    <row r="76" spans="1:21" x14ac:dyDescent="0.3">
      <c r="F76"/>
    </row>
    <row r="77" spans="1:21" x14ac:dyDescent="0.3">
      <c r="F77"/>
    </row>
    <row r="78" spans="1:21" x14ac:dyDescent="0.3">
      <c r="F78"/>
    </row>
    <row r="79" spans="1:21" x14ac:dyDescent="0.3">
      <c r="F79"/>
      <c r="G79" s="1"/>
    </row>
    <row r="80" spans="1:21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</sheetData>
  <phoneticPr fontId="7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1730D-B4C0-4EB7-B0AE-D7039DAD3DD5}">
  <sheetPr codeName="Sheet37"/>
  <dimension ref="B2:V101"/>
  <sheetViews>
    <sheetView showGridLines="0" topLeftCell="B32" zoomScale="97" zoomScaleNormal="97" workbookViewId="0">
      <selection activeCell="I45" sqref="I45:I65"/>
    </sheetView>
  </sheetViews>
  <sheetFormatPr defaultRowHeight="14.4" x14ac:dyDescent="0.3"/>
  <cols>
    <col min="1" max="1" width="3" customWidth="1"/>
    <col min="5" max="5" width="10.88671875" customWidth="1"/>
    <col min="6" max="6" width="11.6640625" bestFit="1" customWidth="1"/>
    <col min="7" max="7" width="11.44140625" customWidth="1"/>
    <col min="8" max="8" width="11.21875" customWidth="1"/>
    <col min="9" max="9" width="11.109375" customWidth="1"/>
    <col min="10" max="10" width="4.33203125" customWidth="1"/>
    <col min="11" max="11" width="10.109375" customWidth="1"/>
    <col min="12" max="14" width="10.5546875" bestFit="1" customWidth="1"/>
    <col min="15" max="15" width="10.21875" customWidth="1"/>
    <col min="16" max="22" width="10.5546875" bestFit="1" customWidth="1"/>
  </cols>
  <sheetData>
    <row r="2" spans="2:22" x14ac:dyDescent="0.3">
      <c r="B2" s="183" t="s">
        <v>275</v>
      </c>
      <c r="C2" s="183"/>
      <c r="D2" s="183"/>
      <c r="E2" s="183"/>
      <c r="F2" s="156"/>
      <c r="G2" s="156"/>
      <c r="H2" s="156"/>
      <c r="I2" s="156"/>
      <c r="J2" s="156"/>
      <c r="K2" s="387" t="s">
        <v>283</v>
      </c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</row>
    <row r="4" spans="2:22" x14ac:dyDescent="0.3">
      <c r="B4" s="201" t="s">
        <v>27</v>
      </c>
      <c r="C4" s="201"/>
      <c r="D4" s="201"/>
      <c r="E4" s="202">
        <v>2023</v>
      </c>
      <c r="F4" s="202">
        <v>2024</v>
      </c>
      <c r="G4" s="202">
        <v>2025</v>
      </c>
      <c r="H4" s="202">
        <v>2026</v>
      </c>
      <c r="I4" s="202">
        <v>2027</v>
      </c>
      <c r="J4" s="201"/>
      <c r="K4" s="202" t="s">
        <v>32</v>
      </c>
      <c r="L4" s="202" t="s">
        <v>33</v>
      </c>
      <c r="M4" s="202" t="s">
        <v>34</v>
      </c>
      <c r="N4" s="202" t="s">
        <v>35</v>
      </c>
      <c r="O4" s="202" t="s">
        <v>36</v>
      </c>
      <c r="P4" s="202" t="s">
        <v>37</v>
      </c>
      <c r="Q4" s="202" t="s">
        <v>38</v>
      </c>
      <c r="R4" s="202" t="s">
        <v>39</v>
      </c>
      <c r="S4" s="202" t="s">
        <v>40</v>
      </c>
      <c r="T4" s="202" t="s">
        <v>41</v>
      </c>
      <c r="U4" s="202" t="s">
        <v>42</v>
      </c>
      <c r="V4" s="202" t="s">
        <v>43</v>
      </c>
    </row>
    <row r="5" spans="2:22" x14ac:dyDescent="0.3">
      <c r="B5" t="s">
        <v>44</v>
      </c>
      <c r="E5" s="213">
        <f>'Statements Summary 2023'!V5</f>
        <v>794028.94800000021</v>
      </c>
      <c r="F5" s="213">
        <f>'Statements Summary 2024'!V5</f>
        <v>860665.65300000017</v>
      </c>
      <c r="G5" s="213">
        <f>'Statements Summary 2025'!V5</f>
        <v>880113.33675000002</v>
      </c>
      <c r="H5" s="213">
        <f t="shared" ref="H5:H17" si="0">V5</f>
        <v>994677.8737499998</v>
      </c>
      <c r="I5" s="213">
        <f>'Statements Summary 2027'!V5</f>
        <v>1115374.2525000002</v>
      </c>
      <c r="K5" s="213">
        <f>'CF 2026'!G11</f>
        <v>883218.06675</v>
      </c>
      <c r="L5" s="213">
        <f>'CF 2026'!H11</f>
        <v>904873.55850000004</v>
      </c>
      <c r="M5" s="213">
        <f>'CF 2026'!I11</f>
        <v>911083.01849999989</v>
      </c>
      <c r="N5" s="213">
        <f>'CF 2026'!J11</f>
        <v>917292.4785000002</v>
      </c>
      <c r="O5" s="213">
        <f>'CF 2026'!K11</f>
        <v>923501.93849999981</v>
      </c>
      <c r="P5" s="213">
        <f>'CF 2026'!L11</f>
        <v>929711.39850000013</v>
      </c>
      <c r="Q5" s="213">
        <f>'CF 2026'!M11</f>
        <v>935920.85850000009</v>
      </c>
      <c r="R5" s="213">
        <f>'CF 2026'!N11</f>
        <v>960603.46199999982</v>
      </c>
      <c r="S5" s="213">
        <f>'CF 2026'!O11</f>
        <v>966812.92200000014</v>
      </c>
      <c r="T5" s="213">
        <f>'CF 2026'!P11</f>
        <v>973022.38199999998</v>
      </c>
      <c r="U5" s="213">
        <f>'CF 2026'!Q11</f>
        <v>988468.41375000018</v>
      </c>
      <c r="V5" s="213">
        <f>'CF 2026'!R11</f>
        <v>994677.8737499998</v>
      </c>
    </row>
    <row r="6" spans="2:22" x14ac:dyDescent="0.3">
      <c r="B6" t="s">
        <v>45</v>
      </c>
      <c r="E6" s="213">
        <f>'Statements Summary 2023'!V6</f>
        <v>-200</v>
      </c>
      <c r="F6" s="213">
        <f>'Statements Summary 2024'!V6</f>
        <v>-200</v>
      </c>
      <c r="G6" s="213">
        <f>'Statements Summary 2025'!V6</f>
        <v>-200</v>
      </c>
      <c r="H6" s="213">
        <f t="shared" si="0"/>
        <v>-200</v>
      </c>
      <c r="I6" s="213">
        <f>'Statements Summary 2027'!V6</f>
        <v>-200</v>
      </c>
      <c r="K6" s="213">
        <f>'CF 2026'!G19</f>
        <v>-200</v>
      </c>
      <c r="L6" s="213">
        <f>'CF 2026'!H19</f>
        <v>-200</v>
      </c>
      <c r="M6" s="213">
        <f>'CF 2026'!I19</f>
        <v>-200</v>
      </c>
      <c r="N6" s="213">
        <f>'CF 2026'!J19</f>
        <v>-200</v>
      </c>
      <c r="O6" s="213">
        <f>'CF 2026'!K19</f>
        <v>-200</v>
      </c>
      <c r="P6" s="213">
        <f>'CF 2026'!L19</f>
        <v>-200</v>
      </c>
      <c r="Q6" s="213">
        <f>'CF 2026'!M19</f>
        <v>-200</v>
      </c>
      <c r="R6" s="213">
        <f>'CF 2026'!N19</f>
        <v>-200</v>
      </c>
      <c r="S6" s="213">
        <f>'CF 2026'!O19</f>
        <v>-200</v>
      </c>
      <c r="T6" s="213">
        <f>'CF 2026'!P19</f>
        <v>-200</v>
      </c>
      <c r="U6" s="213">
        <f>'CF 2026'!Q19</f>
        <v>-200</v>
      </c>
      <c r="V6" s="213">
        <f>'CF 2026'!R19</f>
        <v>-200</v>
      </c>
    </row>
    <row r="7" spans="2:22" x14ac:dyDescent="0.3">
      <c r="B7" t="s">
        <v>46</v>
      </c>
      <c r="E7" s="213">
        <f>'Statements Summary 2023'!V7</f>
        <v>-16818</v>
      </c>
      <c r="F7" s="213">
        <f>'Statements Summary 2024'!V7</f>
        <v>-16818</v>
      </c>
      <c r="G7" s="213">
        <f>'Statements Summary 2025'!V7</f>
        <v>0</v>
      </c>
      <c r="H7" s="213">
        <f t="shared" si="0"/>
        <v>0</v>
      </c>
      <c r="I7" s="213">
        <f>'Statements Summary 2027'!V7</f>
        <v>0</v>
      </c>
      <c r="K7" s="213" t="s">
        <v>205</v>
      </c>
      <c r="L7" s="213">
        <f>'CF 2026'!H35</f>
        <v>0</v>
      </c>
      <c r="M7" s="213">
        <f>'CF 2026'!I35</f>
        <v>0</v>
      </c>
      <c r="N7" s="213">
        <f>'CF 2026'!J35</f>
        <v>0</v>
      </c>
      <c r="O7" s="213">
        <f>'CF 2026'!K35</f>
        <v>0</v>
      </c>
      <c r="P7" s="213">
        <f>'CF 2026'!L35</f>
        <v>0</v>
      </c>
      <c r="Q7" s="213">
        <f>'CF 2026'!M35</f>
        <v>0</v>
      </c>
      <c r="R7" s="213">
        <f>'CF 2026'!N35</f>
        <v>0</v>
      </c>
      <c r="S7" s="213">
        <f>'CF 2026'!O35</f>
        <v>0</v>
      </c>
      <c r="T7" s="213">
        <f>'CF 2026'!P35</f>
        <v>0</v>
      </c>
      <c r="U7" s="213">
        <f>'CF 2026'!Q35</f>
        <v>0</v>
      </c>
      <c r="V7" s="213">
        <f>'CF 2026'!R35</f>
        <v>0</v>
      </c>
    </row>
    <row r="8" spans="2:22" x14ac:dyDescent="0.3">
      <c r="B8" t="s">
        <v>18</v>
      </c>
      <c r="E8" s="213">
        <f>'Statements Summary 2023'!V8</f>
        <v>571786.75840000017</v>
      </c>
      <c r="F8" s="213">
        <f>'Statements Summary 2024'!V8</f>
        <v>625096.12240000011</v>
      </c>
      <c r="G8" s="213">
        <f>'Statements Summary 2025'!V8</f>
        <v>715545.26939999999</v>
      </c>
      <c r="H8" s="213">
        <f t="shared" si="0"/>
        <v>749123.89899999986</v>
      </c>
      <c r="I8" s="213">
        <f>'Statements Summary 2027'!V8</f>
        <v>840961.00200000009</v>
      </c>
      <c r="K8" s="213">
        <f>'CF 2026'!G24</f>
        <v>650968.85340000002</v>
      </c>
      <c r="L8" s="213">
        <f>'CF 2026'!H24</f>
        <v>668293.24680000008</v>
      </c>
      <c r="M8" s="213">
        <f>'CF 2026'!I24</f>
        <v>673260.81479999993</v>
      </c>
      <c r="N8" s="213">
        <f>'CF 2026'!J24</f>
        <v>678228.38280000014</v>
      </c>
      <c r="O8" s="213">
        <f>'CF 2026'!K24</f>
        <v>683195.95079999988</v>
      </c>
      <c r="P8" s="213">
        <f>'CF 2026'!L24</f>
        <v>688163.51880000008</v>
      </c>
      <c r="Q8" s="213">
        <f>'CF 2026'!M24</f>
        <v>693131.08680000005</v>
      </c>
      <c r="R8" s="213">
        <f>'CF 2026'!N24</f>
        <v>712877.16959999991</v>
      </c>
      <c r="S8" s="213">
        <f>'CF 2026'!O24</f>
        <v>717844.73760000011</v>
      </c>
      <c r="T8" s="213">
        <f>'CF 2026'!P24</f>
        <v>722812.30559999996</v>
      </c>
      <c r="U8" s="213">
        <f>'CF 2026'!Q24</f>
        <v>735169.13100000017</v>
      </c>
      <c r="V8" s="213">
        <f>'CF 2026'!R24</f>
        <v>749123.89899999986</v>
      </c>
    </row>
    <row r="9" spans="2:22" x14ac:dyDescent="0.3">
      <c r="B9" t="s">
        <v>47</v>
      </c>
      <c r="E9" s="213" t="str">
        <f>'Statements Summary 2023'!V9</f>
        <v>-</v>
      </c>
      <c r="F9" s="213" t="str">
        <f>'Statements Summary 2024'!V9</f>
        <v>-</v>
      </c>
      <c r="G9" s="213">
        <f>'Statements Summary 2025'!V9</f>
        <v>0</v>
      </c>
      <c r="H9" s="213">
        <f t="shared" si="0"/>
        <v>0</v>
      </c>
      <c r="I9" s="213">
        <f>'Statements Summary 2027'!V9</f>
        <v>0</v>
      </c>
      <c r="K9" s="213">
        <f>'CF 2026'!G29</f>
        <v>0</v>
      </c>
      <c r="L9" s="213">
        <f>'CF 2026'!H29</f>
        <v>0</v>
      </c>
      <c r="M9" s="213">
        <f>'CF 2026'!I29</f>
        <v>0</v>
      </c>
      <c r="N9" s="213">
        <f>'CF 2026'!J29</f>
        <v>0</v>
      </c>
      <c r="O9" s="213">
        <f>'CF 2026'!K29</f>
        <v>0</v>
      </c>
      <c r="P9" s="213">
        <f>'CF 2026'!L29</f>
        <v>0</v>
      </c>
      <c r="Q9" s="213">
        <f>'CF 2026'!M29</f>
        <v>0</v>
      </c>
      <c r="R9" s="213">
        <f>'CF 2026'!N29</f>
        <v>0</v>
      </c>
      <c r="S9" s="213">
        <f>'CF 2026'!O29</f>
        <v>0</v>
      </c>
      <c r="T9" s="213">
        <f>'CF 2026'!P29</f>
        <v>0</v>
      </c>
      <c r="U9" s="213">
        <f>'CF 2026'!Q29</f>
        <v>0</v>
      </c>
      <c r="V9" s="213">
        <f>'CF 2026'!R29</f>
        <v>0</v>
      </c>
    </row>
    <row r="10" spans="2:22" x14ac:dyDescent="0.3">
      <c r="B10" t="s">
        <v>48</v>
      </c>
      <c r="E10" s="213" t="str">
        <f>'Statements Summary 2023'!V10</f>
        <v>-</v>
      </c>
      <c r="F10" s="213" t="str">
        <f>'Statements Summary 2024'!V10</f>
        <v>-</v>
      </c>
      <c r="G10" s="213" t="str">
        <f>'Statements Summary 2025'!V10</f>
        <v>-</v>
      </c>
      <c r="H10" s="213" t="str">
        <f t="shared" si="0"/>
        <v>-</v>
      </c>
      <c r="I10" s="213" t="str">
        <f>'Statements Summary 2027'!V10</f>
        <v>-</v>
      </c>
      <c r="K10" s="213" t="s">
        <v>205</v>
      </c>
      <c r="L10" s="213" t="s">
        <v>205</v>
      </c>
      <c r="M10" s="213" t="s">
        <v>205</v>
      </c>
      <c r="N10" s="213" t="s">
        <v>205</v>
      </c>
      <c r="O10" s="213" t="s">
        <v>205</v>
      </c>
      <c r="P10" s="213" t="s">
        <v>205</v>
      </c>
      <c r="Q10" s="213" t="s">
        <v>205</v>
      </c>
      <c r="R10" s="213" t="s">
        <v>205</v>
      </c>
      <c r="S10" s="213" t="s">
        <v>205</v>
      </c>
      <c r="T10" s="213" t="s">
        <v>205</v>
      </c>
      <c r="U10" s="213" t="s">
        <v>205</v>
      </c>
      <c r="V10" s="213" t="s">
        <v>205</v>
      </c>
    </row>
    <row r="11" spans="2:22" x14ac:dyDescent="0.3">
      <c r="B11" t="s">
        <v>49</v>
      </c>
      <c r="E11" s="213" t="str">
        <f>'Statements Summary 2023'!V11</f>
        <v>-</v>
      </c>
      <c r="F11" s="213" t="str">
        <f>'Statements Summary 2024'!V11</f>
        <v>-</v>
      </c>
      <c r="G11" s="213" t="str">
        <f>'Statements Summary 2025'!V11</f>
        <v>-</v>
      </c>
      <c r="H11" s="213" t="str">
        <f t="shared" si="0"/>
        <v>-</v>
      </c>
      <c r="I11" s="213" t="str">
        <f>'Statements Summary 2027'!V11</f>
        <v>-</v>
      </c>
      <c r="K11" s="213">
        <f>'CF 2026'!G29</f>
        <v>0</v>
      </c>
      <c r="L11" s="213" t="s">
        <v>205</v>
      </c>
      <c r="M11" s="213" t="s">
        <v>205</v>
      </c>
      <c r="N11" s="213" t="s">
        <v>205</v>
      </c>
      <c r="O11" s="213" t="s">
        <v>205</v>
      </c>
      <c r="P11" s="213" t="s">
        <v>205</v>
      </c>
      <c r="Q11" s="213" t="s">
        <v>205</v>
      </c>
      <c r="R11" s="213" t="s">
        <v>205</v>
      </c>
      <c r="S11" s="213" t="s">
        <v>205</v>
      </c>
      <c r="T11" s="213" t="s">
        <v>205</v>
      </c>
      <c r="U11" s="213" t="s">
        <v>205</v>
      </c>
      <c r="V11" s="213" t="s">
        <v>205</v>
      </c>
    </row>
    <row r="12" spans="2:22" x14ac:dyDescent="0.3">
      <c r="B12" t="s">
        <v>50</v>
      </c>
      <c r="E12" s="213">
        <f>'Statements Summary 2023'!V12</f>
        <v>-16818</v>
      </c>
      <c r="F12" s="213">
        <f>'Statements Summary 2024'!V12</f>
        <v>-16818</v>
      </c>
      <c r="G12" s="213">
        <f>'Statements Summary 2025'!V12</f>
        <v>0</v>
      </c>
      <c r="H12" s="213">
        <f t="shared" si="0"/>
        <v>0</v>
      </c>
      <c r="I12" s="213">
        <f>'Statements Summary 2027'!V12</f>
        <v>0</v>
      </c>
      <c r="K12" s="213" t="s">
        <v>205</v>
      </c>
      <c r="L12" s="213">
        <f>'CF 2026'!H35</f>
        <v>0</v>
      </c>
      <c r="M12" s="213">
        <f>'CF 2026'!I35</f>
        <v>0</v>
      </c>
      <c r="N12" s="213">
        <f>'CF 2026'!J35</f>
        <v>0</v>
      </c>
      <c r="O12" s="213">
        <f>'CF 2026'!K35</f>
        <v>0</v>
      </c>
      <c r="P12" s="213">
        <f>'CF 2026'!L35</f>
        <v>0</v>
      </c>
      <c r="Q12" s="213">
        <f>'CF 2026'!M35</f>
        <v>0</v>
      </c>
      <c r="R12" s="213">
        <f>'CF 2026'!N35</f>
        <v>0</v>
      </c>
      <c r="S12" s="213">
        <f>'CF 2026'!O35</f>
        <v>0</v>
      </c>
      <c r="T12" s="213">
        <f>'CF 2026'!P35</f>
        <v>0</v>
      </c>
      <c r="U12" s="213">
        <f>'CF 2026'!Q35</f>
        <v>0</v>
      </c>
      <c r="V12" s="213">
        <f>'CF 2026'!R35</f>
        <v>0</v>
      </c>
    </row>
    <row r="13" spans="2:22" x14ac:dyDescent="0.3">
      <c r="B13" t="s">
        <v>51</v>
      </c>
      <c r="E13" s="213" t="str">
        <f>'Statements Summary 2023'!V13</f>
        <v>-</v>
      </c>
      <c r="F13" s="213" t="str">
        <f>'Statements Summary 2024'!V13</f>
        <v>-</v>
      </c>
      <c r="G13" s="213" t="str">
        <f>'Statements Summary 2025'!V13</f>
        <v>-</v>
      </c>
      <c r="H13" s="213" t="str">
        <f t="shared" si="0"/>
        <v>-</v>
      </c>
      <c r="I13" s="213" t="str">
        <f>'Statements Summary 2027'!V13</f>
        <v>-</v>
      </c>
      <c r="K13" s="213" t="s">
        <v>205</v>
      </c>
      <c r="L13" s="213" t="s">
        <v>205</v>
      </c>
      <c r="M13" s="213" t="s">
        <v>205</v>
      </c>
      <c r="N13" s="213" t="s">
        <v>205</v>
      </c>
      <c r="O13" s="213" t="s">
        <v>205</v>
      </c>
      <c r="P13" s="213" t="s">
        <v>205</v>
      </c>
      <c r="Q13" s="213" t="s">
        <v>205</v>
      </c>
      <c r="R13" s="213" t="s">
        <v>205</v>
      </c>
      <c r="S13" s="213" t="s">
        <v>205</v>
      </c>
      <c r="T13" s="213" t="s">
        <v>205</v>
      </c>
      <c r="U13" s="213" t="s">
        <v>205</v>
      </c>
      <c r="V13" s="213" t="s">
        <v>205</v>
      </c>
    </row>
    <row r="14" spans="2:22" x14ac:dyDescent="0.3">
      <c r="B14" t="s">
        <v>52</v>
      </c>
      <c r="E14" s="213" t="str">
        <f>'Statements Summary 2023'!V14</f>
        <v>-</v>
      </c>
      <c r="F14" s="213" t="str">
        <f>'Statements Summary 2024'!V14</f>
        <v>-</v>
      </c>
      <c r="G14" s="213" t="str">
        <f>'Statements Summary 2025'!V14</f>
        <v>-</v>
      </c>
      <c r="H14" s="213" t="str">
        <f t="shared" si="0"/>
        <v>-</v>
      </c>
      <c r="I14" s="213" t="str">
        <f>'Statements Summary 2027'!V14</f>
        <v>-</v>
      </c>
      <c r="K14" s="213" t="s">
        <v>205</v>
      </c>
      <c r="L14" s="213" t="s">
        <v>205</v>
      </c>
      <c r="M14" s="213" t="s">
        <v>205</v>
      </c>
      <c r="N14" s="213" t="s">
        <v>205</v>
      </c>
      <c r="O14" s="213" t="s">
        <v>205</v>
      </c>
      <c r="P14" s="213" t="s">
        <v>205</v>
      </c>
      <c r="Q14" s="213" t="s">
        <v>205</v>
      </c>
      <c r="R14" s="213" t="s">
        <v>205</v>
      </c>
      <c r="S14" s="213" t="s">
        <v>205</v>
      </c>
      <c r="T14" s="213" t="s">
        <v>205</v>
      </c>
      <c r="U14" s="213" t="s">
        <v>205</v>
      </c>
      <c r="V14" s="213" t="s">
        <v>205</v>
      </c>
    </row>
    <row r="15" spans="2:22" x14ac:dyDescent="0.3">
      <c r="B15" t="s">
        <v>53</v>
      </c>
      <c r="E15" s="213">
        <f>'Statements Summary 2023'!V15</f>
        <v>-16818</v>
      </c>
      <c r="F15" s="213">
        <f>'Statements Summary 2024'!V15</f>
        <v>-16818</v>
      </c>
      <c r="G15" s="213">
        <f>'Statements Summary 2025'!V15</f>
        <v>0</v>
      </c>
      <c r="H15" s="213">
        <f t="shared" si="0"/>
        <v>0</v>
      </c>
      <c r="I15" s="213">
        <f>'Statements Summary 2027'!V15</f>
        <v>0</v>
      </c>
      <c r="K15" s="213" t="s">
        <v>205</v>
      </c>
      <c r="L15" s="213">
        <f>'CF 2026'!H35</f>
        <v>0</v>
      </c>
      <c r="M15" s="213">
        <f>'CF 2026'!I35</f>
        <v>0</v>
      </c>
      <c r="N15" s="213">
        <f>'CF 2026'!J35</f>
        <v>0</v>
      </c>
      <c r="O15" s="213">
        <f>'CF 2026'!K35</f>
        <v>0</v>
      </c>
      <c r="P15" s="213">
        <f>'CF 2026'!L35</f>
        <v>0</v>
      </c>
      <c r="Q15" s="213">
        <f>'CF 2026'!M35</f>
        <v>0</v>
      </c>
      <c r="R15" s="213">
        <f>'CF 2026'!N35</f>
        <v>0</v>
      </c>
      <c r="S15" s="213">
        <f>'CF 2026'!O35</f>
        <v>0</v>
      </c>
      <c r="T15" s="213">
        <f>'CF 2026'!P35</f>
        <v>0</v>
      </c>
      <c r="U15" s="213">
        <f>'CF 2026'!Q35</f>
        <v>0</v>
      </c>
      <c r="V15" s="213">
        <f>'CF 2026'!R35</f>
        <v>0</v>
      </c>
    </row>
    <row r="16" spans="2:22" x14ac:dyDescent="0.3">
      <c r="B16" t="s">
        <v>210</v>
      </c>
      <c r="E16" s="213">
        <f>'Statements Summary 2023'!V16</f>
        <v>571786.75840000017</v>
      </c>
      <c r="F16" s="213">
        <f>'Statements Summary 2024'!V16</f>
        <v>625096.12240000011</v>
      </c>
      <c r="G16" s="213">
        <f>'Statements Summary 2025'!V16</f>
        <v>715545.26939999999</v>
      </c>
      <c r="H16" s="213">
        <f t="shared" si="0"/>
        <v>749123.89899999986</v>
      </c>
      <c r="I16" s="213">
        <f>'Statements Summary 2027'!V16</f>
        <v>840961.00200000009</v>
      </c>
      <c r="K16" s="213">
        <f>'CF 2026'!G24</f>
        <v>650968.85340000002</v>
      </c>
      <c r="L16" s="213">
        <f>'CF 2026'!H24</f>
        <v>668293.24680000008</v>
      </c>
      <c r="M16" s="213">
        <f>'CF 2026'!I24</f>
        <v>673260.81479999993</v>
      </c>
      <c r="N16" s="213">
        <f>'CF 2026'!J24</f>
        <v>678228.38280000014</v>
      </c>
      <c r="O16" s="213">
        <f>'CF 2026'!K24</f>
        <v>683195.95079999988</v>
      </c>
      <c r="P16" s="213">
        <f>'CF 2026'!L24</f>
        <v>688163.51880000008</v>
      </c>
      <c r="Q16" s="213">
        <f>'CF 2026'!M24</f>
        <v>693131.08680000005</v>
      </c>
      <c r="R16" s="213">
        <f>'CF 2026'!N24</f>
        <v>712877.16959999991</v>
      </c>
      <c r="S16" s="213">
        <f>'CF 2026'!O24</f>
        <v>717844.73760000011</v>
      </c>
      <c r="T16" s="213">
        <f>'CF 2026'!P24</f>
        <v>722812.30559999996</v>
      </c>
      <c r="U16" s="213">
        <f>'CF 2026'!Q24</f>
        <v>735169.13100000017</v>
      </c>
      <c r="V16" s="213">
        <f>'CF 2026'!R24</f>
        <v>749123.89899999986</v>
      </c>
    </row>
    <row r="17" spans="2:22" x14ac:dyDescent="0.3">
      <c r="B17" t="s">
        <v>54</v>
      </c>
      <c r="E17" s="213">
        <f>'Statements Summary 2023'!V17</f>
        <v>1148646.1168000004</v>
      </c>
      <c r="F17" s="213">
        <f>'Statements Summary 2024'!V17</f>
        <v>1295628.0448</v>
      </c>
      <c r="G17" s="213">
        <f>'Statements Summary 2025'!V17</f>
        <v>1431090.5387999997</v>
      </c>
      <c r="H17" s="213">
        <f t="shared" si="0"/>
        <v>1556320.7979999995</v>
      </c>
      <c r="I17" s="213">
        <f>'Statements Summary 2027'!V17</f>
        <v>1745895.0040000002</v>
      </c>
      <c r="K17" s="213">
        <f>'CF 2026'!G45+'CF 2026'!G22+'CF 2026'!G23</f>
        <v>1440551.7068</v>
      </c>
      <c r="L17" s="213">
        <f>'CF 2026'!H45+'CF 2026'!H22+'CF 2026'!H23</f>
        <v>1405893.4936000002</v>
      </c>
      <c r="M17" s="213">
        <f>'CF 2026'!I45+'CF 2026'!I22+'CF 2026'!I23</f>
        <v>1415828.6295999999</v>
      </c>
      <c r="N17" s="213">
        <f>'CF 2026'!J45+'CF 2026'!J22+'CF 2026'!J23</f>
        <v>1425763.7656000005</v>
      </c>
      <c r="O17" s="213">
        <f>'CF 2026'!K45+'CF 2026'!K22+'CF 2026'!K23</f>
        <v>1435698.9015999998</v>
      </c>
      <c r="P17" s="213">
        <f>'CF 2026'!L45+'CF 2026'!L22+'CF 2026'!L23</f>
        <v>1445634.0376000004</v>
      </c>
      <c r="Q17" s="213">
        <f>'CF 2026'!M45+'CF 2026'!M22+'CF 2026'!M23</f>
        <v>1455569.1736000003</v>
      </c>
      <c r="R17" s="213">
        <f>'CF 2026'!N45+'CF 2026'!N22+'CF 2026'!N23</f>
        <v>1495061.3391999998</v>
      </c>
      <c r="S17" s="213">
        <f>'CF 2026'!O45+'CF 2026'!O22+'CF 2026'!O23</f>
        <v>1504996.4752000002</v>
      </c>
      <c r="T17" s="213">
        <f>'CF 2026'!P45+'CF 2026'!P22+'CF 2026'!P23</f>
        <v>1514931.6111999997</v>
      </c>
      <c r="U17" s="213">
        <f>'CF 2026'!Q45+'CF 2026'!Q22+'CF 2026'!Q23</f>
        <v>1539645.2620000003</v>
      </c>
      <c r="V17" s="213">
        <f>'CF 2026'!R45+'CF 2026'!R22+'CF 2026'!R23</f>
        <v>1556320.7979999995</v>
      </c>
    </row>
    <row r="19" spans="2:22" x14ac:dyDescent="0.3">
      <c r="B19" s="183" t="s">
        <v>275</v>
      </c>
      <c r="C19" s="156"/>
      <c r="D19" s="156"/>
      <c r="E19" s="156"/>
      <c r="F19" s="156"/>
      <c r="G19" s="156"/>
      <c r="H19" s="156"/>
      <c r="I19" s="156"/>
      <c r="K19" s="387" t="s">
        <v>283</v>
      </c>
      <c r="L19" s="387"/>
      <c r="M19" s="387"/>
      <c r="N19" s="387"/>
      <c r="O19" s="387"/>
      <c r="P19" s="387"/>
      <c r="Q19" s="387"/>
      <c r="R19" s="387"/>
      <c r="S19" s="387"/>
      <c r="T19" s="387"/>
      <c r="U19" s="387"/>
      <c r="V19" s="387"/>
    </row>
    <row r="42" spans="2:22" x14ac:dyDescent="0.3">
      <c r="B42" s="183" t="s">
        <v>276</v>
      </c>
      <c r="C42" s="183"/>
      <c r="D42" s="183"/>
      <c r="E42" s="183"/>
      <c r="F42" s="156"/>
      <c r="G42" s="156"/>
      <c r="H42" s="156"/>
      <c r="I42" s="156"/>
      <c r="J42" s="156"/>
      <c r="K42" s="387" t="s">
        <v>284</v>
      </c>
      <c r="L42" s="387"/>
      <c r="M42" s="387"/>
      <c r="N42" s="387"/>
      <c r="O42" s="387"/>
      <c r="P42" s="387"/>
      <c r="Q42" s="387"/>
      <c r="R42" s="387"/>
      <c r="S42" s="387"/>
      <c r="T42" s="387"/>
      <c r="U42" s="387"/>
      <c r="V42" s="387"/>
    </row>
    <row r="44" spans="2:22" x14ac:dyDescent="0.3">
      <c r="B44" s="201" t="s">
        <v>27</v>
      </c>
      <c r="C44" s="201"/>
      <c r="D44" s="201"/>
      <c r="E44" s="202">
        <v>2023</v>
      </c>
      <c r="F44" s="202">
        <v>2024</v>
      </c>
      <c r="G44" s="202">
        <v>2025</v>
      </c>
      <c r="H44" s="202">
        <v>2026</v>
      </c>
      <c r="I44" s="202">
        <v>2027</v>
      </c>
      <c r="J44" s="201"/>
      <c r="K44" s="201" t="s">
        <v>32</v>
      </c>
      <c r="L44" s="201" t="s">
        <v>33</v>
      </c>
      <c r="M44" s="201" t="s">
        <v>34</v>
      </c>
      <c r="N44" s="201" t="s">
        <v>35</v>
      </c>
      <c r="O44" s="201" t="s">
        <v>36</v>
      </c>
      <c r="P44" s="201" t="s">
        <v>37</v>
      </c>
      <c r="Q44" s="201" t="s">
        <v>38</v>
      </c>
      <c r="R44" s="201" t="s">
        <v>39</v>
      </c>
      <c r="S44" s="201" t="s">
        <v>40</v>
      </c>
      <c r="T44" s="201" t="s">
        <v>41</v>
      </c>
      <c r="U44" s="201" t="s">
        <v>42</v>
      </c>
      <c r="V44" s="201" t="s">
        <v>43</v>
      </c>
    </row>
    <row r="45" spans="2:22" x14ac:dyDescent="0.3">
      <c r="B45" s="23" t="s">
        <v>2</v>
      </c>
      <c r="C45" s="23"/>
      <c r="D45" s="23"/>
      <c r="E45" s="203">
        <f>'Statements Summary 2023'!V44</f>
        <v>794028.94800000021</v>
      </c>
      <c r="F45" s="203">
        <f>'Statements Summary 2024'!V45</f>
        <v>860665.65300000017</v>
      </c>
      <c r="G45" s="203">
        <f>'Statements Summary 2025'!V45</f>
        <v>880113.33675000002</v>
      </c>
      <c r="H45" s="203">
        <f t="shared" ref="H45:H65" si="1">V45</f>
        <v>994677.8737499998</v>
      </c>
      <c r="I45" s="203">
        <f>'Statements Summary 2027'!V45</f>
        <v>1115374.2525000002</v>
      </c>
      <c r="K45" s="203">
        <f>'IS 2026'!F17</f>
        <v>883218.06675</v>
      </c>
      <c r="L45" s="203">
        <f>'IS 2026'!G17</f>
        <v>904873.55850000004</v>
      </c>
      <c r="M45" s="203">
        <f>'IS 2026'!H17</f>
        <v>911083.01849999989</v>
      </c>
      <c r="N45" s="203">
        <f>'IS 2026'!I17</f>
        <v>917292.4785000002</v>
      </c>
      <c r="O45" s="203">
        <f>'IS 2026'!J17</f>
        <v>923501.93849999981</v>
      </c>
      <c r="P45" s="203">
        <f>'IS 2026'!K17</f>
        <v>929711.39850000013</v>
      </c>
      <c r="Q45" s="203">
        <f>'IS 2026'!L17</f>
        <v>935920.85850000009</v>
      </c>
      <c r="R45" s="203">
        <f>'IS 2026'!M17</f>
        <v>960603.46199999982</v>
      </c>
      <c r="S45" s="203">
        <f>'IS 2026'!N17</f>
        <v>966812.92200000014</v>
      </c>
      <c r="T45" s="203">
        <f>'IS 2026'!O17</f>
        <v>973022.38199999998</v>
      </c>
      <c r="U45" s="203">
        <f>'IS 2026'!P17</f>
        <v>988468.41375000018</v>
      </c>
      <c r="V45" s="203">
        <f>'IS 2026'!Q17</f>
        <v>994677.8737499998</v>
      </c>
    </row>
    <row r="46" spans="2:22" x14ac:dyDescent="0.3">
      <c r="B46" t="s">
        <v>28</v>
      </c>
      <c r="E46" s="1">
        <f>'Statements Summary 2023'!V45</f>
        <v>7.095553453169369E-2</v>
      </c>
      <c r="F46" s="2">
        <f>'Statements Summary 2024'!V46</f>
        <v>4.0916530278233164E-3</v>
      </c>
      <c r="G46" s="2">
        <f>'Statements Summary 2025'!V46</f>
        <v>3.5401362952473458E-3</v>
      </c>
      <c r="H46" s="2">
        <f t="shared" si="1"/>
        <v>6.2819002748327451E-3</v>
      </c>
      <c r="I46" s="2">
        <f>'Statements Summary 2027'!V46</f>
        <v>5.5983205038490219E-3</v>
      </c>
      <c r="K46" s="2"/>
      <c r="L46" s="2">
        <f t="shared" ref="L46" si="2">(L45-K45)/K45</f>
        <v>2.4518850514104979E-2</v>
      </c>
      <c r="M46" s="2">
        <f>(M45-L45)/L45</f>
        <v>6.8622405215301094E-3</v>
      </c>
      <c r="N46" s="2">
        <f>(N45-M45)/M45</f>
        <v>6.815471119441475E-3</v>
      </c>
      <c r="O46" s="2">
        <f t="shared" ref="O46:T46" si="3">(O45-N45)/N45</f>
        <v>6.7693349128443905E-3</v>
      </c>
      <c r="P46" s="2">
        <f t="shared" si="3"/>
        <v>6.723819129265762E-3</v>
      </c>
      <c r="Q46" s="2">
        <f t="shared" si="3"/>
        <v>6.6789113374519544E-3</v>
      </c>
      <c r="R46" s="2">
        <f t="shared" si="3"/>
        <v>2.6372532758334431E-2</v>
      </c>
      <c r="S46" s="2">
        <f t="shared" si="3"/>
        <v>6.4641241111832604E-3</v>
      </c>
      <c r="T46" s="2">
        <f t="shared" si="3"/>
        <v>6.422607578676783E-3</v>
      </c>
      <c r="U46" s="2">
        <f>(U45-T45)/T45</f>
        <v>1.5874282067645386E-2</v>
      </c>
      <c r="V46" s="2">
        <f t="shared" ref="V46" si="4">(V45-U45)/U45</f>
        <v>6.2819002748327451E-3</v>
      </c>
    </row>
    <row r="47" spans="2:22" x14ac:dyDescent="0.3">
      <c r="B47" t="s">
        <v>3</v>
      </c>
      <c r="E47" s="1">
        <f>'Statements Summary 2023'!V46</f>
        <v>-32544</v>
      </c>
      <c r="F47" s="1">
        <f>'Statements Summary 2024'!V47</f>
        <v>-32544</v>
      </c>
      <c r="G47" s="1">
        <f>'Statements Summary 2025'!V47</f>
        <v>-32544</v>
      </c>
      <c r="H47" s="1">
        <f t="shared" si="1"/>
        <v>-32544</v>
      </c>
      <c r="I47" s="1">
        <f>'Statements Summary 2027'!V47</f>
        <v>-38444</v>
      </c>
      <c r="K47" s="1">
        <f>'IS 2026'!F18</f>
        <v>-32544</v>
      </c>
      <c r="L47" s="1">
        <f>'IS 2026'!G18</f>
        <v>-32544</v>
      </c>
      <c r="M47" s="1">
        <f>'IS 2026'!H18</f>
        <v>-32544</v>
      </c>
      <c r="N47" s="1">
        <f>'IS 2026'!I18</f>
        <v>-32544</v>
      </c>
      <c r="O47" s="1">
        <f>'IS 2026'!J18</f>
        <v>-32544</v>
      </c>
      <c r="P47" s="1">
        <f>'IS 2026'!K18</f>
        <v>-32544</v>
      </c>
      <c r="Q47" s="1">
        <f>'IS 2026'!L18</f>
        <v>-32544</v>
      </c>
      <c r="R47" s="1">
        <f>'IS 2026'!M18</f>
        <v>-32544</v>
      </c>
      <c r="S47" s="1">
        <f>'IS 2026'!N18</f>
        <v>-32544</v>
      </c>
      <c r="T47" s="1">
        <f>'IS 2026'!O18</f>
        <v>-32544</v>
      </c>
      <c r="U47" s="1">
        <f>'IS 2026'!P18</f>
        <v>-32544</v>
      </c>
      <c r="V47" s="1">
        <f>'IS 2026'!Q18</f>
        <v>-32544</v>
      </c>
    </row>
    <row r="48" spans="2:22" x14ac:dyDescent="0.3">
      <c r="B48" t="s">
        <v>29</v>
      </c>
      <c r="E48" s="2">
        <f>'Statements Summary 2023'!V47</f>
        <v>-4.0985911259245417E-2</v>
      </c>
      <c r="F48" s="2">
        <f>'Statements Summary 2024'!V48</f>
        <v>-3.7812592946589903E-2</v>
      </c>
      <c r="G48" s="2">
        <f>'Statements Summary 2025'!V48</f>
        <v>-3.6977055841666294E-2</v>
      </c>
      <c r="H48" s="2">
        <f t="shared" si="1"/>
        <v>-3.2718130018623032E-2</v>
      </c>
      <c r="I48" s="2">
        <f>'Statements Summary 2027'!V48</f>
        <v>-3.4467354714197145E-2</v>
      </c>
      <c r="K48" s="2">
        <f>K47/K45</f>
        <v>-3.68470723427941E-2</v>
      </c>
      <c r="L48" s="2">
        <f t="shared" ref="L48:V48" si="5">L47/L45</f>
        <v>-3.5965245855949055E-2</v>
      </c>
      <c r="M48" s="2">
        <f t="shared" si="5"/>
        <v>-3.5720125761514239E-2</v>
      </c>
      <c r="N48" s="2">
        <f t="shared" si="5"/>
        <v>-3.54783242671056E-2</v>
      </c>
      <c r="O48" s="2">
        <f t="shared" si="5"/>
        <v>-3.5239774431724172E-2</v>
      </c>
      <c r="P48" s="2">
        <f t="shared" si="5"/>
        <v>-3.5004411102742862E-2</v>
      </c>
      <c r="Q48" s="2">
        <f t="shared" si="5"/>
        <v>-3.4772170856581026E-2</v>
      </c>
      <c r="R48" s="2">
        <f t="shared" si="5"/>
        <v>-3.3878703635153051E-2</v>
      </c>
      <c r="S48" s="2">
        <f t="shared" si="5"/>
        <v>-3.3661114016430155E-2</v>
      </c>
      <c r="T48" s="2">
        <f t="shared" si="5"/>
        <v>-3.344630154663801E-2</v>
      </c>
      <c r="U48" s="2">
        <f t="shared" si="5"/>
        <v>-3.2923662048579036E-2</v>
      </c>
      <c r="V48" s="2">
        <f t="shared" si="5"/>
        <v>-3.2718130018623032E-2</v>
      </c>
    </row>
    <row r="49" spans="2:22" x14ac:dyDescent="0.3">
      <c r="B49" t="s">
        <v>4</v>
      </c>
      <c r="E49" s="1">
        <f>'Statements Summary 2023'!V48</f>
        <v>761484.94800000021</v>
      </c>
      <c r="F49" s="1">
        <f>'Statements Summary 2024'!V49</f>
        <v>828121.65300000017</v>
      </c>
      <c r="G49" s="1">
        <f>'Statements Summary 2025'!V49</f>
        <v>847569.33675000002</v>
      </c>
      <c r="H49" s="1">
        <f t="shared" si="1"/>
        <v>962133.8737499998</v>
      </c>
      <c r="I49" s="1">
        <f>'Statements Summary 2027'!V49</f>
        <v>1076930.2525000002</v>
      </c>
      <c r="K49" s="1">
        <f>'IS 2026'!F26</f>
        <v>850674.06675</v>
      </c>
      <c r="L49" s="1">
        <f>'IS 2026'!G26</f>
        <v>872329.55850000004</v>
      </c>
      <c r="M49" s="1">
        <f>'IS 2026'!H26</f>
        <v>878539.01849999989</v>
      </c>
      <c r="N49" s="1">
        <f>'IS 2026'!I26</f>
        <v>884748.4785000002</v>
      </c>
      <c r="O49" s="1">
        <f>'IS 2026'!J26</f>
        <v>890957.93849999981</v>
      </c>
      <c r="P49" s="1">
        <f>'IS 2026'!K26</f>
        <v>897167.39850000013</v>
      </c>
      <c r="Q49" s="1">
        <f>'IS 2026'!L26</f>
        <v>903376.85850000009</v>
      </c>
      <c r="R49" s="1">
        <f>'IS 2026'!M26</f>
        <v>928059.46199999982</v>
      </c>
      <c r="S49" s="1">
        <f>'IS 2026'!N26</f>
        <v>934268.92200000014</v>
      </c>
      <c r="T49" s="1">
        <f>'IS 2026'!O26</f>
        <v>940478.38199999998</v>
      </c>
      <c r="U49" s="1">
        <f>'IS 2026'!P26</f>
        <v>955924.41375000018</v>
      </c>
      <c r="V49" s="1">
        <f>'IS 2026'!Q26</f>
        <v>962133.8737499998</v>
      </c>
    </row>
    <row r="50" spans="2:22" x14ac:dyDescent="0.3">
      <c r="B50" t="s">
        <v>30</v>
      </c>
      <c r="E50" s="2">
        <f>'Statements Summary 2023'!V49</f>
        <v>0.95901408874075456</v>
      </c>
      <c r="F50" s="2">
        <f>'Statements Summary 2024'!V50</f>
        <v>0.9621874070534101</v>
      </c>
      <c r="G50" s="2">
        <f>'Statements Summary 2025'!V50</f>
        <v>0.96302294415833367</v>
      </c>
      <c r="H50" s="2">
        <f t="shared" si="1"/>
        <v>0.967281869981377</v>
      </c>
      <c r="I50" s="2">
        <f>'Statements Summary 2027'!V50</f>
        <v>0.96553264528580285</v>
      </c>
      <c r="K50" s="2">
        <f>K49/K45</f>
        <v>0.96315292765720595</v>
      </c>
      <c r="L50" s="2">
        <f t="shared" ref="L50:V50" si="6">L49/L45</f>
        <v>0.96403475414405093</v>
      </c>
      <c r="M50" s="2">
        <f t="shared" si="6"/>
        <v>0.96427987423848571</v>
      </c>
      <c r="N50" s="2">
        <f t="shared" si="6"/>
        <v>0.96452167573289438</v>
      </c>
      <c r="O50" s="2">
        <f t="shared" si="6"/>
        <v>0.96476022556827579</v>
      </c>
      <c r="P50" s="2">
        <f t="shared" si="6"/>
        <v>0.96499558889725712</v>
      </c>
      <c r="Q50" s="2">
        <f t="shared" si="6"/>
        <v>0.96522782914341898</v>
      </c>
      <c r="R50" s="2">
        <f t="shared" si="6"/>
        <v>0.96612129636484689</v>
      </c>
      <c r="S50" s="2">
        <f t="shared" si="6"/>
        <v>0.96633888598356987</v>
      </c>
      <c r="T50" s="2">
        <f t="shared" si="6"/>
        <v>0.96655369845336203</v>
      </c>
      <c r="U50" s="2">
        <f t="shared" si="6"/>
        <v>0.96707633795142101</v>
      </c>
      <c r="V50" s="2">
        <f t="shared" si="6"/>
        <v>0.967281869981377</v>
      </c>
    </row>
    <row r="51" spans="2:22" x14ac:dyDescent="0.3">
      <c r="B51" t="s">
        <v>6</v>
      </c>
      <c r="E51" s="1">
        <f>'Statements Summary 2023'!V50</f>
        <v>-17479</v>
      </c>
      <c r="F51" s="1">
        <f>'Statements Summary 2024'!V51</f>
        <v>-17479</v>
      </c>
      <c r="G51" s="1">
        <f>'Statements Summary 2025'!V51</f>
        <v>-17479</v>
      </c>
      <c r="H51" s="1">
        <f t="shared" si="1"/>
        <v>-17479</v>
      </c>
      <c r="I51" s="1">
        <f>'Statements Summary 2027'!V51</f>
        <v>-17479</v>
      </c>
      <c r="K51" s="1">
        <f>'IS 2026'!F37</f>
        <v>-28713</v>
      </c>
      <c r="L51" s="1">
        <f>'IS 2026'!G37</f>
        <v>-28713</v>
      </c>
      <c r="M51" s="1">
        <f>'IS 2026'!H37</f>
        <v>-28713</v>
      </c>
      <c r="N51" s="1">
        <f>'IS 2026'!I37</f>
        <v>-28713</v>
      </c>
      <c r="O51" s="1">
        <f>'IS 2026'!J37</f>
        <v>-28713</v>
      </c>
      <c r="P51" s="1">
        <f>'IS 2026'!K37</f>
        <v>-28713</v>
      </c>
      <c r="Q51" s="1">
        <f>'IS 2026'!L37</f>
        <v>-28713</v>
      </c>
      <c r="R51" s="1">
        <f>'IS 2026'!M37</f>
        <v>-28713</v>
      </c>
      <c r="S51" s="1">
        <f>'IS 2026'!N37</f>
        <v>-28713</v>
      </c>
      <c r="T51" s="1">
        <f>'IS 2026'!O37</f>
        <v>-28713</v>
      </c>
      <c r="U51" s="1">
        <f>'IS 2026'!P37</f>
        <v>-28713</v>
      </c>
      <c r="V51" s="1">
        <f>'IS 2026'!Q37</f>
        <v>-17479</v>
      </c>
    </row>
    <row r="52" spans="2:22" x14ac:dyDescent="0.3">
      <c r="B52" t="s">
        <v>29</v>
      </c>
      <c r="E52" s="2">
        <f>'Statements Summary 2023'!V51</f>
        <v>-2.2013051342808218E-2</v>
      </c>
      <c r="F52" s="2">
        <f>'Statements Summary 2024'!V52</f>
        <v>-2.0308699364351184E-2</v>
      </c>
      <c r="G52" s="2">
        <f>'Statements Summary 2025'!V52</f>
        <v>-1.9859942203063086E-2</v>
      </c>
      <c r="H52" s="2">
        <f t="shared" si="1"/>
        <v>-1.7572523186931907E-2</v>
      </c>
      <c r="I52" s="2">
        <f>'Statements Summary 2027'!V52</f>
        <v>-1.5670973183057223E-2</v>
      </c>
      <c r="K52" s="2">
        <f>K51/K45</f>
        <v>-3.2509525202146235E-2</v>
      </c>
      <c r="L52" s="2">
        <f t="shared" ref="L52:V52" si="7">L51/L45</f>
        <v>-3.1731505170288381E-2</v>
      </c>
      <c r="M52" s="2">
        <f t="shared" si="7"/>
        <v>-3.1515240013223894E-2</v>
      </c>
      <c r="N52" s="2">
        <f t="shared" si="7"/>
        <v>-3.1301902798715683E-2</v>
      </c>
      <c r="O52" s="2">
        <f t="shared" si="7"/>
        <v>-3.1091434465895282E-2</v>
      </c>
      <c r="P52" s="2">
        <f t="shared" si="7"/>
        <v>-3.0883777531743359E-2</v>
      </c>
      <c r="Q52" s="2">
        <f t="shared" si="7"/>
        <v>-3.0678876038747881E-2</v>
      </c>
      <c r="R52" s="2">
        <f t="shared" si="7"/>
        <v>-2.9890585591081292E-2</v>
      </c>
      <c r="S52" s="2">
        <f t="shared" si="7"/>
        <v>-2.9698610089532913E-2</v>
      </c>
      <c r="T52" s="2">
        <f t="shared" si="7"/>
        <v>-2.9509084817742663E-2</v>
      </c>
      <c r="U52" s="2">
        <f t="shared" si="7"/>
        <v>-2.904796916177636E-2</v>
      </c>
      <c r="V52" s="2">
        <f t="shared" si="7"/>
        <v>-1.7572523186931907E-2</v>
      </c>
    </row>
    <row r="53" spans="2:22" x14ac:dyDescent="0.3">
      <c r="B53" t="s">
        <v>206</v>
      </c>
      <c r="E53" s="1">
        <f>'Statements Summary 2023'!V52</f>
        <v>-45063</v>
      </c>
      <c r="F53" s="1">
        <f>'Statements Summary 2024'!V53</f>
        <v>-45063</v>
      </c>
      <c r="G53" s="1">
        <f>'Statements Summary 2025'!V53</f>
        <v>-45063</v>
      </c>
      <c r="H53" s="1">
        <f t="shared" si="1"/>
        <v>-45063</v>
      </c>
      <c r="I53" s="1">
        <f>'Statements Summary 2027'!V53</f>
        <v>-45063</v>
      </c>
      <c r="K53" s="1">
        <f>'IS 2026'!F38</f>
        <v>-45063</v>
      </c>
      <c r="L53" s="1">
        <f>'IS 2026'!G38</f>
        <v>-45063</v>
      </c>
      <c r="M53" s="1">
        <f>'IS 2026'!H38</f>
        <v>-45063</v>
      </c>
      <c r="N53" s="1">
        <f>'IS 2026'!I38</f>
        <v>-45063</v>
      </c>
      <c r="O53" s="1">
        <f>'IS 2026'!J38</f>
        <v>-45063</v>
      </c>
      <c r="P53" s="1">
        <f>'IS 2026'!K38</f>
        <v>-45063</v>
      </c>
      <c r="Q53" s="1">
        <f>'IS 2026'!L38</f>
        <v>-45063</v>
      </c>
      <c r="R53" s="1">
        <f>'IS 2026'!M38</f>
        <v>-45063</v>
      </c>
      <c r="S53" s="1">
        <f>'IS 2026'!N38</f>
        <v>-45063</v>
      </c>
      <c r="T53" s="1">
        <f>'IS 2026'!O38</f>
        <v>-45063</v>
      </c>
      <c r="U53" s="1">
        <f>'IS 2026'!P38</f>
        <v>-45063</v>
      </c>
      <c r="V53" s="1">
        <f>'IS 2026'!Q38</f>
        <v>-45063</v>
      </c>
    </row>
    <row r="54" spans="2:22" x14ac:dyDescent="0.3">
      <c r="B54" t="s">
        <v>29</v>
      </c>
      <c r="E54" s="2">
        <f>'Statements Summary 2023'!V53</f>
        <v>-5.6752338958805805E-2</v>
      </c>
      <c r="F54" s="2">
        <f>'Statements Summary 2024'!V54</f>
        <v>-5.2358311085059638E-2</v>
      </c>
      <c r="G54" s="2">
        <f>'Statements Summary 2025'!V54</f>
        <v>-5.1201360232086039E-2</v>
      </c>
      <c r="H54" s="2">
        <f t="shared" si="1"/>
        <v>-4.5304114215499319E-2</v>
      </c>
      <c r="I54" s="2">
        <f>'Statements Summary 2027'!V54</f>
        <v>-4.040168571131688E-2</v>
      </c>
      <c r="K54" s="2">
        <f>K53/K45</f>
        <v>-5.1021374784394377E-2</v>
      </c>
      <c r="L54" s="2">
        <f t="shared" ref="L54:V54" si="8">L53/L45</f>
        <v>-4.9800327986929453E-2</v>
      </c>
      <c r="M54" s="2">
        <f t="shared" si="8"/>
        <v>-4.9460915289795848E-2</v>
      </c>
      <c r="N54" s="2">
        <f t="shared" si="8"/>
        <v>-4.912609778910336E-2</v>
      </c>
      <c r="O54" s="2">
        <f t="shared" si="8"/>
        <v>-4.8795782793042843E-2</v>
      </c>
      <c r="P54" s="2">
        <f t="shared" si="8"/>
        <v>-4.8469880086126529E-2</v>
      </c>
      <c r="Q54" s="2">
        <f t="shared" si="8"/>
        <v>-4.8148301847041261E-2</v>
      </c>
      <c r="R54" s="2">
        <f t="shared" si="8"/>
        <v>-4.6911136366485431E-2</v>
      </c>
      <c r="S54" s="2">
        <f t="shared" si="8"/>
        <v>-4.6609844546533684E-2</v>
      </c>
      <c r="T54" s="2">
        <f t="shared" si="8"/>
        <v>-4.6312398186951473E-2</v>
      </c>
      <c r="U54" s="2">
        <f t="shared" si="8"/>
        <v>-4.5588710143040716E-2</v>
      </c>
      <c r="V54" s="2">
        <f t="shared" si="8"/>
        <v>-4.5304114215499319E-2</v>
      </c>
    </row>
    <row r="55" spans="2:22" x14ac:dyDescent="0.3">
      <c r="B55" t="s">
        <v>31</v>
      </c>
      <c r="E55" s="1">
        <f>'Statements Summary 2023'!V54</f>
        <v>-8250</v>
      </c>
      <c r="F55" s="1">
        <f>'Statements Summary 2024'!V55</f>
        <v>-8250</v>
      </c>
      <c r="G55" s="1">
        <f>'Statements Summary 2025'!V55</f>
        <v>-8250</v>
      </c>
      <c r="H55" s="1">
        <f t="shared" si="1"/>
        <v>-8250</v>
      </c>
      <c r="I55" s="1">
        <f>'Statements Summary 2027'!V55</f>
        <v>-8250</v>
      </c>
      <c r="K55" s="1">
        <f>'IS 2026'!F56</f>
        <v>-8250</v>
      </c>
      <c r="L55" s="1">
        <f>'IS 2026'!G56</f>
        <v>-8250</v>
      </c>
      <c r="M55" s="1">
        <f>'IS 2026'!H56</f>
        <v>-8250</v>
      </c>
      <c r="N55" s="1">
        <f>'IS 2026'!I56</f>
        <v>-8250</v>
      </c>
      <c r="O55" s="1">
        <f>'IS 2026'!J56</f>
        <v>-8250</v>
      </c>
      <c r="P55" s="1">
        <f>'IS 2026'!K56</f>
        <v>-8250</v>
      </c>
      <c r="Q55" s="1">
        <f>'IS 2026'!L56</f>
        <v>-8250</v>
      </c>
      <c r="R55" s="1">
        <f>'IS 2026'!M56</f>
        <v>-8250</v>
      </c>
      <c r="S55" s="1">
        <f>'IS 2026'!N56</f>
        <v>-8250</v>
      </c>
      <c r="T55" s="1">
        <f>'IS 2026'!O56</f>
        <v>-8250</v>
      </c>
      <c r="U55" s="1">
        <f>'IS 2026'!P56</f>
        <v>-8250</v>
      </c>
      <c r="V55" s="1">
        <f>'IS 2026'!Q56</f>
        <v>-8250</v>
      </c>
    </row>
    <row r="56" spans="2:22" x14ac:dyDescent="0.3">
      <c r="B56" t="s">
        <v>29</v>
      </c>
      <c r="E56" s="2">
        <f>'Statements Summary 2023'!V55</f>
        <v>-1.0390049406611807E-2</v>
      </c>
      <c r="F56" s="2">
        <f>'Statements Summary 2024'!V56</f>
        <v>-9.5856038535326541E-3</v>
      </c>
      <c r="G56" s="2">
        <f>'Statements Summary 2025'!V56</f>
        <v>-9.3737927327232941E-3</v>
      </c>
      <c r="H56" s="2">
        <f t="shared" si="1"/>
        <v>-8.294142473378811E-3</v>
      </c>
      <c r="I56" s="2">
        <f>'Statements Summary 2027'!V56</f>
        <v>-7.3966204451182621E-3</v>
      </c>
      <c r="K56" s="2">
        <f>K55/K45</f>
        <v>-9.3408415323270443E-3</v>
      </c>
      <c r="L56" s="2">
        <f t="shared" ref="L56:V56" si="9">L55/L45</f>
        <v>-9.1172959166537521E-3</v>
      </c>
      <c r="M56" s="2">
        <f t="shared" si="9"/>
        <v>-9.0551572496464002E-3</v>
      </c>
      <c r="N56" s="2">
        <f t="shared" si="9"/>
        <v>-8.9938598575350671E-3</v>
      </c>
      <c r="O56" s="2">
        <f t="shared" si="9"/>
        <v>-8.933386770579043E-3</v>
      </c>
      <c r="P56" s="2">
        <f t="shared" si="9"/>
        <v>-8.8737214723951761E-3</v>
      </c>
      <c r="Q56" s="2">
        <f t="shared" si="9"/>
        <v>-8.8148478849186789E-3</v>
      </c>
      <c r="R56" s="2">
        <f t="shared" si="9"/>
        <v>-8.588351308690163E-3</v>
      </c>
      <c r="S56" s="2">
        <f t="shared" si="9"/>
        <v>-8.5331916984866269E-3</v>
      </c>
      <c r="T56" s="2">
        <f t="shared" si="9"/>
        <v>-8.4787361037292151E-3</v>
      </c>
      <c r="U56" s="2">
        <f t="shared" si="9"/>
        <v>-8.3462454492618313E-3</v>
      </c>
      <c r="V56" s="2">
        <f t="shared" si="9"/>
        <v>-8.294142473378811E-3</v>
      </c>
    </row>
    <row r="57" spans="2:22" x14ac:dyDescent="0.3">
      <c r="B57" s="23" t="s">
        <v>10</v>
      </c>
      <c r="C57" s="23"/>
      <c r="D57" s="23"/>
      <c r="E57" s="203">
        <f>'Statements Summary 2023'!V56</f>
        <v>735755.94800000021</v>
      </c>
      <c r="F57" s="203">
        <f>'Statements Summary 2024'!V57</f>
        <v>802392.65300000017</v>
      </c>
      <c r="G57" s="203">
        <f>'Statements Summary 2025'!V57</f>
        <v>821840.33675000002</v>
      </c>
      <c r="H57" s="203">
        <f t="shared" si="1"/>
        <v>936404.8737499998</v>
      </c>
      <c r="I57" s="203">
        <f>'Statements Summary 2027'!V57</f>
        <v>1051201.2525000002</v>
      </c>
      <c r="K57" s="203">
        <f>'IS 2026'!F57</f>
        <v>813711.06675</v>
      </c>
      <c r="L57" s="203">
        <f>'IS 2026'!G57</f>
        <v>835366.55850000004</v>
      </c>
      <c r="M57" s="203">
        <f>'IS 2026'!H57</f>
        <v>841576.01849999989</v>
      </c>
      <c r="N57" s="203">
        <f>'IS 2026'!I57</f>
        <v>847785.4785000002</v>
      </c>
      <c r="O57" s="203">
        <f>'IS 2026'!J57</f>
        <v>853994.93849999981</v>
      </c>
      <c r="P57" s="203">
        <f>'IS 2026'!K57</f>
        <v>860204.39850000013</v>
      </c>
      <c r="Q57" s="203">
        <f>'IS 2026'!L57</f>
        <v>866413.85850000009</v>
      </c>
      <c r="R57" s="203">
        <f>'IS 2026'!M57</f>
        <v>891096.46199999982</v>
      </c>
      <c r="S57" s="203">
        <f>'IS 2026'!N57</f>
        <v>897305.92200000014</v>
      </c>
      <c r="T57" s="203">
        <f>'IS 2026'!O57</f>
        <v>903515.38199999998</v>
      </c>
      <c r="U57" s="203">
        <f>'IS 2026'!P57</f>
        <v>918961.41375000018</v>
      </c>
      <c r="V57" s="203">
        <f>'IS 2026'!Q57</f>
        <v>936404.8737499998</v>
      </c>
    </row>
    <row r="58" spans="2:22" x14ac:dyDescent="0.3">
      <c r="B58" t="s">
        <v>22</v>
      </c>
      <c r="E58" s="2">
        <f>'Statements Summary 2023'!V57</f>
        <v>0.92661098799133457</v>
      </c>
      <c r="F58" s="2">
        <f>'Statements Summary 2024'!V58</f>
        <v>0.93229310383552622</v>
      </c>
      <c r="G58" s="2">
        <f>'Statements Summary 2025'!V58</f>
        <v>0.93378920922254738</v>
      </c>
      <c r="H58" s="2">
        <f t="shared" si="1"/>
        <v>0.94141520432106629</v>
      </c>
      <c r="I58" s="2">
        <f>'Statements Summary 2027'!V58</f>
        <v>0.9424650516576274</v>
      </c>
      <c r="K58" s="2">
        <f>K57/K45</f>
        <v>0.92130256092273266</v>
      </c>
      <c r="L58" s="2">
        <f t="shared" ref="L58:V58" si="10">L57/L45</f>
        <v>0.92318595305710882</v>
      </c>
      <c r="M58" s="2">
        <f t="shared" si="10"/>
        <v>0.92370947697561545</v>
      </c>
      <c r="N58" s="2">
        <f t="shared" si="10"/>
        <v>0.9242259130766437</v>
      </c>
      <c r="O58" s="2">
        <f t="shared" si="10"/>
        <v>0.92473540433180146</v>
      </c>
      <c r="P58" s="2">
        <f t="shared" si="10"/>
        <v>0.92523808989311862</v>
      </c>
      <c r="Q58" s="2">
        <f t="shared" si="10"/>
        <v>0.92573410521975241</v>
      </c>
      <c r="R58" s="2">
        <f t="shared" si="10"/>
        <v>0.92764235946507545</v>
      </c>
      <c r="S58" s="2">
        <f t="shared" si="10"/>
        <v>0.92810708419555032</v>
      </c>
      <c r="T58" s="2">
        <f t="shared" si="10"/>
        <v>0.92856587753189013</v>
      </c>
      <c r="U58" s="2">
        <f t="shared" si="10"/>
        <v>0.9296821233403828</v>
      </c>
      <c r="V58" s="2">
        <f t="shared" si="10"/>
        <v>0.94141520432106629</v>
      </c>
    </row>
    <row r="59" spans="2:22" x14ac:dyDescent="0.3">
      <c r="B59" t="s">
        <v>11</v>
      </c>
      <c r="E59" s="1">
        <f>'Statements Summary 2023'!V58</f>
        <v>-1711</v>
      </c>
      <c r="F59" s="1">
        <f>'Statements Summary 2024'!V59</f>
        <v>-1850</v>
      </c>
      <c r="G59" s="1">
        <f>'Statements Summary 2025'!V59</f>
        <v>-1911</v>
      </c>
      <c r="H59" s="1">
        <f t="shared" si="1"/>
        <v>-1756</v>
      </c>
      <c r="I59" s="1">
        <f>'Statements Summary 2027'!V59</f>
        <v>-1800</v>
      </c>
      <c r="K59">
        <f>'IS 2026'!F58</f>
        <v>-1911</v>
      </c>
      <c r="L59">
        <f>'IS 2026'!G58</f>
        <v>-1911</v>
      </c>
      <c r="M59">
        <f>'IS 2026'!H58</f>
        <v>-1911</v>
      </c>
      <c r="N59">
        <f>'IS 2026'!I58</f>
        <v>-1756</v>
      </c>
      <c r="O59">
        <f>'IS 2026'!J58</f>
        <v>-1756</v>
      </c>
      <c r="P59">
        <f>'IS 2026'!K58</f>
        <v>-1756</v>
      </c>
      <c r="Q59">
        <f>'IS 2026'!L58</f>
        <v>-1756</v>
      </c>
      <c r="R59">
        <f>'IS 2026'!M58</f>
        <v>-1756</v>
      </c>
      <c r="S59">
        <f>'IS 2026'!N58</f>
        <v>-1756</v>
      </c>
      <c r="T59">
        <f>'IS 2026'!O58</f>
        <v>-1756</v>
      </c>
      <c r="U59">
        <f>'IS 2026'!P58</f>
        <v>-1756</v>
      </c>
      <c r="V59">
        <f>'IS 2026'!Q58</f>
        <v>-1756</v>
      </c>
    </row>
    <row r="60" spans="2:22" x14ac:dyDescent="0.3">
      <c r="B60" t="s">
        <v>12</v>
      </c>
      <c r="E60" s="1">
        <f>'Statements Summary 2023'!V59</f>
        <v>734044.94800000021</v>
      </c>
      <c r="F60" s="1">
        <f>'Statements Summary 2024'!V60</f>
        <v>800542.65300000017</v>
      </c>
      <c r="G60" s="1">
        <f>'Statements Summary 2025'!V60</f>
        <v>823751.33675000002</v>
      </c>
      <c r="H60" s="1">
        <f t="shared" si="1"/>
        <v>934648.8737499998</v>
      </c>
      <c r="I60" s="1">
        <f>'Statements Summary 2027'!V60</f>
        <v>1049401.2525000002</v>
      </c>
      <c r="K60" s="1">
        <f>'IS 2026'!F59</f>
        <v>811800.06675</v>
      </c>
      <c r="L60" s="1">
        <f>'IS 2026'!G59</f>
        <v>833455.55850000004</v>
      </c>
      <c r="M60" s="1">
        <f>'IS 2026'!H59</f>
        <v>839665.01849999989</v>
      </c>
      <c r="N60" s="1">
        <f>'IS 2026'!I59</f>
        <v>846029.4785000002</v>
      </c>
      <c r="O60" s="1">
        <f>'IS 2026'!J59</f>
        <v>852238.93849999981</v>
      </c>
      <c r="P60" s="1">
        <f>'IS 2026'!K59</f>
        <v>858448.39850000013</v>
      </c>
      <c r="Q60" s="1">
        <f>'IS 2026'!L59</f>
        <v>864657.85850000009</v>
      </c>
      <c r="R60" s="1">
        <f>'IS 2026'!M59</f>
        <v>889340.46199999982</v>
      </c>
      <c r="S60" s="1">
        <f>'IS 2026'!N59</f>
        <v>895549.92200000014</v>
      </c>
      <c r="T60" s="1">
        <f>'IS 2026'!O59</f>
        <v>901759.38199999998</v>
      </c>
      <c r="U60" s="1">
        <f>'IS 2026'!P59</f>
        <v>917205.41375000018</v>
      </c>
      <c r="V60" s="1">
        <f>'IS 2026'!Q59</f>
        <v>934648.8737499998</v>
      </c>
    </row>
    <row r="61" spans="2:22" x14ac:dyDescent="0.3">
      <c r="B61" t="s">
        <v>13</v>
      </c>
      <c r="E61" s="1">
        <f>'Statements Summary 2023'!V60</f>
        <v>-53000.4</v>
      </c>
      <c r="F61" s="1">
        <f>'Statements Summary 2024'!V61</f>
        <v>-12637.2</v>
      </c>
      <c r="G61" s="1">
        <f>'Statements Summary 2025'!V61</f>
        <v>0</v>
      </c>
      <c r="H61" s="1">
        <f t="shared" si="1"/>
        <v>0</v>
      </c>
      <c r="I61" s="1">
        <f>'Statements Summary 2027'!V61</f>
        <v>0</v>
      </c>
      <c r="K61" s="1">
        <f>'IS 2026'!F60</f>
        <v>0</v>
      </c>
      <c r="L61" s="1">
        <f>'IS 2026'!G60</f>
        <v>0</v>
      </c>
      <c r="M61" s="1">
        <f>'IS 2026'!H60</f>
        <v>0</v>
      </c>
      <c r="N61" s="1">
        <f>'IS 2026'!I60</f>
        <v>0</v>
      </c>
      <c r="O61" s="1">
        <f>'IS 2026'!J60</f>
        <v>0</v>
      </c>
      <c r="P61" s="1">
        <f>'IS 2026'!K60</f>
        <v>0</v>
      </c>
      <c r="Q61" s="1">
        <f>'IS 2026'!L60</f>
        <v>0</v>
      </c>
      <c r="R61" s="1">
        <f>'IS 2026'!M60</f>
        <v>0</v>
      </c>
      <c r="S61" s="1">
        <f>'IS 2026'!N60</f>
        <v>0</v>
      </c>
      <c r="T61" s="1">
        <f>'IS 2026'!O60</f>
        <v>0</v>
      </c>
      <c r="U61" s="1">
        <f>'IS 2026'!P60</f>
        <v>0</v>
      </c>
      <c r="V61" s="1">
        <f>'IS 2026'!Q60</f>
        <v>0</v>
      </c>
    </row>
    <row r="62" spans="2:22" x14ac:dyDescent="0.3">
      <c r="B62" t="s">
        <v>14</v>
      </c>
      <c r="E62" s="1">
        <f>'Statements Summary 2023'!V61</f>
        <v>735755.94800000021</v>
      </c>
      <c r="F62" s="1">
        <f>'Statements Summary 2024'!V62</f>
        <v>802392.65300000017</v>
      </c>
      <c r="G62" s="1">
        <f>'Statements Summary 2025'!V62</f>
        <v>821840.33675000002</v>
      </c>
      <c r="H62" s="1">
        <f t="shared" si="1"/>
        <v>936404.8737499998</v>
      </c>
      <c r="I62" s="1">
        <f>'Statements Summary 2027'!V62</f>
        <v>1051201.2525000002</v>
      </c>
      <c r="K62" s="1">
        <f>'IS 2026'!F61</f>
        <v>813711.06675</v>
      </c>
      <c r="L62" s="1">
        <f>'IS 2026'!G61</f>
        <v>835366.55850000004</v>
      </c>
      <c r="M62" s="1">
        <f>'IS 2026'!H61</f>
        <v>841576.01849999989</v>
      </c>
      <c r="N62" s="1">
        <f>'IS 2026'!I61</f>
        <v>847785.4785000002</v>
      </c>
      <c r="O62" s="1">
        <f>'IS 2026'!J61</f>
        <v>853994.93849999981</v>
      </c>
      <c r="P62" s="1">
        <f>'IS 2026'!K61</f>
        <v>860204.39850000013</v>
      </c>
      <c r="Q62" s="1">
        <f>'IS 2026'!L61</f>
        <v>866413.85850000009</v>
      </c>
      <c r="R62" s="1">
        <f>'IS 2026'!M61</f>
        <v>891096.46199999982</v>
      </c>
      <c r="S62" s="1">
        <f>'IS 2026'!N61</f>
        <v>897305.92200000014</v>
      </c>
      <c r="T62" s="1">
        <f>'IS 2026'!O61</f>
        <v>903515.38199999998</v>
      </c>
      <c r="U62" s="1">
        <f>'IS 2026'!P61</f>
        <v>918961.41375000018</v>
      </c>
      <c r="V62" s="1">
        <f>'IS 2026'!Q61</f>
        <v>936404.8737499998</v>
      </c>
    </row>
    <row r="63" spans="2:22" x14ac:dyDescent="0.3">
      <c r="B63" t="s">
        <v>15</v>
      </c>
      <c r="E63" s="1">
        <f>'Statements Summary 2023'!V62</f>
        <v>-147151.18960000004</v>
      </c>
      <c r="F63" s="1">
        <f>'Statements Summary 2024'!V63</f>
        <v>-160478.53060000006</v>
      </c>
      <c r="G63" s="1">
        <f>'Statements Summary 2025'!V63</f>
        <v>-164368.06735000003</v>
      </c>
      <c r="H63" s="1">
        <f t="shared" si="1"/>
        <v>-187280.97474999996</v>
      </c>
      <c r="I63" s="1">
        <f>'Statements Summary 2027'!V63</f>
        <v>-187280.97474999996</v>
      </c>
      <c r="K63" s="1">
        <f>'IS 2026'!F62</f>
        <v>-162742.21335000001</v>
      </c>
      <c r="L63" s="1">
        <f>'IS 2026'!G62</f>
        <v>-167073.31170000002</v>
      </c>
      <c r="M63" s="1">
        <f>'IS 2026'!H62</f>
        <v>-168315.20369999998</v>
      </c>
      <c r="N63" s="1">
        <f>'IS 2026'!I62</f>
        <v>-169557.09570000006</v>
      </c>
      <c r="O63" s="1">
        <f>'IS 2026'!J62</f>
        <v>-170798.98769999997</v>
      </c>
      <c r="P63" s="1">
        <f>'IS 2026'!K62</f>
        <v>-172040.87970000005</v>
      </c>
      <c r="Q63" s="1">
        <f>'IS 2026'!L62</f>
        <v>-173282.77170000004</v>
      </c>
      <c r="R63" s="1">
        <f>'IS 2026'!M62</f>
        <v>-178219.29239999998</v>
      </c>
      <c r="S63" s="1">
        <f>'IS 2026'!N62</f>
        <v>-179461.18440000003</v>
      </c>
      <c r="T63" s="1">
        <f>'IS 2026'!O62</f>
        <v>-180703.07640000002</v>
      </c>
      <c r="U63" s="1">
        <f>'IS 2026'!P62</f>
        <v>-183792.28275000004</v>
      </c>
      <c r="V63" s="1">
        <f>'IS 2026'!Q62</f>
        <v>-187280.97474999996</v>
      </c>
    </row>
    <row r="64" spans="2:22" x14ac:dyDescent="0.3">
      <c r="B64" s="23" t="s">
        <v>16</v>
      </c>
      <c r="C64" s="23"/>
      <c r="D64" s="23"/>
      <c r="E64" s="203">
        <f>'Statements Summary 2023'!V63</f>
        <v>588604.75840000017</v>
      </c>
      <c r="F64" s="203">
        <f>'Statements Summary 2024'!V64</f>
        <v>641914.12240000011</v>
      </c>
      <c r="G64" s="203">
        <f>'Statements Summary 2025'!V64</f>
        <v>657472.26939999999</v>
      </c>
      <c r="H64" s="203">
        <f t="shared" si="1"/>
        <v>749123.89899999986</v>
      </c>
      <c r="I64" s="203">
        <f>'Statements Summary 2027'!V64</f>
        <v>840961.00200000009</v>
      </c>
      <c r="K64" s="203">
        <f>'IS 2026'!F63</f>
        <v>650968.85340000002</v>
      </c>
      <c r="L64" s="203">
        <f>'IS 2026'!G63</f>
        <v>668293.24680000008</v>
      </c>
      <c r="M64" s="203">
        <f>'IS 2026'!H63</f>
        <v>673260.81479999993</v>
      </c>
      <c r="N64" s="203">
        <f>'IS 2026'!I63</f>
        <v>678228.38280000014</v>
      </c>
      <c r="O64" s="203">
        <f>'IS 2026'!J63</f>
        <v>683195.95079999988</v>
      </c>
      <c r="P64" s="203">
        <f>'IS 2026'!K63</f>
        <v>688163.51880000008</v>
      </c>
      <c r="Q64" s="203">
        <f>'IS 2026'!L63</f>
        <v>693131.08680000005</v>
      </c>
      <c r="R64" s="203">
        <f>'IS 2026'!M63</f>
        <v>712877.16959999991</v>
      </c>
      <c r="S64" s="203">
        <f>'IS 2026'!N63</f>
        <v>717844.73760000011</v>
      </c>
      <c r="T64" s="203">
        <f>'IS 2026'!O63</f>
        <v>722812.30559999996</v>
      </c>
      <c r="U64" s="203">
        <f>'IS 2026'!P63</f>
        <v>735169.13100000017</v>
      </c>
      <c r="V64" s="203">
        <f>'IS 2026'!Q63</f>
        <v>749123.89899999986</v>
      </c>
    </row>
    <row r="65" spans="2:22" x14ac:dyDescent="0.3">
      <c r="B65" t="s">
        <v>17</v>
      </c>
      <c r="E65" s="2">
        <f>'Statements Summary 2023'!V64</f>
        <v>0.74128879039306761</v>
      </c>
      <c r="F65" s="2">
        <f>'Statements Summary 2024'!V65</f>
        <v>0.74583448306842093</v>
      </c>
      <c r="G65" s="2">
        <f>'Statements Summary 2025'!V65</f>
        <v>0.74703136737803788</v>
      </c>
      <c r="H65" s="2">
        <f t="shared" si="1"/>
        <v>0.75313216345685308</v>
      </c>
      <c r="I65" s="2">
        <f>'Statements Summary 2027'!V65</f>
        <v>0.75397204132610185</v>
      </c>
      <c r="K65" s="2">
        <f>K64/K45</f>
        <v>0.73704204873818613</v>
      </c>
      <c r="L65" s="2">
        <f t="shared" ref="L65:V65" si="11">L64/L45</f>
        <v>0.73854876244568712</v>
      </c>
      <c r="M65" s="2">
        <f t="shared" si="11"/>
        <v>0.73896758158049236</v>
      </c>
      <c r="N65" s="2">
        <f t="shared" si="11"/>
        <v>0.73938073046131492</v>
      </c>
      <c r="O65" s="2">
        <f t="shared" si="11"/>
        <v>0.73978832346544121</v>
      </c>
      <c r="P65" s="2">
        <f t="shared" si="11"/>
        <v>0.74019047191449483</v>
      </c>
      <c r="Q65" s="2">
        <f t="shared" si="11"/>
        <v>0.74058728417580189</v>
      </c>
      <c r="R65" s="2">
        <f t="shared" si="11"/>
        <v>0.74211388757206043</v>
      </c>
      <c r="S65" s="2">
        <f t="shared" si="11"/>
        <v>0.74248566735644028</v>
      </c>
      <c r="T65" s="2">
        <f t="shared" si="11"/>
        <v>0.74285270202551201</v>
      </c>
      <c r="U65" s="2">
        <f t="shared" si="11"/>
        <v>0.74374569867230622</v>
      </c>
      <c r="V65" s="2">
        <f t="shared" si="11"/>
        <v>0.75313216345685308</v>
      </c>
    </row>
    <row r="67" spans="2:22" x14ac:dyDescent="0.3">
      <c r="B67" s="183" t="s">
        <v>276</v>
      </c>
      <c r="C67" s="156"/>
      <c r="D67" s="156"/>
      <c r="E67" s="156"/>
      <c r="F67" s="156"/>
      <c r="G67" s="156"/>
      <c r="H67" s="156"/>
      <c r="I67" s="156"/>
      <c r="K67" s="387" t="s">
        <v>284</v>
      </c>
      <c r="L67" s="387"/>
      <c r="M67" s="387"/>
      <c r="N67" s="387"/>
      <c r="O67" s="387"/>
      <c r="P67" s="387"/>
      <c r="Q67" s="387"/>
      <c r="R67" s="387"/>
      <c r="S67" s="387"/>
      <c r="T67" s="387"/>
      <c r="U67" s="387"/>
      <c r="V67" s="387"/>
    </row>
    <row r="85" spans="2:22" x14ac:dyDescent="0.3">
      <c r="B85" s="183" t="s">
        <v>277</v>
      </c>
      <c r="C85" s="183"/>
      <c r="D85" s="183"/>
      <c r="E85" s="183"/>
      <c r="F85" s="156"/>
      <c r="G85" s="156"/>
      <c r="H85" s="156"/>
      <c r="I85" s="156"/>
      <c r="J85" s="156"/>
      <c r="K85" s="387" t="s">
        <v>285</v>
      </c>
      <c r="L85" s="387"/>
      <c r="M85" s="387"/>
      <c r="N85" s="387"/>
      <c r="O85" s="387"/>
      <c r="P85" s="387"/>
      <c r="Q85" s="387"/>
      <c r="R85" s="387"/>
      <c r="S85" s="387"/>
      <c r="T85" s="387"/>
      <c r="U85" s="387"/>
      <c r="V85" s="387"/>
    </row>
    <row r="87" spans="2:22" x14ac:dyDescent="0.3">
      <c r="B87" s="201" t="s">
        <v>27</v>
      </c>
      <c r="C87" s="201"/>
      <c r="D87" s="201"/>
      <c r="E87" s="202">
        <v>2023</v>
      </c>
      <c r="F87" s="202">
        <v>2024</v>
      </c>
      <c r="G87" s="202">
        <v>2025</v>
      </c>
      <c r="H87" s="202">
        <v>2026</v>
      </c>
      <c r="I87" s="202">
        <v>2027</v>
      </c>
      <c r="J87" s="201"/>
      <c r="K87" s="202" t="s">
        <v>32</v>
      </c>
      <c r="L87" s="202" t="s">
        <v>33</v>
      </c>
      <c r="M87" s="202" t="s">
        <v>34</v>
      </c>
      <c r="N87" s="202" t="s">
        <v>35</v>
      </c>
      <c r="O87" s="202" t="s">
        <v>36</v>
      </c>
      <c r="P87" s="202" t="s">
        <v>37</v>
      </c>
      <c r="Q87" s="202" t="s">
        <v>38</v>
      </c>
      <c r="R87" s="202" t="s">
        <v>39</v>
      </c>
      <c r="S87" s="202" t="s">
        <v>40</v>
      </c>
      <c r="T87" s="202" t="s">
        <v>41</v>
      </c>
      <c r="U87" s="202" t="s">
        <v>42</v>
      </c>
      <c r="V87" s="202" t="s">
        <v>43</v>
      </c>
    </row>
    <row r="88" spans="2:22" x14ac:dyDescent="0.3">
      <c r="B88" t="s">
        <v>55</v>
      </c>
      <c r="E88" s="213">
        <f>'Statements Summary 2023'!V86</f>
        <v>5300048.053568</v>
      </c>
      <c r="F88" s="213">
        <f>'Statements Summary 2024'!V88</f>
        <v>12937033.168768</v>
      </c>
      <c r="G88" s="213">
        <f>'Statements Summary 2025'!V88</f>
        <v>21347934.268282287</v>
      </c>
      <c r="H88" s="213">
        <f t="shared" ref="H88:H99" si="12">V88</f>
        <v>29790310.365282293</v>
      </c>
      <c r="I88" s="213">
        <f>'Statements Summary 2027'!V88</f>
        <v>40151893.008882284</v>
      </c>
      <c r="K88" s="213">
        <f>'BS 2026'!F14</f>
        <v>22068210.121682286</v>
      </c>
      <c r="L88" s="213">
        <f>'BS 2026'!G14</f>
        <v>22736503.368482288</v>
      </c>
      <c r="M88" s="213">
        <f>'BS 2026'!H14</f>
        <v>23409764.18328229</v>
      </c>
      <c r="N88" s="213">
        <f>'BS 2026'!I14</f>
        <v>24087992.566082291</v>
      </c>
      <c r="O88" s="213">
        <f>'BS 2026'!J14</f>
        <v>24771188.516882293</v>
      </c>
      <c r="P88" s="213">
        <f>'BS 2026'!K14</f>
        <v>25459352.035682295</v>
      </c>
      <c r="Q88" s="213">
        <f>'BS 2026'!L14</f>
        <v>26152483.122482296</v>
      </c>
      <c r="R88" s="213">
        <f>'BS 2026'!M14</f>
        <v>26865360.292082295</v>
      </c>
      <c r="S88" s="213">
        <f>'BS 2026'!N14</f>
        <v>27583205.029682294</v>
      </c>
      <c r="T88" s="213">
        <f>'BS 2026'!O14</f>
        <v>28306017.335282292</v>
      </c>
      <c r="U88" s="213">
        <f>'BS 2026'!P14</f>
        <v>29041186.466282293</v>
      </c>
      <c r="V88" s="213">
        <f>'BS 2026'!Q14</f>
        <v>29790310.365282293</v>
      </c>
    </row>
    <row r="89" spans="2:22" x14ac:dyDescent="0.3">
      <c r="B89" t="s">
        <v>56</v>
      </c>
      <c r="E89" s="213">
        <f>'Statements Summary 2023'!V87</f>
        <v>470532</v>
      </c>
      <c r="F89" s="213">
        <f>'Statements Summary 2024'!V89</f>
        <v>488332</v>
      </c>
      <c r="G89" s="213">
        <f>'Statements Summary 2025'!V89</f>
        <v>509481</v>
      </c>
      <c r="H89" s="213">
        <f t="shared" si="12"/>
        <v>531018</v>
      </c>
      <c r="I89" s="213">
        <f>'Statements Summary 2027'!V89</f>
        <v>552400</v>
      </c>
      <c r="K89" s="213">
        <f>'BS 2026'!F19</f>
        <v>511392</v>
      </c>
      <c r="L89" s="213">
        <f>'BS 2026'!G19</f>
        <v>513303</v>
      </c>
      <c r="M89" s="213">
        <f>'BS 2026'!H19</f>
        <v>515214</v>
      </c>
      <c r="N89" s="213">
        <f>'BS 2026'!I19</f>
        <v>516970</v>
      </c>
      <c r="O89" s="213">
        <f>'BS 2026'!J19</f>
        <v>518726</v>
      </c>
      <c r="P89" s="213">
        <f>'BS 2026'!K19</f>
        <v>520482</v>
      </c>
      <c r="Q89" s="213">
        <f>'BS 2026'!L19</f>
        <v>522238</v>
      </c>
      <c r="R89" s="213">
        <f>'BS 2026'!M19</f>
        <v>523994</v>
      </c>
      <c r="S89" s="213">
        <f>'BS 2026'!N19</f>
        <v>525750</v>
      </c>
      <c r="T89" s="213">
        <f>'BS 2026'!O19</f>
        <v>527506</v>
      </c>
      <c r="U89" s="213">
        <f>'BS 2026'!P19</f>
        <v>529262</v>
      </c>
      <c r="V89" s="213">
        <f>'BS 2026'!Q19</f>
        <v>531018</v>
      </c>
    </row>
    <row r="90" spans="2:22" x14ac:dyDescent="0.3">
      <c r="B90" t="s">
        <v>57</v>
      </c>
      <c r="E90" s="213">
        <f>'Statements Summary 2023'!V88</f>
        <v>5770580.053568</v>
      </c>
      <c r="F90" s="213">
        <f>'Statements Summary 2024'!V90</f>
        <v>13425365.168768</v>
      </c>
      <c r="G90" s="213">
        <f>'Statements Summary 2025'!V90</f>
        <v>21857415.268282287</v>
      </c>
      <c r="H90" s="213">
        <f t="shared" si="12"/>
        <v>30321328.365282293</v>
      </c>
      <c r="I90" s="213">
        <f>'Statements Summary 2027'!V90</f>
        <v>40704293.008882284</v>
      </c>
      <c r="K90" s="213">
        <f>'BS 2026'!F20</f>
        <v>22579602.121682286</v>
      </c>
      <c r="L90" s="213">
        <f>'BS 2026'!G20</f>
        <v>23249806.368482288</v>
      </c>
      <c r="M90" s="213">
        <f>'BS 2026'!H20</f>
        <v>23924978.18328229</v>
      </c>
      <c r="N90" s="213">
        <f>'BS 2026'!I20</f>
        <v>24604962.566082291</v>
      </c>
      <c r="O90" s="213">
        <f>'BS 2026'!J20</f>
        <v>25289914.516882293</v>
      </c>
      <c r="P90" s="213">
        <f>'BS 2026'!K20</f>
        <v>25979834.035682295</v>
      </c>
      <c r="Q90" s="213">
        <f>'BS 2026'!L20</f>
        <v>26674721.122482296</v>
      </c>
      <c r="R90" s="213">
        <f>'BS 2026'!M20</f>
        <v>27389354.292082295</v>
      </c>
      <c r="S90" s="213">
        <f>'BS 2026'!N20</f>
        <v>28108955.029682294</v>
      </c>
      <c r="T90" s="213">
        <f>'BS 2026'!O20</f>
        <v>28833523.335282292</v>
      </c>
      <c r="U90" s="213">
        <f>'BS 2026'!P20</f>
        <v>29570448.466282293</v>
      </c>
      <c r="V90" s="213">
        <f>'BS 2026'!Q20</f>
        <v>30321328.365282293</v>
      </c>
    </row>
    <row r="91" spans="2:22" x14ac:dyDescent="0.3">
      <c r="B91" t="s">
        <v>58</v>
      </c>
      <c r="E91" s="213">
        <f>'Statements Summary 2023'!V89</f>
        <v>-147151.18960000004</v>
      </c>
      <c r="F91" s="213">
        <f>'Statements Summary 2024'!V91</f>
        <v>-160478.53060000006</v>
      </c>
      <c r="G91" s="213">
        <f>'Statements Summary 2025'!V91</f>
        <v>-164368.06735000003</v>
      </c>
      <c r="H91" s="213">
        <f t="shared" si="12"/>
        <v>-187280.97474999996</v>
      </c>
      <c r="I91" s="213">
        <f>'Statements Summary 2027'!V91</f>
        <v>-210240.25050000005</v>
      </c>
      <c r="K91" s="213">
        <f>'BS 2026'!F25</f>
        <v>-162742.21335000001</v>
      </c>
      <c r="L91" s="213">
        <f>'BS 2026'!G25</f>
        <v>-167073.31170000002</v>
      </c>
      <c r="M91" s="213">
        <f>'BS 2026'!H25</f>
        <v>-168315.20369999998</v>
      </c>
      <c r="N91" s="213">
        <f>'BS 2026'!I25</f>
        <v>-169557.09570000006</v>
      </c>
      <c r="O91" s="213">
        <f>'BS 2026'!J25</f>
        <v>-170798.98769999997</v>
      </c>
      <c r="P91" s="213">
        <f>'BS 2026'!K25</f>
        <v>-172040.87970000005</v>
      </c>
      <c r="Q91" s="213">
        <f>'BS 2026'!L25</f>
        <v>-173282.77170000004</v>
      </c>
      <c r="R91" s="213">
        <f>'BS 2026'!M25</f>
        <v>-178219.29239999998</v>
      </c>
      <c r="S91" s="213">
        <f>'BS 2026'!N25</f>
        <v>-179461.18440000003</v>
      </c>
      <c r="T91" s="213">
        <f>'BS 2026'!O25</f>
        <v>-180703.07640000002</v>
      </c>
      <c r="U91" s="213">
        <f>'BS 2026'!P25</f>
        <v>-183792.28275000004</v>
      </c>
      <c r="V91" s="213">
        <f>'BS 2026'!Q25</f>
        <v>-187280.97474999996</v>
      </c>
    </row>
    <row r="92" spans="2:22" x14ac:dyDescent="0.3">
      <c r="B92" t="s">
        <v>211</v>
      </c>
      <c r="E92" s="213">
        <f>'Statements Summary 2023'!V90</f>
        <v>-265002</v>
      </c>
      <c r="F92" s="213">
        <f>'Statements Summary 2024'!V92</f>
        <v>-63186</v>
      </c>
      <c r="G92" s="213">
        <f>'Statements Summary 2025'!V92</f>
        <v>0</v>
      </c>
      <c r="H92" s="213">
        <f t="shared" si="12"/>
        <v>0</v>
      </c>
      <c r="I92" s="213">
        <f>'Statements Summary 2027'!V92</f>
        <v>0</v>
      </c>
      <c r="K92" s="213">
        <f>'BS 2026'!F27</f>
        <v>0</v>
      </c>
      <c r="L92" s="213">
        <f>'BS 2026'!G27</f>
        <v>0</v>
      </c>
      <c r="M92" s="213">
        <f>'BS 2026'!H27</f>
        <v>0</v>
      </c>
      <c r="N92" s="213">
        <f>'BS 2026'!I27</f>
        <v>0</v>
      </c>
      <c r="O92" s="213">
        <f>'BS 2026'!J27</f>
        <v>0</v>
      </c>
      <c r="P92" s="213">
        <f>'BS 2026'!K27</f>
        <v>0</v>
      </c>
      <c r="Q92" s="213">
        <f>'BS 2026'!L27</f>
        <v>0</v>
      </c>
      <c r="R92" s="213">
        <f>'BS 2026'!M27</f>
        <v>0</v>
      </c>
      <c r="S92" s="213">
        <f>'BS 2026'!N27</f>
        <v>0</v>
      </c>
      <c r="T92" s="213">
        <f>'BS 2026'!O27</f>
        <v>0</v>
      </c>
      <c r="U92" s="213">
        <f>'BS 2026'!P27</f>
        <v>0</v>
      </c>
      <c r="V92" s="213">
        <f>'BS 2026'!Q27</f>
        <v>0</v>
      </c>
    </row>
    <row r="93" spans="2:22" x14ac:dyDescent="0.3">
      <c r="B93" t="s">
        <v>60</v>
      </c>
      <c r="E93" s="213">
        <f>'Statements Summary 2023'!V91</f>
        <v>-412153.18960000004</v>
      </c>
      <c r="F93" s="213">
        <f>'Statements Summary 2024'!V93</f>
        <v>-223664.53060000006</v>
      </c>
      <c r="G93" s="213">
        <f>'Statements Summary 2025'!V93</f>
        <v>-164368.06735000003</v>
      </c>
      <c r="H93" s="213">
        <f t="shared" si="12"/>
        <v>-187280.97474999996</v>
      </c>
      <c r="I93" s="213">
        <f>'Statements Summary 2027'!V93</f>
        <v>-210240.25050000005</v>
      </c>
      <c r="K93" s="213">
        <f>'BS 2026'!F32</f>
        <v>-162742.21335000001</v>
      </c>
      <c r="L93" s="213">
        <f>'BS 2026'!G32</f>
        <v>-167073.31170000002</v>
      </c>
      <c r="M93" s="213">
        <f>'BS 2026'!H32</f>
        <v>-168315.20369999998</v>
      </c>
      <c r="N93" s="213">
        <f>'BS 2026'!I32</f>
        <v>-169557.09570000006</v>
      </c>
      <c r="O93" s="213">
        <f>'BS 2026'!J32</f>
        <v>-170798.98769999997</v>
      </c>
      <c r="P93" s="213">
        <f>'BS 2026'!K32</f>
        <v>-172040.87970000005</v>
      </c>
      <c r="Q93" s="213">
        <f>'BS 2026'!L32</f>
        <v>-173282.77170000004</v>
      </c>
      <c r="R93" s="213">
        <f>'BS 2026'!M32</f>
        <v>-178219.29239999998</v>
      </c>
      <c r="S93" s="213">
        <f>'BS 2026'!N32</f>
        <v>-179461.18440000003</v>
      </c>
      <c r="T93" s="213">
        <f>'BS 2026'!O32</f>
        <v>-180703.07640000002</v>
      </c>
      <c r="U93" s="213">
        <f>'BS 2026'!P32</f>
        <v>-183792.28275000004</v>
      </c>
      <c r="V93" s="213">
        <f>'BS 2026'!Q32</f>
        <v>-187280.97474999996</v>
      </c>
    </row>
    <row r="94" spans="2:22" x14ac:dyDescent="0.3">
      <c r="B94" t="s">
        <v>61</v>
      </c>
      <c r="E94" s="213">
        <f>'Statements Summary 2023'!V92</f>
        <v>5358426.8639679998</v>
      </c>
      <c r="F94" s="213">
        <f>'Statements Summary 2024'!V94</f>
        <v>13201700.638168</v>
      </c>
      <c r="G94" s="213">
        <f>'Statements Summary 2025'!V94</f>
        <v>21693047.200932287</v>
      </c>
      <c r="H94" s="213">
        <f t="shared" si="12"/>
        <v>30134047.390532292</v>
      </c>
      <c r="I94" s="213">
        <f>'Statements Summary 2027'!V94</f>
        <v>40494052.758382283</v>
      </c>
      <c r="K94" s="213">
        <f>'BS 2026'!F33</f>
        <v>22416859.908332285</v>
      </c>
      <c r="L94" s="213">
        <f>'BS 2026'!G33</f>
        <v>23082733.056782287</v>
      </c>
      <c r="M94" s="213">
        <f>'BS 2026'!H33</f>
        <v>23756662.979582291</v>
      </c>
      <c r="N94" s="213">
        <f>'BS 2026'!I33</f>
        <v>24435405.470382292</v>
      </c>
      <c r="O94" s="213">
        <f>'BS 2026'!J33</f>
        <v>25119115.529182293</v>
      </c>
      <c r="P94" s="213">
        <f>'BS 2026'!K33</f>
        <v>25807793.155982293</v>
      </c>
      <c r="Q94" s="213">
        <f>'BS 2026'!L33</f>
        <v>26501438.350782298</v>
      </c>
      <c r="R94" s="213">
        <f>'BS 2026'!M33</f>
        <v>27211134.999682296</v>
      </c>
      <c r="S94" s="213">
        <f>'BS 2026'!N33</f>
        <v>27929493.845282294</v>
      </c>
      <c r="T94" s="213">
        <f>'BS 2026'!O33</f>
        <v>28652820.258882292</v>
      </c>
      <c r="U94" s="213">
        <f>'BS 2026'!P33</f>
        <v>29386656.183532294</v>
      </c>
      <c r="V94" s="213">
        <f>'BS 2026'!Q33</f>
        <v>30134047.390532292</v>
      </c>
    </row>
    <row r="95" spans="2:22" x14ac:dyDescent="0.3">
      <c r="B95" t="s">
        <v>62</v>
      </c>
      <c r="E95" s="213">
        <f>'Statements Summary 2023'!V93</f>
        <v>5300048.053568</v>
      </c>
      <c r="F95" s="213">
        <f>'Statements Summary 2024'!V95</f>
        <v>12937033.168768</v>
      </c>
      <c r="G95" s="213">
        <f>'Statements Summary 2025'!V95</f>
        <v>21347934.268282287</v>
      </c>
      <c r="H95" s="213">
        <f t="shared" si="12"/>
        <v>29790310.365282293</v>
      </c>
      <c r="I95" s="213">
        <f>'Statements Summary 2027'!V95</f>
        <v>40151893.008882284</v>
      </c>
      <c r="K95" s="213">
        <f>'BS 2026'!F14</f>
        <v>22068210.121682286</v>
      </c>
      <c r="L95" s="213">
        <f>'BS 2026'!G14</f>
        <v>22736503.368482288</v>
      </c>
      <c r="M95" s="213">
        <f>'BS 2026'!H14</f>
        <v>23409764.18328229</v>
      </c>
      <c r="N95" s="213">
        <f>'BS 2026'!I14</f>
        <v>24087992.566082291</v>
      </c>
      <c r="O95" s="213">
        <f>'BS 2026'!J14</f>
        <v>24771188.516882293</v>
      </c>
      <c r="P95" s="213">
        <f>'BS 2026'!K14</f>
        <v>25459352.035682295</v>
      </c>
      <c r="Q95" s="213">
        <f>'BS 2026'!L14</f>
        <v>26152483.122482296</v>
      </c>
      <c r="R95" s="213">
        <f>'BS 2026'!M14</f>
        <v>26865360.292082295</v>
      </c>
      <c r="S95" s="213">
        <f>'BS 2026'!N14</f>
        <v>27583205.029682294</v>
      </c>
      <c r="T95" s="213">
        <f>'BS 2026'!O14</f>
        <v>28306017.335282292</v>
      </c>
      <c r="U95" s="213">
        <f>'BS 2026'!P14</f>
        <v>29041186.466282293</v>
      </c>
      <c r="V95" s="213">
        <f>'BS 2026'!Q14</f>
        <v>29790310.365282293</v>
      </c>
    </row>
    <row r="96" spans="2:22" x14ac:dyDescent="0.3">
      <c r="B96" t="s">
        <v>63</v>
      </c>
      <c r="E96" s="213" t="str">
        <f>'Statements Summary 2023'!V94</f>
        <v>-</v>
      </c>
      <c r="F96" s="213" t="str">
        <f>'Statements Summary 2024'!V96</f>
        <v>-</v>
      </c>
      <c r="G96" s="213" t="str">
        <f>'Statements Summary 2025'!V96</f>
        <v>-</v>
      </c>
      <c r="H96" s="213" t="str">
        <f t="shared" si="12"/>
        <v>-</v>
      </c>
      <c r="I96" s="213" t="str">
        <f>'Statements Summary 2027'!V96</f>
        <v>-</v>
      </c>
      <c r="K96" s="213" t="s">
        <v>205</v>
      </c>
      <c r="L96" s="213" t="s">
        <v>205</v>
      </c>
      <c r="M96" s="213" t="s">
        <v>205</v>
      </c>
      <c r="N96" s="213" t="s">
        <v>205</v>
      </c>
      <c r="O96" s="213" t="s">
        <v>205</v>
      </c>
      <c r="P96" s="213" t="s">
        <v>205</v>
      </c>
      <c r="Q96" s="213" t="s">
        <v>205</v>
      </c>
      <c r="R96" s="213" t="s">
        <v>205</v>
      </c>
      <c r="S96" s="213" t="s">
        <v>205</v>
      </c>
      <c r="T96" s="213" t="s">
        <v>205</v>
      </c>
      <c r="U96" s="213" t="s">
        <v>205</v>
      </c>
      <c r="V96" s="213" t="s">
        <v>205</v>
      </c>
    </row>
    <row r="97" spans="2:22" x14ac:dyDescent="0.3">
      <c r="B97" t="s">
        <v>64</v>
      </c>
      <c r="E97" s="213">
        <f>'Statements Summary 2023'!V95</f>
        <v>0</v>
      </c>
      <c r="F97" s="213">
        <f>'Statements Summary 2024'!V97</f>
        <v>0</v>
      </c>
      <c r="G97" s="213">
        <f>'Statements Summary 2025'!V97</f>
        <v>0</v>
      </c>
      <c r="H97" s="213">
        <f t="shared" si="12"/>
        <v>0</v>
      </c>
      <c r="I97" s="213">
        <f>'Statements Summary 2027'!V97</f>
        <v>0</v>
      </c>
      <c r="K97" s="213" t="s">
        <v>205</v>
      </c>
      <c r="L97" s="213" t="s">
        <v>205</v>
      </c>
      <c r="M97" s="213" t="s">
        <v>205</v>
      </c>
      <c r="N97" s="213" t="s">
        <v>205</v>
      </c>
      <c r="O97" s="213" t="s">
        <v>205</v>
      </c>
      <c r="P97" s="213" t="s">
        <v>205</v>
      </c>
      <c r="Q97" s="213" t="s">
        <v>205</v>
      </c>
      <c r="R97" s="213" t="s">
        <v>205</v>
      </c>
      <c r="S97" s="213" t="s">
        <v>205</v>
      </c>
      <c r="T97" s="213" t="s">
        <v>205</v>
      </c>
      <c r="U97" s="213" t="s">
        <v>205</v>
      </c>
      <c r="V97" s="213"/>
    </row>
    <row r="98" spans="2:22" x14ac:dyDescent="0.3">
      <c r="B98" t="s">
        <v>65</v>
      </c>
      <c r="E98" s="213">
        <f>'Statements Summary 2023'!V96</f>
        <v>5358426.8639679998</v>
      </c>
      <c r="F98" s="213">
        <f>'Statements Summary 2024'!V98</f>
        <v>13201700.638168</v>
      </c>
      <c r="G98" s="213">
        <f>'Statements Summary 2025'!V98</f>
        <v>21693047.200932287</v>
      </c>
      <c r="H98" s="213">
        <f t="shared" si="12"/>
        <v>30134047.390532292</v>
      </c>
      <c r="I98" s="213">
        <f>'Statements Summary 2027'!V98</f>
        <v>40494052.758382283</v>
      </c>
      <c r="K98" s="213">
        <f>K94</f>
        <v>22416859.908332285</v>
      </c>
      <c r="L98" s="213">
        <f t="shared" ref="L98:V98" si="13">L94</f>
        <v>23082733.056782287</v>
      </c>
      <c r="M98" s="213">
        <f t="shared" si="13"/>
        <v>23756662.979582291</v>
      </c>
      <c r="N98" s="213">
        <f t="shared" si="13"/>
        <v>24435405.470382292</v>
      </c>
      <c r="O98" s="213">
        <f t="shared" si="13"/>
        <v>25119115.529182293</v>
      </c>
      <c r="P98" s="213">
        <f t="shared" si="13"/>
        <v>25807793.155982293</v>
      </c>
      <c r="Q98" s="213">
        <f t="shared" si="13"/>
        <v>26501438.350782298</v>
      </c>
      <c r="R98" s="213">
        <f t="shared" si="13"/>
        <v>27211134.999682296</v>
      </c>
      <c r="S98" s="213">
        <f t="shared" si="13"/>
        <v>27929493.845282294</v>
      </c>
      <c r="T98" s="213">
        <f t="shared" si="13"/>
        <v>28652820.258882292</v>
      </c>
      <c r="U98" s="213">
        <f t="shared" si="13"/>
        <v>29386656.183532294</v>
      </c>
      <c r="V98" s="213">
        <f t="shared" si="13"/>
        <v>30134047.390532292</v>
      </c>
    </row>
    <row r="99" spans="2:22" x14ac:dyDescent="0.3">
      <c r="B99" t="s">
        <v>66</v>
      </c>
      <c r="E99" s="213">
        <f>'Statements Summary 2023'!V97</f>
        <v>5358426.8639679998</v>
      </c>
      <c r="F99" s="213">
        <f>'Statements Summary 2024'!V99</f>
        <v>13201700.638168</v>
      </c>
      <c r="G99" s="213">
        <f>'Statements Summary 2025'!V99</f>
        <v>21693047.200932287</v>
      </c>
      <c r="H99" s="213">
        <f t="shared" si="12"/>
        <v>30134047.390532292</v>
      </c>
      <c r="I99" s="213">
        <f>'Statements Summary 2027'!V99</f>
        <v>40494052.758382283</v>
      </c>
      <c r="K99" s="213">
        <f>K98</f>
        <v>22416859.908332285</v>
      </c>
      <c r="L99" s="213">
        <f t="shared" ref="L99:V99" si="14">L98</f>
        <v>23082733.056782287</v>
      </c>
      <c r="M99" s="213">
        <f t="shared" si="14"/>
        <v>23756662.979582291</v>
      </c>
      <c r="N99" s="213">
        <f t="shared" si="14"/>
        <v>24435405.470382292</v>
      </c>
      <c r="O99" s="213">
        <f t="shared" si="14"/>
        <v>25119115.529182293</v>
      </c>
      <c r="P99" s="213">
        <f t="shared" si="14"/>
        <v>25807793.155982293</v>
      </c>
      <c r="Q99" s="213">
        <f t="shared" si="14"/>
        <v>26501438.350782298</v>
      </c>
      <c r="R99" s="213">
        <f t="shared" si="14"/>
        <v>27211134.999682296</v>
      </c>
      <c r="S99" s="213">
        <f t="shared" si="14"/>
        <v>27929493.845282294</v>
      </c>
      <c r="T99" s="213">
        <f t="shared" si="14"/>
        <v>28652820.258882292</v>
      </c>
      <c r="U99" s="213">
        <f t="shared" si="14"/>
        <v>29386656.183532294</v>
      </c>
      <c r="V99" s="213">
        <f t="shared" si="14"/>
        <v>30134047.390532292</v>
      </c>
    </row>
    <row r="101" spans="2:22" x14ac:dyDescent="0.3">
      <c r="B101" s="183" t="s">
        <v>277</v>
      </c>
      <c r="C101" s="156"/>
      <c r="D101" s="156"/>
      <c r="E101" s="156"/>
      <c r="F101" s="156"/>
      <c r="G101" s="156"/>
      <c r="H101" s="156"/>
      <c r="I101" s="156"/>
      <c r="K101" s="387" t="s">
        <v>285</v>
      </c>
      <c r="L101" s="387"/>
      <c r="M101" s="387"/>
      <c r="N101" s="387"/>
      <c r="O101" s="387"/>
      <c r="P101" s="387"/>
      <c r="Q101" s="387"/>
      <c r="R101" s="387"/>
      <c r="S101" s="387"/>
      <c r="T101" s="387"/>
      <c r="U101" s="387"/>
      <c r="V101" s="387"/>
    </row>
  </sheetData>
  <mergeCells count="6">
    <mergeCell ref="K2:V2"/>
    <mergeCell ref="K19:V19"/>
    <mergeCell ref="K67:V67"/>
    <mergeCell ref="K85:V85"/>
    <mergeCell ref="K101:V101"/>
    <mergeCell ref="K42:V42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B8264-76AB-45B4-8F19-3CB15CADE6EC}">
  <dimension ref="B2:W63"/>
  <sheetViews>
    <sheetView showGridLines="0" topLeftCell="A7" zoomScale="95" zoomScaleNormal="95" workbookViewId="0">
      <selection activeCell="D35" sqref="D35"/>
    </sheetView>
  </sheetViews>
  <sheetFormatPr defaultRowHeight="14.4" x14ac:dyDescent="0.3"/>
  <cols>
    <col min="1" max="1" width="1.77734375" customWidth="1"/>
    <col min="2" max="2" width="24.5546875" customWidth="1"/>
    <col min="3" max="3" width="5.33203125" customWidth="1"/>
    <col min="4" max="4" width="6" customWidth="1"/>
    <col min="5" max="5" width="3.6640625" customWidth="1"/>
    <col min="6" max="6" width="9.44140625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272</v>
      </c>
      <c r="C2" s="8"/>
      <c r="P2" s="348"/>
    </row>
    <row r="3" spans="2:23" ht="13.8" customHeight="1" x14ac:dyDescent="0.35">
      <c r="B3" s="8"/>
      <c r="C3" s="8"/>
    </row>
    <row r="4" spans="2:23" s="13" customFormat="1" ht="15" customHeight="1" x14ac:dyDescent="0.3">
      <c r="B4" s="151"/>
      <c r="C4" s="151"/>
      <c r="D4" s="151"/>
      <c r="E4" s="151"/>
      <c r="F4" s="218">
        <v>2027</v>
      </c>
      <c r="G4" s="218">
        <v>2027</v>
      </c>
      <c r="H4" s="218">
        <v>2027</v>
      </c>
      <c r="I4" s="218">
        <v>2027</v>
      </c>
      <c r="J4" s="218">
        <v>2027</v>
      </c>
      <c r="K4" s="218">
        <v>2027</v>
      </c>
      <c r="L4" s="218">
        <v>2027</v>
      </c>
      <c r="M4" s="218">
        <v>2027</v>
      </c>
      <c r="N4" s="218">
        <v>2027</v>
      </c>
      <c r="O4" s="218">
        <v>2027</v>
      </c>
      <c r="P4" s="218">
        <v>2027</v>
      </c>
      <c r="Q4" s="218">
        <v>2027</v>
      </c>
      <c r="R4" s="218"/>
      <c r="S4" s="218"/>
      <c r="T4" s="218"/>
      <c r="U4" s="156"/>
      <c r="V4" s="156"/>
      <c r="W4" s="151"/>
    </row>
    <row r="5" spans="2:23" ht="15" customHeight="1" x14ac:dyDescent="0.3">
      <c r="B5" s="325" t="s">
        <v>0</v>
      </c>
      <c r="C5" s="168"/>
      <c r="D5" s="168"/>
      <c r="E5" s="168"/>
      <c r="F5" s="326" t="s">
        <v>32</v>
      </c>
      <c r="G5" s="326" t="s">
        <v>33</v>
      </c>
      <c r="H5" s="326" t="s">
        <v>34</v>
      </c>
      <c r="I5" s="326" t="s">
        <v>35</v>
      </c>
      <c r="J5" s="326" t="s">
        <v>36</v>
      </c>
      <c r="K5" s="326" t="s">
        <v>37</v>
      </c>
      <c r="L5" s="326" t="s">
        <v>38</v>
      </c>
      <c r="M5" s="326" t="s">
        <v>39</v>
      </c>
      <c r="N5" s="326" t="s">
        <v>40</v>
      </c>
      <c r="O5" s="326" t="s">
        <v>41</v>
      </c>
      <c r="P5" s="326" t="s">
        <v>42</v>
      </c>
      <c r="Q5" s="326" t="s">
        <v>43</v>
      </c>
      <c r="R5" s="168"/>
      <c r="S5" s="168"/>
      <c r="T5" s="168"/>
      <c r="U5" s="168"/>
      <c r="V5" s="168"/>
      <c r="W5" s="168"/>
    </row>
    <row r="6" spans="2:23" ht="15" customHeight="1" x14ac:dyDescent="0.3">
      <c r="B6" s="24"/>
      <c r="C6" s="330"/>
      <c r="D6" s="330"/>
      <c r="E6" s="330"/>
      <c r="F6" s="383" t="s">
        <v>266</v>
      </c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30"/>
      <c r="S6" s="330"/>
      <c r="T6" s="330"/>
      <c r="U6" s="330"/>
      <c r="V6" s="330"/>
    </row>
    <row r="7" spans="2:23" ht="14.4" customHeight="1" x14ac:dyDescent="0.3">
      <c r="B7" s="4" t="s">
        <v>265</v>
      </c>
      <c r="F7" s="222">
        <v>10300</v>
      </c>
      <c r="G7" s="222">
        <v>10400</v>
      </c>
      <c r="H7" s="222">
        <v>10500</v>
      </c>
      <c r="I7" s="222">
        <v>10600</v>
      </c>
      <c r="J7" s="222">
        <v>10700</v>
      </c>
      <c r="K7" s="222">
        <v>10800</v>
      </c>
      <c r="L7" s="222">
        <v>10900</v>
      </c>
      <c r="M7" s="222">
        <v>11000</v>
      </c>
      <c r="N7" s="222">
        <v>11100</v>
      </c>
      <c r="O7" s="222">
        <v>11200</v>
      </c>
      <c r="P7" s="222">
        <v>11300</v>
      </c>
      <c r="Q7" s="222">
        <v>11400</v>
      </c>
    </row>
    <row r="8" spans="2:23" x14ac:dyDescent="0.3">
      <c r="B8" s="4" t="s">
        <v>248</v>
      </c>
      <c r="F8" s="329">
        <v>3.5</v>
      </c>
      <c r="G8" s="329">
        <v>3.5</v>
      </c>
      <c r="H8" s="329">
        <v>3.5</v>
      </c>
      <c r="I8" s="329">
        <v>3.5</v>
      </c>
      <c r="J8" s="329">
        <v>3.5</v>
      </c>
      <c r="K8" s="329">
        <v>3.5</v>
      </c>
      <c r="L8" s="329">
        <v>3.5</v>
      </c>
      <c r="M8" s="329">
        <v>3.5</v>
      </c>
      <c r="N8" s="329">
        <v>3.5</v>
      </c>
      <c r="O8" s="329">
        <v>3.5</v>
      </c>
      <c r="P8" s="329">
        <v>3.5</v>
      </c>
      <c r="Q8" s="329">
        <v>3.5</v>
      </c>
    </row>
    <row r="9" spans="2:23" x14ac:dyDescent="0.3">
      <c r="B9" s="4" t="s">
        <v>251</v>
      </c>
      <c r="F9" s="319">
        <f t="shared" ref="F9:Q9" si="0">F7/F8</f>
        <v>2942.8571428571427</v>
      </c>
      <c r="G9" s="319">
        <f t="shared" si="0"/>
        <v>2971.4285714285716</v>
      </c>
      <c r="H9" s="319">
        <f t="shared" si="0"/>
        <v>3000</v>
      </c>
      <c r="I9" s="319">
        <f t="shared" si="0"/>
        <v>3028.5714285714284</v>
      </c>
      <c r="J9" s="319">
        <f t="shared" si="0"/>
        <v>3057.1428571428573</v>
      </c>
      <c r="K9" s="319">
        <f t="shared" si="0"/>
        <v>3085.7142857142858</v>
      </c>
      <c r="L9" s="319">
        <f t="shared" si="0"/>
        <v>3114.2857142857142</v>
      </c>
      <c r="M9" s="319">
        <f t="shared" si="0"/>
        <v>3142.8571428571427</v>
      </c>
      <c r="N9" s="319">
        <f t="shared" si="0"/>
        <v>3171.4285714285716</v>
      </c>
      <c r="O9" s="319">
        <f t="shared" si="0"/>
        <v>3200</v>
      </c>
      <c r="P9" s="319">
        <f t="shared" si="0"/>
        <v>3228.5714285714284</v>
      </c>
      <c r="Q9" s="319">
        <f t="shared" si="0"/>
        <v>3257.1428571428573</v>
      </c>
    </row>
    <row r="10" spans="2:23" x14ac:dyDescent="0.3">
      <c r="B10" s="4" t="s">
        <v>261</v>
      </c>
      <c r="F10" s="322">
        <v>1250</v>
      </c>
      <c r="G10" s="322">
        <v>1250</v>
      </c>
      <c r="H10" s="322">
        <v>1350</v>
      </c>
      <c r="I10" s="322">
        <v>1350</v>
      </c>
      <c r="J10" s="322">
        <v>1350</v>
      </c>
      <c r="K10" s="322">
        <v>1350</v>
      </c>
      <c r="L10" s="322">
        <v>1400</v>
      </c>
      <c r="M10" s="322">
        <v>1400</v>
      </c>
      <c r="N10" s="322">
        <v>1500</v>
      </c>
      <c r="O10" s="322">
        <v>1500</v>
      </c>
      <c r="P10" s="322">
        <v>1500</v>
      </c>
      <c r="Q10" s="322">
        <v>1500</v>
      </c>
    </row>
    <row r="11" spans="2:23" x14ac:dyDescent="0.3">
      <c r="B11" s="4" t="s">
        <v>262</v>
      </c>
      <c r="F11" s="327">
        <v>0.85</v>
      </c>
      <c r="G11" s="327">
        <v>0.85</v>
      </c>
      <c r="H11" s="327">
        <v>0.85</v>
      </c>
      <c r="I11" s="327">
        <v>0.85</v>
      </c>
      <c r="J11" s="327">
        <v>0.85</v>
      </c>
      <c r="K11" s="327">
        <v>0.85</v>
      </c>
      <c r="L11" s="327">
        <v>0.85</v>
      </c>
      <c r="M11" s="327">
        <v>0.85</v>
      </c>
      <c r="N11" s="327">
        <v>0.85</v>
      </c>
      <c r="O11" s="327">
        <v>0.85</v>
      </c>
      <c r="P11" s="327">
        <v>0.85</v>
      </c>
      <c r="Q11" s="327">
        <v>0.85</v>
      </c>
    </row>
    <row r="12" spans="2:23" x14ac:dyDescent="0.3">
      <c r="B12" s="4" t="s">
        <v>263</v>
      </c>
      <c r="F12" s="328">
        <f t="shared" ref="F12:Q12" si="1">F10*F11</f>
        <v>1062.5</v>
      </c>
      <c r="G12" s="328">
        <f t="shared" si="1"/>
        <v>1062.5</v>
      </c>
      <c r="H12" s="328">
        <f t="shared" si="1"/>
        <v>1147.5</v>
      </c>
      <c r="I12" s="328">
        <f t="shared" si="1"/>
        <v>1147.5</v>
      </c>
      <c r="J12" s="328">
        <f t="shared" si="1"/>
        <v>1147.5</v>
      </c>
      <c r="K12" s="328">
        <f t="shared" si="1"/>
        <v>1147.5</v>
      </c>
      <c r="L12" s="328">
        <f t="shared" si="1"/>
        <v>1190</v>
      </c>
      <c r="M12" s="328">
        <f t="shared" si="1"/>
        <v>1190</v>
      </c>
      <c r="N12" s="328">
        <f t="shared" si="1"/>
        <v>1275</v>
      </c>
      <c r="O12" s="328">
        <f t="shared" si="1"/>
        <v>1275</v>
      </c>
      <c r="P12" s="328">
        <f t="shared" si="1"/>
        <v>1275</v>
      </c>
      <c r="Q12" s="328">
        <f t="shared" si="1"/>
        <v>1275</v>
      </c>
    </row>
    <row r="13" spans="2:23" x14ac:dyDescent="0.3">
      <c r="B13" s="4" t="s">
        <v>249</v>
      </c>
      <c r="F13" s="322">
        <v>7750</v>
      </c>
      <c r="G13" s="322">
        <v>7750</v>
      </c>
      <c r="H13" s="322">
        <v>7750</v>
      </c>
      <c r="I13" s="322">
        <v>7750</v>
      </c>
      <c r="J13" s="322">
        <v>7750</v>
      </c>
      <c r="K13" s="322">
        <v>7750</v>
      </c>
      <c r="L13" s="322">
        <v>7750</v>
      </c>
      <c r="M13" s="322">
        <v>7750</v>
      </c>
      <c r="N13" s="322">
        <v>7750</v>
      </c>
      <c r="O13" s="322">
        <v>7750</v>
      </c>
      <c r="P13" s="322">
        <v>7750</v>
      </c>
      <c r="Q13" s="322">
        <v>7750</v>
      </c>
    </row>
    <row r="14" spans="2:23" x14ac:dyDescent="0.3">
      <c r="B14" s="4" t="s">
        <v>252</v>
      </c>
      <c r="F14" s="323">
        <v>600</v>
      </c>
      <c r="G14" s="323">
        <v>600</v>
      </c>
      <c r="H14" s="323">
        <v>600</v>
      </c>
      <c r="I14" s="323">
        <v>600</v>
      </c>
      <c r="J14" s="323">
        <v>600</v>
      </c>
      <c r="K14" s="323">
        <v>600</v>
      </c>
      <c r="L14" s="323">
        <v>600</v>
      </c>
      <c r="M14" s="323">
        <v>600</v>
      </c>
      <c r="N14" s="323">
        <v>600</v>
      </c>
      <c r="O14" s="323">
        <v>600</v>
      </c>
      <c r="P14" s="323">
        <v>600</v>
      </c>
      <c r="Q14" s="323">
        <v>600</v>
      </c>
    </row>
    <row r="15" spans="2:23" x14ac:dyDescent="0.3">
      <c r="B15" s="4" t="s">
        <v>250</v>
      </c>
      <c r="F15" s="320">
        <f t="shared" ref="F15:Q15" si="2">F9+F12+F14</f>
        <v>4605.3571428571431</v>
      </c>
      <c r="G15" s="320">
        <f t="shared" si="2"/>
        <v>4633.9285714285716</v>
      </c>
      <c r="H15" s="320">
        <f t="shared" si="2"/>
        <v>4747.5</v>
      </c>
      <c r="I15" s="320">
        <f t="shared" si="2"/>
        <v>4776.0714285714284</v>
      </c>
      <c r="J15" s="320">
        <f t="shared" si="2"/>
        <v>4804.6428571428569</v>
      </c>
      <c r="K15" s="320">
        <f t="shared" si="2"/>
        <v>4833.2142857142862</v>
      </c>
      <c r="L15" s="320">
        <f t="shared" si="2"/>
        <v>4904.2857142857138</v>
      </c>
      <c r="M15" s="320">
        <f t="shared" si="2"/>
        <v>4932.8571428571431</v>
      </c>
      <c r="N15" s="320">
        <f t="shared" si="2"/>
        <v>5046.4285714285716</v>
      </c>
      <c r="O15" s="320">
        <f t="shared" si="2"/>
        <v>5075</v>
      </c>
      <c r="P15" s="320">
        <f t="shared" si="2"/>
        <v>5103.5714285714284</v>
      </c>
      <c r="Q15" s="320">
        <f t="shared" si="2"/>
        <v>5132.1428571428569</v>
      </c>
    </row>
    <row r="16" spans="2:23" x14ac:dyDescent="0.3">
      <c r="B16" s="24"/>
      <c r="C16" s="330"/>
      <c r="D16" s="330"/>
      <c r="E16" s="330"/>
      <c r="F16" s="384" t="s">
        <v>253</v>
      </c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30"/>
      <c r="S16" s="330"/>
      <c r="T16" s="330"/>
      <c r="U16" s="330"/>
      <c r="V16" s="330"/>
    </row>
    <row r="17" spans="2:22" x14ac:dyDescent="0.3">
      <c r="B17" s="4" t="s">
        <v>254</v>
      </c>
      <c r="F17" s="324">
        <v>0.63</v>
      </c>
      <c r="G17" s="324">
        <v>0.63</v>
      </c>
      <c r="H17" s="324">
        <v>0.63</v>
      </c>
      <c r="I17" s="324">
        <v>0.63</v>
      </c>
      <c r="J17" s="324">
        <v>0.63</v>
      </c>
      <c r="K17" s="324">
        <v>0.63</v>
      </c>
      <c r="L17" s="324">
        <v>0.63</v>
      </c>
      <c r="M17" s="324">
        <v>0.63</v>
      </c>
      <c r="N17" s="324">
        <v>0.63</v>
      </c>
      <c r="O17" s="324">
        <v>0.63</v>
      </c>
      <c r="P17" s="324">
        <v>0.63</v>
      </c>
      <c r="Q17" s="324">
        <v>0.63</v>
      </c>
    </row>
    <row r="18" spans="2:22" x14ac:dyDescent="0.3">
      <c r="B18" s="4" t="s">
        <v>255</v>
      </c>
      <c r="F18" s="222">
        <f t="shared" ref="F18:Q18" si="3">F15*F17</f>
        <v>2901.375</v>
      </c>
      <c r="G18" s="222">
        <f t="shared" si="3"/>
        <v>2919.375</v>
      </c>
      <c r="H18" s="222">
        <f t="shared" si="3"/>
        <v>2990.9250000000002</v>
      </c>
      <c r="I18" s="222">
        <f t="shared" si="3"/>
        <v>3008.9249999999997</v>
      </c>
      <c r="J18" s="222">
        <f t="shared" si="3"/>
        <v>3026.9249999999997</v>
      </c>
      <c r="K18" s="222">
        <f t="shared" si="3"/>
        <v>3044.9250000000002</v>
      </c>
      <c r="L18" s="222">
        <f t="shared" si="3"/>
        <v>3089.7</v>
      </c>
      <c r="M18" s="222">
        <f t="shared" si="3"/>
        <v>3107.7000000000003</v>
      </c>
      <c r="N18" s="222">
        <f t="shared" si="3"/>
        <v>3179.25</v>
      </c>
      <c r="O18" s="222">
        <f t="shared" si="3"/>
        <v>3197.25</v>
      </c>
      <c r="P18" s="222">
        <f t="shared" si="3"/>
        <v>3215.25</v>
      </c>
      <c r="Q18" s="222">
        <f t="shared" si="3"/>
        <v>3233.25</v>
      </c>
    </row>
    <row r="19" spans="2:22" x14ac:dyDescent="0.3">
      <c r="B19" s="4" t="s">
        <v>257</v>
      </c>
      <c r="F19" s="324">
        <v>0.1</v>
      </c>
      <c r="G19" s="324">
        <v>0.1</v>
      </c>
      <c r="H19" s="324">
        <v>0.1</v>
      </c>
      <c r="I19" s="324">
        <v>0.1</v>
      </c>
      <c r="J19" s="324">
        <v>0.1</v>
      </c>
      <c r="K19" s="324">
        <v>0.1</v>
      </c>
      <c r="L19" s="324">
        <v>0.1</v>
      </c>
      <c r="M19" s="324">
        <v>0.1</v>
      </c>
      <c r="N19" s="324">
        <v>0.1</v>
      </c>
      <c r="O19" s="324">
        <v>0.1</v>
      </c>
      <c r="P19" s="324">
        <v>0.1</v>
      </c>
      <c r="Q19" s="324">
        <v>0.1</v>
      </c>
    </row>
    <row r="20" spans="2:22" x14ac:dyDescent="0.3">
      <c r="B20" s="4" t="s">
        <v>258</v>
      </c>
      <c r="F20" s="222">
        <f t="shared" ref="F20:Q20" si="4">F18*F19</f>
        <v>290.13749999999999</v>
      </c>
      <c r="G20" s="222">
        <f t="shared" si="4"/>
        <v>291.9375</v>
      </c>
      <c r="H20" s="222">
        <f t="shared" si="4"/>
        <v>299.09250000000003</v>
      </c>
      <c r="I20" s="222">
        <f t="shared" si="4"/>
        <v>300.89249999999998</v>
      </c>
      <c r="J20" s="222">
        <f t="shared" si="4"/>
        <v>302.6925</v>
      </c>
      <c r="K20" s="222">
        <f t="shared" si="4"/>
        <v>304.49250000000001</v>
      </c>
      <c r="L20" s="222">
        <f t="shared" si="4"/>
        <v>308.97000000000003</v>
      </c>
      <c r="M20" s="222">
        <f t="shared" si="4"/>
        <v>310.77000000000004</v>
      </c>
      <c r="N20" s="222">
        <f t="shared" si="4"/>
        <v>317.92500000000001</v>
      </c>
      <c r="O20" s="222">
        <f t="shared" si="4"/>
        <v>319.72500000000002</v>
      </c>
      <c r="P20" s="222">
        <f t="shared" si="4"/>
        <v>321.52500000000003</v>
      </c>
      <c r="Q20" s="222">
        <f t="shared" si="4"/>
        <v>323.32500000000005</v>
      </c>
    </row>
    <row r="21" spans="2:22" x14ac:dyDescent="0.3">
      <c r="B21" s="4" t="s">
        <v>259</v>
      </c>
      <c r="F21" s="324">
        <f t="shared" ref="F21:Q21" si="5">1-F19</f>
        <v>0.9</v>
      </c>
      <c r="G21" s="324">
        <f t="shared" si="5"/>
        <v>0.9</v>
      </c>
      <c r="H21" s="324">
        <f t="shared" si="5"/>
        <v>0.9</v>
      </c>
      <c r="I21" s="324">
        <f t="shared" si="5"/>
        <v>0.9</v>
      </c>
      <c r="J21" s="324">
        <f t="shared" si="5"/>
        <v>0.9</v>
      </c>
      <c r="K21" s="324">
        <f t="shared" si="5"/>
        <v>0.9</v>
      </c>
      <c r="L21" s="324">
        <f t="shared" si="5"/>
        <v>0.9</v>
      </c>
      <c r="M21" s="324">
        <f t="shared" si="5"/>
        <v>0.9</v>
      </c>
      <c r="N21" s="324">
        <f t="shared" si="5"/>
        <v>0.9</v>
      </c>
      <c r="O21" s="324">
        <f t="shared" si="5"/>
        <v>0.9</v>
      </c>
      <c r="P21" s="324">
        <f t="shared" si="5"/>
        <v>0.9</v>
      </c>
      <c r="Q21" s="324">
        <f t="shared" si="5"/>
        <v>0.9</v>
      </c>
    </row>
    <row r="22" spans="2:22" x14ac:dyDescent="0.3">
      <c r="B22" s="4" t="s">
        <v>256</v>
      </c>
      <c r="F22" s="222">
        <f t="shared" ref="F22:Q22" si="6">F18*F21</f>
        <v>2611.2375000000002</v>
      </c>
      <c r="G22" s="222">
        <f t="shared" si="6"/>
        <v>2627.4375</v>
      </c>
      <c r="H22" s="222">
        <f t="shared" si="6"/>
        <v>2691.8325000000004</v>
      </c>
      <c r="I22" s="222">
        <f t="shared" si="6"/>
        <v>2708.0324999999998</v>
      </c>
      <c r="J22" s="222">
        <f t="shared" si="6"/>
        <v>2724.2324999999996</v>
      </c>
      <c r="K22" s="222">
        <f t="shared" si="6"/>
        <v>2740.4325000000003</v>
      </c>
      <c r="L22" s="222">
        <f t="shared" si="6"/>
        <v>2780.73</v>
      </c>
      <c r="M22" s="222">
        <f t="shared" si="6"/>
        <v>2796.9300000000003</v>
      </c>
      <c r="N22" s="222">
        <f t="shared" si="6"/>
        <v>2861.3250000000003</v>
      </c>
      <c r="O22" s="222">
        <f t="shared" si="6"/>
        <v>2877.5250000000001</v>
      </c>
      <c r="P22" s="222">
        <f t="shared" si="6"/>
        <v>2893.7249999999999</v>
      </c>
      <c r="Q22" s="222">
        <f t="shared" si="6"/>
        <v>2909.9250000000002</v>
      </c>
    </row>
    <row r="23" spans="2:22" x14ac:dyDescent="0.3">
      <c r="B23" s="4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</row>
    <row r="24" spans="2:22" ht="15" customHeight="1" x14ac:dyDescent="0.3">
      <c r="B24" s="24"/>
      <c r="C24" s="330"/>
      <c r="D24" s="330"/>
      <c r="E24" s="330"/>
      <c r="F24" s="385" t="s">
        <v>260</v>
      </c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30"/>
      <c r="S24" s="330"/>
      <c r="T24" s="330"/>
      <c r="U24" s="330"/>
      <c r="V24" s="330"/>
    </row>
    <row r="25" spans="2:22" x14ac:dyDescent="0.3">
      <c r="B25" s="345" t="s">
        <v>290</v>
      </c>
      <c r="C25" s="343" t="s">
        <v>289</v>
      </c>
      <c r="D25" s="9">
        <v>135</v>
      </c>
      <c r="F25" s="324">
        <v>0.06</v>
      </c>
      <c r="G25" s="324">
        <v>0.06</v>
      </c>
      <c r="H25" s="324">
        <v>0.06</v>
      </c>
      <c r="I25" s="324">
        <v>0.06</v>
      </c>
      <c r="J25" s="324">
        <v>0.06</v>
      </c>
      <c r="K25" s="324">
        <v>0.06</v>
      </c>
      <c r="L25" s="324">
        <v>0.06</v>
      </c>
      <c r="M25" s="324">
        <v>0.06</v>
      </c>
      <c r="N25" s="324">
        <v>0.06</v>
      </c>
      <c r="O25" s="324">
        <v>0.06</v>
      </c>
      <c r="P25" s="324">
        <v>0.06</v>
      </c>
      <c r="Q25" s="324">
        <v>0.06</v>
      </c>
    </row>
    <row r="26" spans="2:22" x14ac:dyDescent="0.3">
      <c r="B26" s="345"/>
      <c r="C26" s="343"/>
      <c r="F26" s="331">
        <f t="shared" ref="F26:Q26" si="7">F22*F25</f>
        <v>156.67425</v>
      </c>
      <c r="G26" s="331">
        <f t="shared" si="7"/>
        <v>157.64624999999998</v>
      </c>
      <c r="H26" s="331">
        <f t="shared" si="7"/>
        <v>161.50995000000003</v>
      </c>
      <c r="I26" s="331">
        <f t="shared" si="7"/>
        <v>162.48194999999998</v>
      </c>
      <c r="J26" s="331">
        <f t="shared" si="7"/>
        <v>163.45394999999996</v>
      </c>
      <c r="K26" s="331">
        <f t="shared" si="7"/>
        <v>164.42595000000003</v>
      </c>
      <c r="L26" s="331">
        <f t="shared" si="7"/>
        <v>166.84379999999999</v>
      </c>
      <c r="M26" s="331">
        <f t="shared" si="7"/>
        <v>167.81580000000002</v>
      </c>
      <c r="N26" s="331">
        <f t="shared" si="7"/>
        <v>171.67950000000002</v>
      </c>
      <c r="O26" s="331">
        <f t="shared" si="7"/>
        <v>172.6515</v>
      </c>
      <c r="P26" s="331">
        <f t="shared" si="7"/>
        <v>173.62349999999998</v>
      </c>
      <c r="Q26" s="331">
        <f t="shared" si="7"/>
        <v>174.59550000000002</v>
      </c>
    </row>
    <row r="27" spans="2:22" x14ac:dyDescent="0.3">
      <c r="B27" s="345"/>
      <c r="C27" s="343"/>
      <c r="D27" s="386" t="s">
        <v>264</v>
      </c>
      <c r="E27" s="386"/>
      <c r="F27" s="321">
        <f t="shared" ref="F27:Q27" si="8">IF($B25&gt;" ", F26*$D25," ")</f>
        <v>21151.02375</v>
      </c>
      <c r="G27" s="321">
        <f t="shared" si="8"/>
        <v>21282.243749999998</v>
      </c>
      <c r="H27" s="321">
        <f t="shared" si="8"/>
        <v>21803.843250000005</v>
      </c>
      <c r="I27" s="321">
        <f t="shared" si="8"/>
        <v>21935.063249999999</v>
      </c>
      <c r="J27" s="321">
        <f t="shared" si="8"/>
        <v>22066.283249999997</v>
      </c>
      <c r="K27" s="321">
        <f t="shared" si="8"/>
        <v>22197.503250000005</v>
      </c>
      <c r="L27" s="321">
        <f t="shared" si="8"/>
        <v>22523.912999999997</v>
      </c>
      <c r="M27" s="321">
        <f t="shared" si="8"/>
        <v>22655.133000000002</v>
      </c>
      <c r="N27" s="321">
        <f t="shared" si="8"/>
        <v>23176.732500000002</v>
      </c>
      <c r="O27" s="321">
        <f t="shared" si="8"/>
        <v>23307.952499999999</v>
      </c>
      <c r="P27" s="321">
        <f t="shared" si="8"/>
        <v>23439.172499999997</v>
      </c>
      <c r="Q27" s="321">
        <f t="shared" si="8"/>
        <v>23570.392500000002</v>
      </c>
    </row>
    <row r="28" spans="2:22" x14ac:dyDescent="0.3">
      <c r="B28" s="345" t="s">
        <v>291</v>
      </c>
      <c r="C28" s="343" t="s">
        <v>289</v>
      </c>
      <c r="D28" s="9">
        <v>190</v>
      </c>
      <c r="F28" s="338">
        <v>0.06</v>
      </c>
      <c r="G28" s="338">
        <v>0.06</v>
      </c>
      <c r="H28" s="338">
        <v>0.06</v>
      </c>
      <c r="I28" s="338">
        <v>0.06</v>
      </c>
      <c r="J28" s="338">
        <v>0.06</v>
      </c>
      <c r="K28" s="338">
        <v>0.06</v>
      </c>
      <c r="L28" s="338">
        <v>0.06</v>
      </c>
      <c r="M28" s="338">
        <v>0.06</v>
      </c>
      <c r="N28" s="338">
        <v>0.06</v>
      </c>
      <c r="O28" s="338">
        <v>0.06</v>
      </c>
      <c r="P28" s="338">
        <v>0.06</v>
      </c>
      <c r="Q28" s="338">
        <v>0.06</v>
      </c>
    </row>
    <row r="29" spans="2:22" x14ac:dyDescent="0.3">
      <c r="B29" s="345"/>
      <c r="C29" s="343"/>
      <c r="F29" s="331">
        <f t="shared" ref="F29:Q29" si="9">F22*F28</f>
        <v>156.67425</v>
      </c>
      <c r="G29" s="331">
        <f t="shared" si="9"/>
        <v>157.64624999999998</v>
      </c>
      <c r="H29" s="331">
        <f t="shared" si="9"/>
        <v>161.50995000000003</v>
      </c>
      <c r="I29" s="331">
        <f t="shared" si="9"/>
        <v>162.48194999999998</v>
      </c>
      <c r="J29" s="331">
        <f t="shared" si="9"/>
        <v>163.45394999999996</v>
      </c>
      <c r="K29" s="331">
        <f t="shared" si="9"/>
        <v>164.42595000000003</v>
      </c>
      <c r="L29" s="331">
        <f t="shared" si="9"/>
        <v>166.84379999999999</v>
      </c>
      <c r="M29" s="331">
        <f t="shared" si="9"/>
        <v>167.81580000000002</v>
      </c>
      <c r="N29" s="331">
        <f t="shared" si="9"/>
        <v>171.67950000000002</v>
      </c>
      <c r="O29" s="331">
        <f t="shared" si="9"/>
        <v>172.6515</v>
      </c>
      <c r="P29" s="331">
        <f t="shared" si="9"/>
        <v>173.62349999999998</v>
      </c>
      <c r="Q29" s="331">
        <f t="shared" si="9"/>
        <v>174.59550000000002</v>
      </c>
    </row>
    <row r="30" spans="2:22" x14ac:dyDescent="0.3">
      <c r="B30" s="345"/>
      <c r="C30" s="343"/>
      <c r="D30" s="386" t="s">
        <v>264</v>
      </c>
      <c r="E30" s="386"/>
      <c r="F30" s="321">
        <f t="shared" ref="F30:Q30" si="10">IF($B28&gt;" ", F29*$D28," ")</f>
        <v>29768.107500000002</v>
      </c>
      <c r="G30" s="321">
        <f t="shared" si="10"/>
        <v>29952.787499999995</v>
      </c>
      <c r="H30" s="321">
        <f t="shared" si="10"/>
        <v>30686.890500000005</v>
      </c>
      <c r="I30" s="321">
        <f t="shared" si="10"/>
        <v>30871.570499999998</v>
      </c>
      <c r="J30" s="321">
        <f t="shared" si="10"/>
        <v>31056.250499999995</v>
      </c>
      <c r="K30" s="321">
        <f t="shared" si="10"/>
        <v>31240.930500000006</v>
      </c>
      <c r="L30" s="321">
        <f t="shared" si="10"/>
        <v>31700.321999999996</v>
      </c>
      <c r="M30" s="321">
        <f t="shared" si="10"/>
        <v>31885.002000000004</v>
      </c>
      <c r="N30" s="321">
        <f t="shared" si="10"/>
        <v>32619.105000000003</v>
      </c>
      <c r="O30" s="321">
        <f t="shared" si="10"/>
        <v>32803.784999999996</v>
      </c>
      <c r="P30" s="321">
        <f t="shared" si="10"/>
        <v>32988.464999999997</v>
      </c>
      <c r="Q30" s="321">
        <f t="shared" si="10"/>
        <v>33173.145000000004</v>
      </c>
    </row>
    <row r="31" spans="2:22" x14ac:dyDescent="0.3">
      <c r="B31" s="345" t="s">
        <v>292</v>
      </c>
      <c r="C31" s="343" t="s">
        <v>289</v>
      </c>
      <c r="D31" s="9">
        <v>265</v>
      </c>
      <c r="F31" s="338">
        <v>0.12</v>
      </c>
      <c r="G31" s="338">
        <v>0.12</v>
      </c>
      <c r="H31" s="338">
        <v>0.12</v>
      </c>
      <c r="I31" s="338">
        <v>0.12</v>
      </c>
      <c r="J31" s="338">
        <v>0.12</v>
      </c>
      <c r="K31" s="338">
        <v>0.12</v>
      </c>
      <c r="L31" s="338">
        <v>0.12</v>
      </c>
      <c r="M31" s="338">
        <v>0.12</v>
      </c>
      <c r="N31" s="338">
        <v>0.12</v>
      </c>
      <c r="O31" s="338">
        <v>0.12</v>
      </c>
      <c r="P31" s="338">
        <v>0.12</v>
      </c>
      <c r="Q31" s="338">
        <v>0.12</v>
      </c>
    </row>
    <row r="32" spans="2:22" x14ac:dyDescent="0.3">
      <c r="B32" s="345"/>
      <c r="C32" s="343"/>
      <c r="F32" s="331">
        <f t="shared" ref="F32:Q32" si="11">F22*F31</f>
        <v>313.3485</v>
      </c>
      <c r="G32" s="331">
        <f t="shared" si="11"/>
        <v>315.29249999999996</v>
      </c>
      <c r="H32" s="331">
        <f t="shared" si="11"/>
        <v>323.01990000000006</v>
      </c>
      <c r="I32" s="331">
        <f t="shared" si="11"/>
        <v>324.96389999999997</v>
      </c>
      <c r="J32" s="331">
        <f t="shared" si="11"/>
        <v>326.90789999999993</v>
      </c>
      <c r="K32" s="331">
        <f t="shared" si="11"/>
        <v>328.85190000000006</v>
      </c>
      <c r="L32" s="331">
        <f t="shared" si="11"/>
        <v>333.68759999999997</v>
      </c>
      <c r="M32" s="331">
        <f t="shared" si="11"/>
        <v>335.63160000000005</v>
      </c>
      <c r="N32" s="331">
        <f t="shared" si="11"/>
        <v>343.35900000000004</v>
      </c>
      <c r="O32" s="331">
        <f t="shared" si="11"/>
        <v>345.303</v>
      </c>
      <c r="P32" s="331">
        <f t="shared" si="11"/>
        <v>347.24699999999996</v>
      </c>
      <c r="Q32" s="331">
        <f t="shared" si="11"/>
        <v>349.19100000000003</v>
      </c>
    </row>
    <row r="33" spans="2:23" x14ac:dyDescent="0.3">
      <c r="B33" s="345"/>
      <c r="C33" s="343"/>
      <c r="D33" s="386" t="s">
        <v>264</v>
      </c>
      <c r="E33" s="386"/>
      <c r="F33" s="321">
        <f t="shared" ref="F33:Q33" si="12">IF($B31&gt;" ", F32*$D31," ")</f>
        <v>83037.352499999994</v>
      </c>
      <c r="G33" s="321">
        <f t="shared" si="12"/>
        <v>83552.512499999983</v>
      </c>
      <c r="H33" s="321">
        <f t="shared" si="12"/>
        <v>85600.27350000001</v>
      </c>
      <c r="I33" s="321">
        <f t="shared" si="12"/>
        <v>86115.433499999985</v>
      </c>
      <c r="J33" s="321">
        <f t="shared" si="12"/>
        <v>86630.593499999974</v>
      </c>
      <c r="K33" s="321">
        <f t="shared" si="12"/>
        <v>87145.753500000021</v>
      </c>
      <c r="L33" s="321">
        <f t="shared" si="12"/>
        <v>88427.213999999993</v>
      </c>
      <c r="M33" s="321">
        <f t="shared" si="12"/>
        <v>88942.374000000011</v>
      </c>
      <c r="N33" s="321">
        <f t="shared" si="12"/>
        <v>90990.135000000009</v>
      </c>
      <c r="O33" s="321">
        <f t="shared" si="12"/>
        <v>91505.294999999998</v>
      </c>
      <c r="P33" s="321">
        <f t="shared" si="12"/>
        <v>92020.454999999987</v>
      </c>
      <c r="Q33" s="321">
        <f t="shared" si="12"/>
        <v>92535.615000000005</v>
      </c>
    </row>
    <row r="34" spans="2:23" x14ac:dyDescent="0.3">
      <c r="B34" s="345" t="s">
        <v>294</v>
      </c>
      <c r="C34" s="343" t="s">
        <v>289</v>
      </c>
      <c r="D34" s="9">
        <v>380</v>
      </c>
      <c r="F34" s="338">
        <v>0.28000000000000003</v>
      </c>
      <c r="G34" s="338">
        <v>0.28000000000000003</v>
      </c>
      <c r="H34" s="338">
        <v>0.28000000000000003</v>
      </c>
      <c r="I34" s="338">
        <v>0.28000000000000003</v>
      </c>
      <c r="J34" s="338">
        <v>0.28000000000000003</v>
      </c>
      <c r="K34" s="338">
        <v>0.28000000000000003</v>
      </c>
      <c r="L34" s="338">
        <v>0.28000000000000003</v>
      </c>
      <c r="M34" s="338">
        <v>0.28000000000000003</v>
      </c>
      <c r="N34" s="338">
        <v>0.28000000000000003</v>
      </c>
      <c r="O34" s="338">
        <v>0.28000000000000003</v>
      </c>
      <c r="P34" s="338">
        <v>0.28000000000000003</v>
      </c>
      <c r="Q34" s="338">
        <v>0.28000000000000003</v>
      </c>
    </row>
    <row r="35" spans="2:23" ht="13.2" customHeight="1" x14ac:dyDescent="0.3">
      <c r="B35" s="345"/>
      <c r="C35" s="343"/>
      <c r="F35" s="331">
        <f t="shared" ref="F35:Q35" si="13">F22*F34</f>
        <v>731.14650000000017</v>
      </c>
      <c r="G35" s="331">
        <f t="shared" si="13"/>
        <v>735.68250000000012</v>
      </c>
      <c r="H35" s="331">
        <f t="shared" si="13"/>
        <v>753.71310000000017</v>
      </c>
      <c r="I35" s="331">
        <f t="shared" si="13"/>
        <v>758.2491</v>
      </c>
      <c r="J35" s="331">
        <f t="shared" si="13"/>
        <v>762.78509999999994</v>
      </c>
      <c r="K35" s="331">
        <f t="shared" si="13"/>
        <v>767.32110000000011</v>
      </c>
      <c r="L35" s="331">
        <f t="shared" si="13"/>
        <v>778.60440000000006</v>
      </c>
      <c r="M35" s="331">
        <f t="shared" si="13"/>
        <v>783.14040000000011</v>
      </c>
      <c r="N35" s="331">
        <f t="shared" si="13"/>
        <v>801.17100000000016</v>
      </c>
      <c r="O35" s="331">
        <f t="shared" si="13"/>
        <v>805.70700000000011</v>
      </c>
      <c r="P35" s="331">
        <f t="shared" si="13"/>
        <v>810.24300000000005</v>
      </c>
      <c r="Q35" s="331">
        <f t="shared" si="13"/>
        <v>814.77900000000011</v>
      </c>
    </row>
    <row r="36" spans="2:23" ht="13.2" customHeight="1" x14ac:dyDescent="0.3">
      <c r="B36" s="345"/>
      <c r="C36" s="343"/>
      <c r="D36" s="386" t="s">
        <v>264</v>
      </c>
      <c r="E36" s="386"/>
      <c r="F36" s="222">
        <f t="shared" ref="F36:Q36" si="14">IF($B34&gt;" ", F35*$D34," ")</f>
        <v>277835.67000000004</v>
      </c>
      <c r="G36" s="222">
        <f t="shared" si="14"/>
        <v>279559.35000000003</v>
      </c>
      <c r="H36" s="222">
        <f t="shared" si="14"/>
        <v>286410.97800000006</v>
      </c>
      <c r="I36" s="222">
        <f t="shared" si="14"/>
        <v>288134.658</v>
      </c>
      <c r="J36" s="222">
        <f t="shared" si="14"/>
        <v>289858.33799999999</v>
      </c>
      <c r="K36" s="222">
        <f t="shared" si="14"/>
        <v>291582.01800000004</v>
      </c>
      <c r="L36" s="222">
        <f t="shared" si="14"/>
        <v>295869.67200000002</v>
      </c>
      <c r="M36" s="222">
        <f t="shared" si="14"/>
        <v>297593.35200000007</v>
      </c>
      <c r="N36" s="222">
        <f t="shared" si="14"/>
        <v>304444.98000000004</v>
      </c>
      <c r="O36" s="222">
        <f t="shared" si="14"/>
        <v>306168.66000000003</v>
      </c>
      <c r="P36" s="222">
        <f t="shared" si="14"/>
        <v>307892.34000000003</v>
      </c>
      <c r="Q36" s="222">
        <f t="shared" si="14"/>
        <v>309616.02</v>
      </c>
    </row>
    <row r="37" spans="2:23" x14ac:dyDescent="0.3">
      <c r="B37" s="345" t="s">
        <v>293</v>
      </c>
      <c r="C37" s="343" t="s">
        <v>289</v>
      </c>
      <c r="D37" s="9">
        <v>470</v>
      </c>
      <c r="F37" s="338">
        <v>0.48</v>
      </c>
      <c r="G37" s="338">
        <v>0.48</v>
      </c>
      <c r="H37" s="338">
        <v>0.48</v>
      </c>
      <c r="I37" s="338">
        <v>0.48</v>
      </c>
      <c r="J37" s="338">
        <v>0.48</v>
      </c>
      <c r="K37" s="338">
        <v>0.48</v>
      </c>
      <c r="L37" s="338">
        <v>0.48</v>
      </c>
      <c r="M37" s="338">
        <v>0.48</v>
      </c>
      <c r="N37" s="338">
        <v>0.48</v>
      </c>
      <c r="O37" s="338">
        <v>0.48</v>
      </c>
      <c r="P37" s="338">
        <v>0.48</v>
      </c>
      <c r="Q37" s="338">
        <v>0.48</v>
      </c>
    </row>
    <row r="38" spans="2:23" x14ac:dyDescent="0.3">
      <c r="B38" s="4"/>
      <c r="F38" s="331">
        <f t="shared" ref="F38:Q38" si="15">F22*F37</f>
        <v>1253.394</v>
      </c>
      <c r="G38" s="331">
        <f t="shared" si="15"/>
        <v>1261.1699999999998</v>
      </c>
      <c r="H38" s="331">
        <f t="shared" si="15"/>
        <v>1292.0796000000003</v>
      </c>
      <c r="I38" s="331">
        <f t="shared" si="15"/>
        <v>1299.8555999999999</v>
      </c>
      <c r="J38" s="331">
        <f t="shared" si="15"/>
        <v>1307.6315999999997</v>
      </c>
      <c r="K38" s="331">
        <f t="shared" si="15"/>
        <v>1315.4076000000002</v>
      </c>
      <c r="L38" s="331">
        <f t="shared" si="15"/>
        <v>1334.7503999999999</v>
      </c>
      <c r="M38" s="331">
        <f t="shared" si="15"/>
        <v>1342.5264000000002</v>
      </c>
      <c r="N38" s="331">
        <f t="shared" si="15"/>
        <v>1373.4360000000001</v>
      </c>
      <c r="O38" s="331">
        <f t="shared" si="15"/>
        <v>1381.212</v>
      </c>
      <c r="P38" s="331">
        <f t="shared" si="15"/>
        <v>1388.9879999999998</v>
      </c>
      <c r="Q38" s="331">
        <f t="shared" si="15"/>
        <v>1396.7640000000001</v>
      </c>
    </row>
    <row r="39" spans="2:23" x14ac:dyDescent="0.3">
      <c r="B39" s="4"/>
      <c r="D39" s="390" t="s">
        <v>264</v>
      </c>
      <c r="E39" s="390"/>
      <c r="F39" s="222">
        <f t="shared" ref="F39:Q39" si="16">IF($B37&gt;" ", F38*$D37," ")</f>
        <v>589095.18000000005</v>
      </c>
      <c r="G39" s="222">
        <f t="shared" si="16"/>
        <v>592749.89999999991</v>
      </c>
      <c r="H39" s="222">
        <f t="shared" si="16"/>
        <v>607277.41200000013</v>
      </c>
      <c r="I39" s="222">
        <f t="shared" si="16"/>
        <v>610932.13199999998</v>
      </c>
      <c r="J39" s="222">
        <f t="shared" si="16"/>
        <v>614586.85199999984</v>
      </c>
      <c r="K39" s="222">
        <f t="shared" si="16"/>
        <v>618241.57200000016</v>
      </c>
      <c r="L39" s="222">
        <f t="shared" si="16"/>
        <v>627332.68799999997</v>
      </c>
      <c r="M39" s="222">
        <f t="shared" si="16"/>
        <v>630987.40800000005</v>
      </c>
      <c r="N39" s="222">
        <f t="shared" si="16"/>
        <v>645514.92000000004</v>
      </c>
      <c r="O39" s="222">
        <f t="shared" si="16"/>
        <v>649169.64</v>
      </c>
      <c r="P39" s="222">
        <f t="shared" si="16"/>
        <v>652824.35999999987</v>
      </c>
      <c r="Q39" s="222">
        <f t="shared" si="16"/>
        <v>656479.08000000007</v>
      </c>
    </row>
    <row r="40" spans="2:23" ht="13.2" customHeight="1" x14ac:dyDescent="0.3">
      <c r="B40" s="336"/>
      <c r="C40" s="336"/>
      <c r="D40" s="336"/>
      <c r="E40" s="336"/>
      <c r="F40" s="337">
        <f t="shared" ref="F40:Q40" si="17">SUM(F25+F28+F31+F34+F37)</f>
        <v>1</v>
      </c>
      <c r="G40" s="337">
        <f t="shared" si="17"/>
        <v>1</v>
      </c>
      <c r="H40" s="337">
        <f t="shared" si="17"/>
        <v>1</v>
      </c>
      <c r="I40" s="337">
        <f t="shared" si="17"/>
        <v>1</v>
      </c>
      <c r="J40" s="337">
        <f t="shared" si="17"/>
        <v>1</v>
      </c>
      <c r="K40" s="337">
        <f t="shared" si="17"/>
        <v>1</v>
      </c>
      <c r="L40" s="337">
        <f t="shared" si="17"/>
        <v>1</v>
      </c>
      <c r="M40" s="337">
        <f t="shared" si="17"/>
        <v>1</v>
      </c>
      <c r="N40" s="337">
        <f t="shared" si="17"/>
        <v>1</v>
      </c>
      <c r="O40" s="337">
        <f t="shared" si="17"/>
        <v>1</v>
      </c>
      <c r="P40" s="337">
        <f t="shared" si="17"/>
        <v>1</v>
      </c>
      <c r="Q40" s="337">
        <f t="shared" si="17"/>
        <v>1</v>
      </c>
      <c r="R40" s="216"/>
      <c r="S40" s="216"/>
      <c r="T40" s="216"/>
      <c r="U40" s="216"/>
      <c r="V40" s="216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40"/>
      <c r="C42" s="205"/>
      <c r="D42" s="341"/>
      <c r="F42" s="340" t="s">
        <v>19</v>
      </c>
      <c r="G42" s="205"/>
      <c r="H42" s="205"/>
      <c r="I42" s="205"/>
      <c r="J42" s="341"/>
      <c r="L42" s="382" t="s">
        <v>20</v>
      </c>
      <c r="M42" s="382"/>
      <c r="N42" s="382"/>
      <c r="O42" s="382"/>
      <c r="P42" s="382"/>
      <c r="Q42" s="382"/>
      <c r="R42" s="382" t="s">
        <v>21</v>
      </c>
      <c r="S42" s="382"/>
      <c r="T42" s="382"/>
      <c r="U42" s="382"/>
      <c r="V42" s="382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42"/>
      <c r="M43" s="342"/>
      <c r="N43" s="342"/>
      <c r="O43" s="342"/>
      <c r="P43" s="342"/>
      <c r="Q43" s="342"/>
      <c r="R43" s="342"/>
      <c r="S43" s="342"/>
      <c r="T43" s="342"/>
      <c r="U43" s="342"/>
      <c r="V43" s="342"/>
      <c r="W43" s="13"/>
    </row>
    <row r="44" spans="2:23" x14ac:dyDescent="0.3">
      <c r="B44" s="4" t="s">
        <v>125</v>
      </c>
      <c r="D44" s="5"/>
      <c r="F44" s="18">
        <f>'IS 2023'!U17</f>
        <v>7726098.0669600004</v>
      </c>
      <c r="G44" s="1">
        <f>'IS 2024'!U17</f>
        <v>10062843.894000001</v>
      </c>
      <c r="H44" s="1">
        <f>'IS 2025'!U17</f>
        <v>10310913.874392858</v>
      </c>
      <c r="I44" s="1">
        <f>'IS 2026'!U17</f>
        <v>11289186.37125</v>
      </c>
      <c r="J44" s="196">
        <f>'IS 2027'!U17</f>
        <v>12734515.804499999</v>
      </c>
      <c r="K44" s="1"/>
    </row>
    <row r="45" spans="2:23" x14ac:dyDescent="0.3">
      <c r="B45" s="4" t="s">
        <v>3</v>
      </c>
      <c r="D45" s="5"/>
      <c r="F45" s="18">
        <f>'IS 2023'!U18</f>
        <v>-390528</v>
      </c>
      <c r="G45" s="1">
        <f>'IS 2024'!U18</f>
        <v>-390528</v>
      </c>
      <c r="H45" s="1">
        <f>'IS 2025'!U18</f>
        <v>-390528</v>
      </c>
      <c r="I45" s="1">
        <f>'IS 2026'!U18</f>
        <v>-390528</v>
      </c>
      <c r="J45" s="196">
        <f>'IS 2027'!U18</f>
        <v>-449528</v>
      </c>
      <c r="K45" s="1"/>
    </row>
    <row r="46" spans="2:23" x14ac:dyDescent="0.3">
      <c r="B46" s="4" t="s">
        <v>4</v>
      </c>
      <c r="D46" s="5"/>
      <c r="F46" s="18">
        <f>F44-F45-F48-F49-F50</f>
        <v>9089704.0669599995</v>
      </c>
      <c r="G46" s="1">
        <f>G44-G45-G48-G49-G50</f>
        <v>11426449.894000001</v>
      </c>
      <c r="H46" s="1">
        <f>H44-H45-H48-H49-H50</f>
        <v>11674519.874392858</v>
      </c>
      <c r="I46" s="1">
        <f>I44-I45-I48-I49-I50</f>
        <v>12652792.37125</v>
      </c>
      <c r="J46" s="196">
        <f>J44-J45-J48-J49-J50</f>
        <v>14157121.804499999</v>
      </c>
      <c r="K46" s="1"/>
    </row>
    <row r="47" spans="2:23" x14ac:dyDescent="0.3">
      <c r="B47" s="4" t="s">
        <v>30</v>
      </c>
      <c r="D47" s="5"/>
      <c r="F47" s="197">
        <f>F46/F44</f>
        <v>1.1764934884571741</v>
      </c>
      <c r="G47" s="19">
        <f>G46/G44</f>
        <v>1.1355090086226076</v>
      </c>
      <c r="H47" s="19">
        <f>H46/H44</f>
        <v>1.1322488012809915</v>
      </c>
      <c r="I47" s="19">
        <f>I46/I44</f>
        <v>1.1207886870813537</v>
      </c>
      <c r="J47" s="198">
        <f>J46/J44</f>
        <v>1.1117126101879189</v>
      </c>
      <c r="K47" s="19"/>
    </row>
    <row r="48" spans="2:23" x14ac:dyDescent="0.3">
      <c r="B48" s="4" t="s">
        <v>5</v>
      </c>
      <c r="D48" s="5"/>
      <c r="F48" s="18">
        <f>'IS 2023'!U39</f>
        <v>-540756</v>
      </c>
      <c r="G48" s="1">
        <f>'IS 2024'!U40</f>
        <v>-540756</v>
      </c>
      <c r="H48" s="1">
        <f>'IS 2025'!U39</f>
        <v>-540756</v>
      </c>
      <c r="I48" s="1">
        <f>'IS 2026'!U38</f>
        <v>-540756</v>
      </c>
      <c r="J48" s="196">
        <f>'IS 2027'!U38</f>
        <v>-540756</v>
      </c>
      <c r="K48" s="1"/>
    </row>
    <row r="49" spans="2:11" x14ac:dyDescent="0.3">
      <c r="B49" s="4" t="s">
        <v>6</v>
      </c>
      <c r="D49" s="5"/>
      <c r="F49" s="18">
        <f>'IS 2023'!U38</f>
        <v>-333322</v>
      </c>
      <c r="G49" s="1">
        <f>'IS 2024'!U39</f>
        <v>-333322</v>
      </c>
      <c r="H49" s="1">
        <f>'IS 2025'!U38</f>
        <v>-333322</v>
      </c>
      <c r="I49" s="1">
        <f>'IS 2026'!U37</f>
        <v>-333322</v>
      </c>
      <c r="J49" s="196">
        <f>'IS 2027'!U37</f>
        <v>-333322</v>
      </c>
      <c r="K49" s="1"/>
    </row>
    <row r="50" spans="2:11" x14ac:dyDescent="0.3">
      <c r="B50" s="4" t="s">
        <v>7</v>
      </c>
      <c r="D50" s="5"/>
      <c r="F50" s="18">
        <f>'IS 2023'!U58</f>
        <v>-99000</v>
      </c>
      <c r="G50" s="1">
        <f>'IS 2024'!U59</f>
        <v>-99000</v>
      </c>
      <c r="H50" s="1">
        <f>'IS 2025'!U58</f>
        <v>-99000</v>
      </c>
      <c r="I50" s="1">
        <f>'IS 2026'!U56</f>
        <v>-99000</v>
      </c>
      <c r="J50" s="196">
        <f>'IS 2027'!U56</f>
        <v>-99000</v>
      </c>
      <c r="K50" s="1"/>
    </row>
    <row r="51" spans="2:11" x14ac:dyDescent="0.3">
      <c r="B51" s="4" t="s">
        <v>8</v>
      </c>
      <c r="D51" s="5"/>
      <c r="F51" s="18">
        <f>F60/F44*100</f>
        <v>71.47978715394413</v>
      </c>
      <c r="G51" s="1">
        <f>F60/F44*100</f>
        <v>71.47978715394413</v>
      </c>
      <c r="H51" s="1">
        <f>F60/F44*100</f>
        <v>71.47978715394413</v>
      </c>
      <c r="I51" s="1">
        <f>I60/I44*100</f>
        <v>74.168933186571948</v>
      </c>
      <c r="J51" s="196">
        <f>J60/J44*100</f>
        <v>74.460095610775383</v>
      </c>
      <c r="K51" s="1"/>
    </row>
    <row r="52" spans="2:11" x14ac:dyDescent="0.3">
      <c r="B52" s="4" t="s">
        <v>9</v>
      </c>
      <c r="D52" s="5"/>
      <c r="F52" s="197">
        <f>F60/F44</f>
        <v>0.7147978715394413</v>
      </c>
      <c r="G52" s="19">
        <f>G60/G44</f>
        <v>0.73458310524001058</v>
      </c>
      <c r="H52" s="19">
        <f>H60/H44</f>
        <v>0.73615696842984624</v>
      </c>
      <c r="I52" s="19">
        <f>I60/I44</f>
        <v>0.7416893318657195</v>
      </c>
      <c r="J52" s="198">
        <f>J60/J44</f>
        <v>0.74460095610775379</v>
      </c>
      <c r="K52" s="19"/>
    </row>
    <row r="53" spans="2:11" x14ac:dyDescent="0.3">
      <c r="B53" s="4" t="s">
        <v>10</v>
      </c>
      <c r="D53" s="5"/>
      <c r="F53" s="18">
        <f>'IS 2023'!U59</f>
        <v>6903248.0669600004</v>
      </c>
      <c r="G53" s="1">
        <f>'IS 2024'!U60</f>
        <v>9239993.8940000013</v>
      </c>
      <c r="H53" s="1">
        <f>'IS 2025'!U59</f>
        <v>9488063.8743928578</v>
      </c>
      <c r="I53" s="1">
        <f>'IS 2025'!U59</f>
        <v>9488063.8743928578</v>
      </c>
      <c r="J53" s="196">
        <f>'IS 2027'!U57</f>
        <v>11852665.804499999</v>
      </c>
      <c r="K53" s="1"/>
    </row>
    <row r="54" spans="2:11" x14ac:dyDescent="0.3">
      <c r="B54" s="4" t="s">
        <v>22</v>
      </c>
      <c r="D54" s="5"/>
      <c r="F54" s="197">
        <f>F53/F44</f>
        <v>0.89349733942430165</v>
      </c>
      <c r="G54" s="19">
        <f>F53/F44</f>
        <v>0.89349733942430165</v>
      </c>
      <c r="H54" s="19">
        <f>F53/F44</f>
        <v>0.89349733942430165</v>
      </c>
      <c r="I54" s="19">
        <f>I53/I44</f>
        <v>0.840455951595942</v>
      </c>
      <c r="J54" s="198">
        <f>J53/J44</f>
        <v>0.93075119513469207</v>
      </c>
      <c r="K54" s="19"/>
    </row>
    <row r="55" spans="2:11" x14ac:dyDescent="0.3">
      <c r="B55" s="4" t="s">
        <v>11</v>
      </c>
      <c r="D55" s="5"/>
      <c r="F55" s="18">
        <f>'IS 2023'!U60</f>
        <v>-20532</v>
      </c>
      <c r="G55" s="1">
        <f>'IS 2024'!U61</f>
        <v>-17800</v>
      </c>
      <c r="H55" s="1">
        <f>'IS 2025'!U60</f>
        <v>-21149</v>
      </c>
      <c r="I55" s="1">
        <f>'IS 2026'!U58</f>
        <v>-21537</v>
      </c>
      <c r="J55" s="196">
        <f>'IS 2027'!U58</f>
        <v>-21292</v>
      </c>
      <c r="K55" s="1"/>
    </row>
    <row r="56" spans="2:11" x14ac:dyDescent="0.3">
      <c r="B56" s="4" t="s">
        <v>12</v>
      </c>
      <c r="D56" s="5"/>
      <c r="F56" s="18">
        <f>'IS 2023'!U61</f>
        <v>6882716.0669600004</v>
      </c>
      <c r="G56" s="1">
        <f>'IS 2024'!U62</f>
        <v>9222193.8940000013</v>
      </c>
      <c r="H56" s="1">
        <f>'IS 2025'!U61</f>
        <v>9498112.8743928578</v>
      </c>
      <c r="I56" s="1">
        <f>'IS 2026'!U59</f>
        <v>10444799.371249998</v>
      </c>
      <c r="J56" s="196">
        <f>'IS 2027'!U59</f>
        <v>11831373.804499999</v>
      </c>
      <c r="K56" s="1"/>
    </row>
    <row r="57" spans="2:11" x14ac:dyDescent="0.3">
      <c r="B57" s="4" t="s">
        <v>13</v>
      </c>
      <c r="D57" s="5"/>
      <c r="F57" s="18">
        <f>'IS 2023'!U62</f>
        <v>-858002.4</v>
      </c>
      <c r="G57" s="1">
        <f>'IS 2024'!U63</f>
        <v>-373644</v>
      </c>
      <c r="H57" s="1">
        <f>'IS 2025'!U62</f>
        <v>0</v>
      </c>
      <c r="I57" s="1">
        <f>'IS 2026'!U60</f>
        <v>0</v>
      </c>
      <c r="J57" s="196">
        <f>'IS 2027'!U60</f>
        <v>0</v>
      </c>
      <c r="K57" s="1"/>
    </row>
    <row r="58" spans="2:11" x14ac:dyDescent="0.3">
      <c r="B58" s="4" t="s">
        <v>14</v>
      </c>
      <c r="D58" s="5"/>
      <c r="F58" s="18">
        <f>'IS 2023'!U63</f>
        <v>6903248.0669600004</v>
      </c>
      <c r="G58" s="1">
        <f>'IS 2024'!U64</f>
        <v>9239993.8940000013</v>
      </c>
      <c r="H58" s="1">
        <f>'IS 2025'!U63</f>
        <v>9488063.8743928578</v>
      </c>
      <c r="I58" s="1">
        <f>'IS 2026'!U61</f>
        <v>10466336.371249998</v>
      </c>
      <c r="J58" s="196">
        <f>'IS 2027'!U61</f>
        <v>11852665.804499999</v>
      </c>
      <c r="K58" s="1"/>
    </row>
    <row r="59" spans="2:11" x14ac:dyDescent="0.3">
      <c r="B59" s="4" t="s">
        <v>15</v>
      </c>
      <c r="D59" s="5"/>
      <c r="F59" s="18">
        <f>'IS 2023'!U64</f>
        <v>-1380649.6133920001</v>
      </c>
      <c r="G59" s="1">
        <f>'IS 2024'!U65</f>
        <v>-1847998.7788000004</v>
      </c>
      <c r="H59" s="1">
        <f>'IS 2025'!U64</f>
        <v>-1897612.7748785717</v>
      </c>
      <c r="I59" s="1">
        <f>'IS 2026'!U62</f>
        <v>-2093267.27425</v>
      </c>
      <c r="J59" s="196">
        <f>'IS 2027'!U62</f>
        <v>-2370533.1609</v>
      </c>
      <c r="K59" s="1"/>
    </row>
    <row r="60" spans="2:11" x14ac:dyDescent="0.3">
      <c r="B60" s="4" t="s">
        <v>16</v>
      </c>
      <c r="D60" s="5"/>
      <c r="F60" s="18">
        <f>'IS 2023'!U65</f>
        <v>5522598.4535680003</v>
      </c>
      <c r="G60" s="1">
        <f>'IS 2024'!U66</f>
        <v>7391995.1152000008</v>
      </c>
      <c r="H60" s="1">
        <f>'IS 2025'!U65</f>
        <v>7590451.099514286</v>
      </c>
      <c r="I60" s="1">
        <f>'IS 2026'!U63</f>
        <v>8373069.0969999991</v>
      </c>
      <c r="J60" s="196">
        <f>'IS 2027'!U63</f>
        <v>9482132.6436000001</v>
      </c>
      <c r="K60" s="1"/>
    </row>
    <row r="61" spans="2:11" x14ac:dyDescent="0.3">
      <c r="B61" s="4" t="s">
        <v>17</v>
      </c>
      <c r="D61" s="5"/>
      <c r="F61" s="197">
        <f>F60/F44</f>
        <v>0.7147978715394413</v>
      </c>
      <c r="G61" s="19">
        <f>G60/G44</f>
        <v>0.73458310524001058</v>
      </c>
      <c r="H61" s="19">
        <f>H60/H44</f>
        <v>0.73615696842984624</v>
      </c>
      <c r="I61" s="19">
        <f>I60/I44</f>
        <v>0.7416893318657195</v>
      </c>
      <c r="J61" s="198">
        <f>J60/J44</f>
        <v>0.74460095610775379</v>
      </c>
      <c r="K61" s="19"/>
    </row>
    <row r="62" spans="2:11" x14ac:dyDescent="0.3">
      <c r="B62" s="4" t="s">
        <v>156</v>
      </c>
      <c r="D62" s="5"/>
      <c r="F62" s="18">
        <f>F60-F50-F55</f>
        <v>5642130.4535680003</v>
      </c>
      <c r="G62" s="1">
        <f>G60-G50-G55</f>
        <v>7508795.1152000008</v>
      </c>
      <c r="H62" s="1">
        <f>H60-H50-H55</f>
        <v>7710600.099514286</v>
      </c>
      <c r="I62" s="1">
        <f>I60-I50-I55</f>
        <v>8493606.0969999991</v>
      </c>
      <c r="J62" s="196">
        <f>J60-J50-J55</f>
        <v>9602424.6436000001</v>
      </c>
      <c r="K62" s="1"/>
    </row>
    <row r="63" spans="2:11" x14ac:dyDescent="0.3">
      <c r="B63" s="6" t="s">
        <v>155</v>
      </c>
      <c r="C63" s="344"/>
      <c r="D63" s="7"/>
      <c r="F63" s="199">
        <f>F62-F48-F49-F50</f>
        <v>6615208.4535680003</v>
      </c>
      <c r="G63" s="20">
        <f>G62-G48-G49-G50</f>
        <v>8481873.1152000017</v>
      </c>
      <c r="H63" s="20">
        <f>H62-H48-H49-H50</f>
        <v>8683678.099514287</v>
      </c>
      <c r="I63" s="20">
        <f>I62-I48-I49-I50</f>
        <v>9466684.0969999991</v>
      </c>
      <c r="J63" s="200">
        <f>J62-J48-J49-J50</f>
        <v>10575502.6436</v>
      </c>
      <c r="K63" s="1"/>
    </row>
  </sheetData>
  <mergeCells count="10">
    <mergeCell ref="D27:E27"/>
    <mergeCell ref="D30:E30"/>
    <mergeCell ref="D33:E33"/>
    <mergeCell ref="D36:E36"/>
    <mergeCell ref="D39:E39"/>
    <mergeCell ref="F6:Q6"/>
    <mergeCell ref="L42:Q42"/>
    <mergeCell ref="R42:V42"/>
    <mergeCell ref="F16:Q16"/>
    <mergeCell ref="F24:Q24"/>
  </mergeCells>
  <conditionalFormatting sqref="F40:Q40">
    <cfRule type="cellIs" dxfId="0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7180-A3C0-4165-9B6B-6F9A4C347E52}">
  <sheetPr codeName="Sheet27"/>
  <dimension ref="A1:AP81"/>
  <sheetViews>
    <sheetView showGridLines="0" topLeftCell="A7" workbookViewId="0">
      <selection activeCell="C12" sqref="C12:C16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" style="136" bestFit="1" customWidth="1"/>
    <col min="7" max="8" width="10" bestFit="1" customWidth="1"/>
    <col min="9" max="9" width="9.88671875" customWidth="1"/>
    <col min="10" max="13" width="10" bestFit="1" customWidth="1"/>
    <col min="14" max="14" width="9.77734375" customWidth="1"/>
    <col min="15" max="19" width="10" bestFit="1" customWidth="1"/>
    <col min="20" max="20" width="9.8867187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1" t="s">
        <v>151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153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8"/>
    </row>
    <row r="5" spans="1:42" x14ac:dyDescent="0.3">
      <c r="A5" s="152"/>
      <c r="B5" s="155" t="s">
        <v>185</v>
      </c>
      <c r="C5" s="152"/>
      <c r="D5" s="152"/>
      <c r="E5" s="152"/>
      <c r="F5" s="210">
        <v>2027</v>
      </c>
      <c r="G5" s="210">
        <v>2027</v>
      </c>
      <c r="H5" s="210">
        <v>2027</v>
      </c>
      <c r="I5" s="210">
        <v>2027</v>
      </c>
      <c r="J5" s="210">
        <v>2027</v>
      </c>
      <c r="K5" s="210">
        <v>2027</v>
      </c>
      <c r="L5" s="210">
        <v>2027</v>
      </c>
      <c r="M5" s="210">
        <v>2027</v>
      </c>
      <c r="N5" s="210">
        <v>2027</v>
      </c>
      <c r="O5" s="210">
        <v>2027</v>
      </c>
      <c r="P5" s="210">
        <v>2027</v>
      </c>
      <c r="Q5" s="210">
        <v>2027</v>
      </c>
      <c r="R5" s="210">
        <v>2028</v>
      </c>
      <c r="S5" s="210">
        <v>2028</v>
      </c>
      <c r="T5" s="210">
        <v>2028</v>
      </c>
      <c r="U5" s="183" t="s">
        <v>80</v>
      </c>
    </row>
    <row r="6" spans="1:42" ht="15" thickBot="1" x14ac:dyDescent="0.35">
      <c r="A6" s="154"/>
      <c r="B6" s="162" t="s">
        <v>71</v>
      </c>
      <c r="C6" s="154"/>
      <c r="D6" s="154"/>
      <c r="E6" s="154"/>
      <c r="F6" s="209" t="s">
        <v>32</v>
      </c>
      <c r="G6" s="209" t="s">
        <v>33</v>
      </c>
      <c r="H6" s="209" t="s">
        <v>34</v>
      </c>
      <c r="I6" s="209" t="s">
        <v>35</v>
      </c>
      <c r="J6" s="209" t="s">
        <v>36</v>
      </c>
      <c r="K6" s="209" t="s">
        <v>37</v>
      </c>
      <c r="L6" s="209" t="s">
        <v>38</v>
      </c>
      <c r="M6" s="209" t="s">
        <v>39</v>
      </c>
      <c r="N6" s="209" t="s">
        <v>40</v>
      </c>
      <c r="O6" s="209" t="s">
        <v>41</v>
      </c>
      <c r="P6" s="209" t="s">
        <v>42</v>
      </c>
      <c r="Q6" s="209" t="s">
        <v>43</v>
      </c>
      <c r="R6" s="209" t="s">
        <v>32</v>
      </c>
      <c r="S6" s="209" t="s">
        <v>33</v>
      </c>
      <c r="T6" s="209" t="s">
        <v>34</v>
      </c>
      <c r="U6" s="169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8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4" t="s">
        <v>152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4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45" t="s">
        <v>290</v>
      </c>
      <c r="D12" s="13"/>
      <c r="E12" s="13"/>
      <c r="F12" s="160">
        <f>'2027 Sales Summary'!F27</f>
        <v>21151.02375</v>
      </c>
      <c r="G12" s="160">
        <f>'2027 Sales Summary'!G27</f>
        <v>21282.243749999998</v>
      </c>
      <c r="H12" s="160">
        <f>'2027 Sales Summary'!H27</f>
        <v>21803.843250000005</v>
      </c>
      <c r="I12" s="160">
        <f>'2027 Sales Summary'!I27</f>
        <v>21935.063249999999</v>
      </c>
      <c r="J12" s="160">
        <f>'2027 Sales Summary'!J27</f>
        <v>22066.283249999997</v>
      </c>
      <c r="K12" s="160">
        <f>'2027 Sales Summary'!K27</f>
        <v>22197.503250000005</v>
      </c>
      <c r="L12" s="160">
        <f>'2027 Sales Summary'!L27</f>
        <v>22523.912999999997</v>
      </c>
      <c r="M12" s="160">
        <f>'2027 Sales Summary'!M27</f>
        <v>22655.133000000002</v>
      </c>
      <c r="N12" s="160">
        <f>'2027 Sales Summary'!N27</f>
        <v>23176.732500000002</v>
      </c>
      <c r="O12" s="160">
        <f>'2027 Sales Summary'!O27</f>
        <v>23307.952499999999</v>
      </c>
      <c r="P12" s="160">
        <f>'2027 Sales Summary'!P27</f>
        <v>23439.172499999997</v>
      </c>
      <c r="Q12" s="160">
        <f>'2027 Sales Summary'!Q27</f>
        <v>23570.392500000002</v>
      </c>
      <c r="R12" s="160"/>
      <c r="S12" s="160"/>
      <c r="T12" s="160"/>
      <c r="U12" s="13"/>
    </row>
    <row r="13" spans="1:42" x14ac:dyDescent="0.3">
      <c r="A13" s="13"/>
      <c r="B13" s="13"/>
      <c r="C13" s="145" t="s">
        <v>291</v>
      </c>
      <c r="D13" s="13"/>
      <c r="E13" s="13"/>
      <c r="F13" s="160">
        <f>'2027 Sales Summary'!F30</f>
        <v>29768.107500000002</v>
      </c>
      <c r="G13" s="160">
        <f>'2027 Sales Summary'!G30</f>
        <v>29952.787499999995</v>
      </c>
      <c r="H13" s="160">
        <f>'2027 Sales Summary'!H30</f>
        <v>30686.890500000005</v>
      </c>
      <c r="I13" s="160">
        <f>'2027 Sales Summary'!I30</f>
        <v>30871.570499999998</v>
      </c>
      <c r="J13" s="160">
        <f>'2027 Sales Summary'!J30</f>
        <v>31056.250499999995</v>
      </c>
      <c r="K13" s="160">
        <f>'2027 Sales Summary'!K30</f>
        <v>31240.930500000006</v>
      </c>
      <c r="L13" s="160">
        <f>'2027 Sales Summary'!L30</f>
        <v>31700.321999999996</v>
      </c>
      <c r="M13" s="160">
        <f>'2027 Sales Summary'!M30</f>
        <v>31885.002000000004</v>
      </c>
      <c r="N13" s="160">
        <f>'2027 Sales Summary'!N30</f>
        <v>32619.105000000003</v>
      </c>
      <c r="O13" s="160">
        <f>'2027 Sales Summary'!O30</f>
        <v>32803.784999999996</v>
      </c>
      <c r="P13" s="160">
        <f>'2027 Sales Summary'!P30</f>
        <v>32988.464999999997</v>
      </c>
      <c r="Q13" s="160">
        <f>'2027 Sales Summary'!Q30</f>
        <v>33173.145000000004</v>
      </c>
      <c r="R13" s="160"/>
      <c r="S13" s="160"/>
      <c r="T13" s="160"/>
      <c r="U13" s="13"/>
    </row>
    <row r="14" spans="1:42" x14ac:dyDescent="0.3">
      <c r="A14" s="13"/>
      <c r="B14" s="13"/>
      <c r="C14" s="145" t="s">
        <v>292</v>
      </c>
      <c r="D14" s="13"/>
      <c r="E14" s="13"/>
      <c r="F14" s="160">
        <f>'2027 Sales Summary'!F33</f>
        <v>83037.352499999994</v>
      </c>
      <c r="G14" s="160">
        <f>'2027 Sales Summary'!G33</f>
        <v>83552.512499999983</v>
      </c>
      <c r="H14" s="160">
        <f>'2027 Sales Summary'!H33</f>
        <v>85600.27350000001</v>
      </c>
      <c r="I14" s="160">
        <f>'2027 Sales Summary'!I33</f>
        <v>86115.433499999985</v>
      </c>
      <c r="J14" s="160">
        <f>'2027 Sales Summary'!J33</f>
        <v>86630.593499999974</v>
      </c>
      <c r="K14" s="160">
        <f>'2027 Sales Summary'!K33</f>
        <v>87145.753500000021</v>
      </c>
      <c r="L14" s="160">
        <f>'2027 Sales Summary'!L33</f>
        <v>88427.213999999993</v>
      </c>
      <c r="M14" s="160">
        <f>'2027 Sales Summary'!M33</f>
        <v>88942.374000000011</v>
      </c>
      <c r="N14" s="160">
        <f>'2027 Sales Summary'!N33</f>
        <v>90990.135000000009</v>
      </c>
      <c r="O14" s="160">
        <f>'2027 Sales Summary'!O33</f>
        <v>91505.294999999998</v>
      </c>
      <c r="P14" s="160">
        <f>'2027 Sales Summary'!P33</f>
        <v>92020.454999999987</v>
      </c>
      <c r="Q14" s="160">
        <f>'2027 Sales Summary'!Q33</f>
        <v>92535.615000000005</v>
      </c>
      <c r="R14" s="160"/>
      <c r="S14" s="160"/>
      <c r="T14" s="160"/>
      <c r="U14" s="13"/>
    </row>
    <row r="15" spans="1:42" x14ac:dyDescent="0.3">
      <c r="A15" s="13"/>
      <c r="B15" s="13"/>
      <c r="C15" s="145" t="s">
        <v>294</v>
      </c>
      <c r="D15" s="13"/>
      <c r="E15" s="13"/>
      <c r="F15" s="160">
        <f>'2027 Sales Summary'!F36</f>
        <v>277835.67000000004</v>
      </c>
      <c r="G15" s="160">
        <f>'2027 Sales Summary'!G36</f>
        <v>279559.35000000003</v>
      </c>
      <c r="H15" s="160">
        <f>'2027 Sales Summary'!H36</f>
        <v>286410.97800000006</v>
      </c>
      <c r="I15" s="160">
        <f>'2027 Sales Summary'!I36</f>
        <v>288134.658</v>
      </c>
      <c r="J15" s="160">
        <f>'2027 Sales Summary'!J36</f>
        <v>289858.33799999999</v>
      </c>
      <c r="K15" s="160">
        <f>'2027 Sales Summary'!K36</f>
        <v>291582.01800000004</v>
      </c>
      <c r="L15" s="160">
        <f>'2027 Sales Summary'!L36</f>
        <v>295869.67200000002</v>
      </c>
      <c r="M15" s="160">
        <f>'2027 Sales Summary'!M36</f>
        <v>297593.35200000007</v>
      </c>
      <c r="N15" s="160">
        <f>'2027 Sales Summary'!N36</f>
        <v>304444.98000000004</v>
      </c>
      <c r="O15" s="160">
        <f>'2027 Sales Summary'!O36</f>
        <v>306168.66000000003</v>
      </c>
      <c r="P15" s="160">
        <f>'2027 Sales Summary'!P36</f>
        <v>307892.34000000003</v>
      </c>
      <c r="Q15" s="160">
        <f>'2027 Sales Summary'!Q36</f>
        <v>309616.02</v>
      </c>
      <c r="R15" s="160"/>
      <c r="S15" s="160"/>
      <c r="T15" s="160"/>
      <c r="U15" s="13"/>
    </row>
    <row r="16" spans="1:42" x14ac:dyDescent="0.3">
      <c r="A16" s="13"/>
      <c r="B16" s="13"/>
      <c r="C16" s="145" t="s">
        <v>293</v>
      </c>
      <c r="D16" s="13"/>
      <c r="E16" s="13"/>
      <c r="F16" s="160">
        <f>'2027 Sales Summary'!F39</f>
        <v>589095.18000000005</v>
      </c>
      <c r="G16" s="160">
        <f>'2027 Sales Summary'!G39</f>
        <v>592749.89999999991</v>
      </c>
      <c r="H16" s="160">
        <f>'2027 Sales Summary'!H39</f>
        <v>607277.41200000013</v>
      </c>
      <c r="I16" s="160">
        <f>'2027 Sales Summary'!I39</f>
        <v>610932.13199999998</v>
      </c>
      <c r="J16" s="160">
        <f>'2027 Sales Summary'!J39</f>
        <v>614586.85199999984</v>
      </c>
      <c r="K16" s="160">
        <f>'2027 Sales Summary'!K39</f>
        <v>618241.57200000016</v>
      </c>
      <c r="L16" s="160">
        <f>'2027 Sales Summary'!L39</f>
        <v>627332.68799999997</v>
      </c>
      <c r="M16" s="160">
        <f>'2027 Sales Summary'!M39</f>
        <v>630987.40800000005</v>
      </c>
      <c r="N16" s="160">
        <f>'2027 Sales Summary'!N39</f>
        <v>645514.92000000004</v>
      </c>
      <c r="O16" s="160">
        <f>'2027 Sales Summary'!O39</f>
        <v>649169.64</v>
      </c>
      <c r="P16" s="160">
        <f>'2027 Sales Summary'!P39</f>
        <v>652824.35999999987</v>
      </c>
      <c r="Q16" s="160">
        <f>'2027 Sales Summary'!Q39</f>
        <v>656479.08000000007</v>
      </c>
      <c r="R16" s="159"/>
      <c r="S16" s="159"/>
      <c r="T16" s="160"/>
      <c r="U16" s="13"/>
    </row>
    <row r="17" spans="1:21" x14ac:dyDescent="0.3">
      <c r="A17" s="152"/>
      <c r="B17" s="152"/>
      <c r="C17" s="155" t="s">
        <v>125</v>
      </c>
      <c r="D17" s="152"/>
      <c r="E17" s="152"/>
      <c r="F17" s="153">
        <f>SUM(F12:F16)</f>
        <v>1000887.3337500001</v>
      </c>
      <c r="G17" s="153">
        <f>SUM(G12:G16)</f>
        <v>1007096.79375</v>
      </c>
      <c r="H17" s="153">
        <f>SUM(H12:H16)</f>
        <v>1031779.3972500002</v>
      </c>
      <c r="I17" s="153">
        <f>SUM(I12:I16)</f>
        <v>1037988.8572499999</v>
      </c>
      <c r="J17" s="153">
        <f t="shared" ref="J17:Q17" si="0">SUM(J12:J16)</f>
        <v>1044198.3172499998</v>
      </c>
      <c r="K17" s="153">
        <f t="shared" si="0"/>
        <v>1050407.7772500003</v>
      </c>
      <c r="L17" s="153">
        <f t="shared" si="0"/>
        <v>1065853.8089999999</v>
      </c>
      <c r="M17" s="153">
        <f t="shared" si="0"/>
        <v>1072063.2690000001</v>
      </c>
      <c r="N17" s="153">
        <f t="shared" si="0"/>
        <v>1096745.8725000001</v>
      </c>
      <c r="O17" s="153">
        <f t="shared" si="0"/>
        <v>1102955.3325</v>
      </c>
      <c r="P17" s="153">
        <f t="shared" si="0"/>
        <v>1109164.7925</v>
      </c>
      <c r="Q17" s="153">
        <f t="shared" si="0"/>
        <v>1115374.2525000002</v>
      </c>
      <c r="R17" s="153"/>
      <c r="S17" s="153"/>
      <c r="T17" s="164"/>
      <c r="U17" s="164">
        <f>SUM(F17:Q17)</f>
        <v>12734515.804499999</v>
      </c>
    </row>
    <row r="18" spans="1:21" x14ac:dyDescent="0.3">
      <c r="A18" s="154"/>
      <c r="B18" s="154"/>
      <c r="C18" s="162" t="s">
        <v>126</v>
      </c>
      <c r="D18" s="154"/>
      <c r="E18" s="154"/>
      <c r="F18" s="163">
        <f>SUM(F19:F24)</f>
        <v>-32544</v>
      </c>
      <c r="G18" s="163">
        <f t="shared" ref="G18:Q18" si="1">SUM(G19:G24)</f>
        <v>-32544</v>
      </c>
      <c r="H18" s="163">
        <f t="shared" si="1"/>
        <v>-38444</v>
      </c>
      <c r="I18" s="163">
        <f t="shared" si="1"/>
        <v>-38444</v>
      </c>
      <c r="J18" s="163">
        <f t="shared" si="1"/>
        <v>-38444</v>
      </c>
      <c r="K18" s="163">
        <f t="shared" si="1"/>
        <v>-38444</v>
      </c>
      <c r="L18" s="163">
        <f t="shared" si="1"/>
        <v>-38444</v>
      </c>
      <c r="M18" s="163">
        <f t="shared" si="1"/>
        <v>-38444</v>
      </c>
      <c r="N18" s="163">
        <f t="shared" si="1"/>
        <v>-38444</v>
      </c>
      <c r="O18" s="163">
        <f t="shared" si="1"/>
        <v>-38444</v>
      </c>
      <c r="P18" s="163">
        <f t="shared" si="1"/>
        <v>-38444</v>
      </c>
      <c r="Q18" s="163">
        <f t="shared" si="1"/>
        <v>-38444</v>
      </c>
      <c r="R18" s="163"/>
      <c r="S18" s="163"/>
      <c r="T18" s="158"/>
      <c r="U18" s="158">
        <f>SUM(F18:Q18)</f>
        <v>-449528</v>
      </c>
    </row>
    <row r="19" spans="1:21" x14ac:dyDescent="0.3">
      <c r="A19" s="13"/>
      <c r="B19" s="13"/>
      <c r="C19" s="145" t="s">
        <v>216</v>
      </c>
      <c r="D19" s="13"/>
      <c r="E19" s="13"/>
      <c r="F19" s="142">
        <v>-31654</v>
      </c>
      <c r="G19" s="142">
        <v>-31654</v>
      </c>
      <c r="H19" s="142">
        <v>-37554</v>
      </c>
      <c r="I19" s="142">
        <v>-37554</v>
      </c>
      <c r="J19" s="142">
        <v>-37554</v>
      </c>
      <c r="K19" s="142">
        <v>-37554</v>
      </c>
      <c r="L19" s="142">
        <v>-37554</v>
      </c>
      <c r="M19" s="142">
        <v>-37554</v>
      </c>
      <c r="N19" s="142">
        <v>-37554</v>
      </c>
      <c r="O19" s="142">
        <v>-37554</v>
      </c>
      <c r="P19" s="142">
        <v>-37554</v>
      </c>
      <c r="Q19" s="142">
        <v>-37554</v>
      </c>
      <c r="R19" s="142"/>
      <c r="S19" s="142"/>
      <c r="T19" s="142"/>
      <c r="U19" s="160">
        <f>SUM(F19:Q19)</f>
        <v>-438848</v>
      </c>
    </row>
    <row r="20" spans="1:21" x14ac:dyDescent="0.3">
      <c r="A20" s="13"/>
      <c r="B20" s="13"/>
      <c r="C20" s="145" t="s">
        <v>217</v>
      </c>
      <c r="D20" s="13"/>
      <c r="E20" s="13"/>
      <c r="F20" s="143">
        <v>-700</v>
      </c>
      <c r="G20" s="143">
        <v>-700</v>
      </c>
      <c r="H20" s="143">
        <v>-700</v>
      </c>
      <c r="I20" s="143">
        <v>-700</v>
      </c>
      <c r="J20" s="143">
        <v>-700</v>
      </c>
      <c r="K20" s="143">
        <v>-700</v>
      </c>
      <c r="L20" s="143">
        <v>-700</v>
      </c>
      <c r="M20" s="143">
        <v>-700</v>
      </c>
      <c r="N20" s="143">
        <v>-700</v>
      </c>
      <c r="O20" s="143">
        <v>-700</v>
      </c>
      <c r="P20" s="143">
        <v>-700</v>
      </c>
      <c r="Q20" s="143">
        <v>-700</v>
      </c>
      <c r="R20" s="143"/>
      <c r="S20" s="143"/>
      <c r="T20" s="143"/>
      <c r="U20" s="160">
        <f t="shared" ref="U20:U22" si="2">SUM(F20:Q20)</f>
        <v>-8400</v>
      </c>
    </row>
    <row r="21" spans="1:21" x14ac:dyDescent="0.3">
      <c r="A21" s="13"/>
      <c r="B21" s="13"/>
      <c r="C21" s="145" t="s">
        <v>218</v>
      </c>
      <c r="D21" s="13"/>
      <c r="E21" s="13"/>
      <c r="F21" s="143">
        <v>-125</v>
      </c>
      <c r="G21" s="143">
        <v>-125</v>
      </c>
      <c r="H21" s="143">
        <v>-125</v>
      </c>
      <c r="I21" s="143">
        <v>-125</v>
      </c>
      <c r="J21" s="143">
        <v>-125</v>
      </c>
      <c r="K21" s="143">
        <v>-125</v>
      </c>
      <c r="L21" s="143">
        <v>-125</v>
      </c>
      <c r="M21" s="143">
        <v>-125</v>
      </c>
      <c r="N21" s="143">
        <v>-125</v>
      </c>
      <c r="O21" s="143">
        <v>-125</v>
      </c>
      <c r="P21" s="143">
        <v>-125</v>
      </c>
      <c r="Q21" s="143">
        <v>-125</v>
      </c>
      <c r="R21" s="143"/>
      <c r="S21" s="143"/>
      <c r="T21" s="143"/>
      <c r="U21" s="160">
        <f t="shared" si="2"/>
        <v>-1500</v>
      </c>
    </row>
    <row r="22" spans="1:21" x14ac:dyDescent="0.3">
      <c r="A22" s="13"/>
      <c r="B22" s="13"/>
      <c r="C22" s="145" t="s">
        <v>219</v>
      </c>
      <c r="D22" s="13"/>
      <c r="E22" s="13"/>
      <c r="F22" s="143">
        <v>-65</v>
      </c>
      <c r="G22" s="143">
        <v>-65</v>
      </c>
      <c r="H22" s="143">
        <v>-65</v>
      </c>
      <c r="I22" s="143">
        <v>-65</v>
      </c>
      <c r="J22" s="143">
        <v>-65</v>
      </c>
      <c r="K22" s="143">
        <v>-65</v>
      </c>
      <c r="L22" s="143">
        <v>-65</v>
      </c>
      <c r="M22" s="143">
        <v>-65</v>
      </c>
      <c r="N22" s="143">
        <v>-65</v>
      </c>
      <c r="O22" s="143">
        <v>-65</v>
      </c>
      <c r="P22" s="143">
        <v>-65</v>
      </c>
      <c r="Q22" s="143">
        <v>-65</v>
      </c>
      <c r="R22" s="143"/>
      <c r="S22" s="143"/>
      <c r="T22" s="143"/>
      <c r="U22" s="160">
        <f t="shared" si="2"/>
        <v>-780</v>
      </c>
    </row>
    <row r="23" spans="1:21" x14ac:dyDescent="0.3">
      <c r="A23" s="13"/>
      <c r="B23" s="13"/>
      <c r="C23" s="145" t="s">
        <v>220</v>
      </c>
      <c r="D23" s="13"/>
      <c r="E23" s="1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0"/>
    </row>
    <row r="24" spans="1:21" x14ac:dyDescent="0.3">
      <c r="A24" s="13"/>
      <c r="B24" s="13"/>
      <c r="C24" s="145" t="s">
        <v>221</v>
      </c>
      <c r="D24" s="13"/>
      <c r="E24" s="1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0"/>
    </row>
    <row r="25" spans="1:21" x14ac:dyDescent="0.3">
      <c r="A25" s="13"/>
      <c r="B25" s="13"/>
      <c r="C25" s="143"/>
      <c r="D25" s="13"/>
      <c r="E25" s="1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0"/>
    </row>
    <row r="26" spans="1:21" x14ac:dyDescent="0.3">
      <c r="A26" s="165"/>
      <c r="B26" s="165"/>
      <c r="C26" s="166" t="s">
        <v>4</v>
      </c>
      <c r="D26" s="165"/>
      <c r="E26" s="165"/>
      <c r="F26" s="167">
        <f>SUM(F17+F18)</f>
        <v>968343.33375000011</v>
      </c>
      <c r="G26" s="167">
        <f t="shared" ref="G26:Q26" si="3">SUM(G17+G18)</f>
        <v>974552.79374999995</v>
      </c>
      <c r="H26" s="167">
        <f t="shared" si="3"/>
        <v>993335.39725000015</v>
      </c>
      <c r="I26" s="167">
        <f t="shared" si="3"/>
        <v>999544.85724999988</v>
      </c>
      <c r="J26" s="167">
        <f t="shared" si="3"/>
        <v>1005754.3172499998</v>
      </c>
      <c r="K26" s="167">
        <f t="shared" si="3"/>
        <v>1011963.7772500003</v>
      </c>
      <c r="L26" s="167">
        <f t="shared" si="3"/>
        <v>1027409.8089999999</v>
      </c>
      <c r="M26" s="167">
        <f t="shared" si="3"/>
        <v>1033619.2690000001</v>
      </c>
      <c r="N26" s="167">
        <f t="shared" si="3"/>
        <v>1058301.8725000001</v>
      </c>
      <c r="O26" s="167">
        <f t="shared" si="3"/>
        <v>1064511.3325</v>
      </c>
      <c r="P26" s="167">
        <f t="shared" si="3"/>
        <v>1070720.7925</v>
      </c>
      <c r="Q26" s="167">
        <f t="shared" si="3"/>
        <v>1076930.2525000002</v>
      </c>
      <c r="R26" s="167"/>
      <c r="S26" s="167"/>
      <c r="T26" s="167"/>
      <c r="U26" s="226">
        <f>SUM(F26:Q26)</f>
        <v>12284987.804499999</v>
      </c>
    </row>
    <row r="27" spans="1:21" x14ac:dyDescent="0.3">
      <c r="A27" s="13"/>
      <c r="B27" s="13"/>
      <c r="C27" s="143"/>
      <c r="D27" s="13"/>
      <c r="E27" s="1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0"/>
    </row>
    <row r="28" spans="1:21" x14ac:dyDescent="0.3">
      <c r="A28" s="13"/>
      <c r="B28" s="13"/>
      <c r="C28" s="144" t="s">
        <v>6</v>
      </c>
      <c r="D28" s="13"/>
      <c r="E28" s="1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0"/>
    </row>
    <row r="29" spans="1:21" x14ac:dyDescent="0.3">
      <c r="A29" s="13"/>
      <c r="B29" s="13"/>
      <c r="C29" s="145" t="s">
        <v>127</v>
      </c>
      <c r="D29" s="13"/>
      <c r="E29" s="13"/>
      <c r="F29" s="160">
        <v>-3493</v>
      </c>
      <c r="G29" s="160">
        <v>-3493</v>
      </c>
      <c r="H29" s="160">
        <v>-3493</v>
      </c>
      <c r="I29" s="160">
        <v>-3493</v>
      </c>
      <c r="J29" s="160">
        <v>-3493</v>
      </c>
      <c r="K29" s="160">
        <v>-3493</v>
      </c>
      <c r="L29" s="160">
        <v>-3493</v>
      </c>
      <c r="M29" s="160">
        <v>-3493</v>
      </c>
      <c r="N29" s="160">
        <v>-3493</v>
      </c>
      <c r="O29" s="160">
        <v>-3493</v>
      </c>
      <c r="P29" s="160">
        <v>-3493</v>
      </c>
      <c r="Q29" s="160">
        <v>-3493</v>
      </c>
      <c r="R29" s="160">
        <v>-3493</v>
      </c>
      <c r="S29" s="160">
        <v>-3493</v>
      </c>
      <c r="T29" s="160">
        <v>-3493</v>
      </c>
      <c r="U29" s="160">
        <f>SUM(F29:Q29)</f>
        <v>-41916</v>
      </c>
    </row>
    <row r="30" spans="1:21" x14ac:dyDescent="0.3">
      <c r="A30" s="13"/>
      <c r="B30" s="13"/>
      <c r="C30" s="145" t="s">
        <v>128</v>
      </c>
      <c r="D30" s="13"/>
      <c r="E30" s="13"/>
      <c r="F30" s="160">
        <v>-13493</v>
      </c>
      <c r="G30" s="160">
        <v>-13493</v>
      </c>
      <c r="H30" s="160">
        <v>-13493</v>
      </c>
      <c r="I30" s="160">
        <v>-13493</v>
      </c>
      <c r="J30" s="160">
        <v>-13493</v>
      </c>
      <c r="K30" s="160">
        <v>-13493</v>
      </c>
      <c r="L30" s="160">
        <v>-13493</v>
      </c>
      <c r="M30" s="160">
        <v>-13493</v>
      </c>
      <c r="N30" s="160">
        <v>-13493</v>
      </c>
      <c r="O30" s="160">
        <v>-13493</v>
      </c>
      <c r="P30" s="160">
        <v>-13493</v>
      </c>
      <c r="Q30" s="160">
        <v>-13493</v>
      </c>
      <c r="R30" s="381">
        <v>-3400</v>
      </c>
      <c r="S30" s="381">
        <v>-3400</v>
      </c>
      <c r="T30" s="381">
        <v>-3400</v>
      </c>
      <c r="U30" s="160">
        <f t="shared" ref="U30:U32" si="4">SUM(F30:Q30)</f>
        <v>-161916</v>
      </c>
    </row>
    <row r="31" spans="1:21" x14ac:dyDescent="0.3">
      <c r="A31" s="13"/>
      <c r="B31" s="13"/>
      <c r="C31" s="145" t="s">
        <v>129</v>
      </c>
      <c r="D31" s="13"/>
      <c r="E31" s="13"/>
      <c r="F31" s="160">
        <v>-493</v>
      </c>
      <c r="G31" s="160">
        <v>-493</v>
      </c>
      <c r="H31" s="160">
        <v>-493</v>
      </c>
      <c r="I31" s="160">
        <v>-493</v>
      </c>
      <c r="J31" s="160">
        <v>-493</v>
      </c>
      <c r="K31" s="160">
        <v>-493</v>
      </c>
      <c r="L31" s="160">
        <v>-493</v>
      </c>
      <c r="M31" s="160">
        <v>-493</v>
      </c>
      <c r="N31" s="160">
        <v>-493</v>
      </c>
      <c r="O31" s="160">
        <v>-493</v>
      </c>
      <c r="P31" s="160">
        <v>-493</v>
      </c>
      <c r="Q31" s="160">
        <v>-493</v>
      </c>
      <c r="R31" s="307" t="s">
        <v>154</v>
      </c>
      <c r="S31" s="307" t="s">
        <v>154</v>
      </c>
      <c r="T31" s="307" t="s">
        <v>154</v>
      </c>
      <c r="U31" s="160">
        <f t="shared" si="4"/>
        <v>-5916</v>
      </c>
    </row>
    <row r="32" spans="1:21" x14ac:dyDescent="0.3">
      <c r="A32" s="13"/>
      <c r="B32" s="13"/>
      <c r="C32" s="145" t="s">
        <v>130</v>
      </c>
      <c r="D32" s="13"/>
      <c r="E32" s="13"/>
      <c r="F32" s="381">
        <v>-11234</v>
      </c>
      <c r="G32" s="381">
        <v>-11234</v>
      </c>
      <c r="H32" s="381">
        <v>-11234</v>
      </c>
      <c r="I32" s="381">
        <v>-11234</v>
      </c>
      <c r="J32" s="381">
        <v>-11234</v>
      </c>
      <c r="K32" s="381">
        <v>-11234</v>
      </c>
      <c r="L32" s="381">
        <v>-11234</v>
      </c>
      <c r="M32" s="381">
        <v>-11234</v>
      </c>
      <c r="N32" s="381">
        <v>-11234</v>
      </c>
      <c r="O32" s="381">
        <v>-11234</v>
      </c>
      <c r="P32" s="381">
        <v>-11234</v>
      </c>
      <c r="Q32" s="307" t="s">
        <v>154</v>
      </c>
      <c r="R32" s="307" t="s">
        <v>154</v>
      </c>
      <c r="S32" s="307" t="s">
        <v>154</v>
      </c>
      <c r="T32" s="307" t="s">
        <v>154</v>
      </c>
      <c r="U32" s="160">
        <f t="shared" si="4"/>
        <v>-123574</v>
      </c>
    </row>
    <row r="33" spans="1:21" x14ac:dyDescent="0.3">
      <c r="A33" s="13"/>
      <c r="B33" s="13"/>
      <c r="C33" s="145" t="s">
        <v>131</v>
      </c>
      <c r="D33" s="13"/>
      <c r="E33" s="13"/>
      <c r="F33" s="161" t="s">
        <v>154</v>
      </c>
      <c r="G33" s="161" t="s">
        <v>154</v>
      </c>
      <c r="H33" s="161" t="s">
        <v>154</v>
      </c>
      <c r="I33" s="161" t="s">
        <v>154</v>
      </c>
      <c r="J33" s="161" t="s">
        <v>154</v>
      </c>
      <c r="K33" s="161" t="s">
        <v>154</v>
      </c>
      <c r="L33" s="161" t="s">
        <v>154</v>
      </c>
      <c r="M33" s="161" t="s">
        <v>154</v>
      </c>
      <c r="N33" s="161" t="s">
        <v>154</v>
      </c>
      <c r="O33" s="161" t="s">
        <v>154</v>
      </c>
      <c r="P33" s="161" t="s">
        <v>154</v>
      </c>
      <c r="Q33" s="161" t="s">
        <v>154</v>
      </c>
      <c r="R33" s="161" t="s">
        <v>154</v>
      </c>
      <c r="S33" s="161" t="s">
        <v>154</v>
      </c>
      <c r="T33" s="161" t="s">
        <v>154</v>
      </c>
      <c r="U33" s="140"/>
    </row>
    <row r="34" spans="1:21" x14ac:dyDescent="0.3">
      <c r="A34" s="13"/>
      <c r="B34" s="13"/>
      <c r="C34" s="145" t="s">
        <v>132</v>
      </c>
      <c r="D34" s="13"/>
      <c r="E34" s="13"/>
      <c r="F34" s="161" t="s">
        <v>154</v>
      </c>
      <c r="G34" s="161" t="s">
        <v>154</v>
      </c>
      <c r="H34" s="161" t="s">
        <v>154</v>
      </c>
      <c r="I34" s="161" t="s">
        <v>154</v>
      </c>
      <c r="J34" s="161" t="s">
        <v>154</v>
      </c>
      <c r="K34" s="161" t="s">
        <v>154</v>
      </c>
      <c r="L34" s="161" t="s">
        <v>154</v>
      </c>
      <c r="M34" s="161" t="s">
        <v>154</v>
      </c>
      <c r="N34" s="161" t="s">
        <v>154</v>
      </c>
      <c r="O34" s="161" t="s">
        <v>154</v>
      </c>
      <c r="P34" s="161" t="s">
        <v>154</v>
      </c>
      <c r="Q34" s="161" t="s">
        <v>154</v>
      </c>
      <c r="R34" s="161"/>
      <c r="S34" s="161"/>
      <c r="T34" s="161"/>
      <c r="U34" s="140"/>
    </row>
    <row r="35" spans="1:21" x14ac:dyDescent="0.3">
      <c r="A35" s="13"/>
      <c r="B35" s="13"/>
      <c r="C35" s="145" t="s">
        <v>133</v>
      </c>
      <c r="D35" s="13"/>
      <c r="E35" s="13"/>
      <c r="F35" s="161" t="s">
        <v>154</v>
      </c>
      <c r="G35" s="161" t="s">
        <v>154</v>
      </c>
      <c r="H35" s="161" t="s">
        <v>154</v>
      </c>
      <c r="I35" s="161" t="s">
        <v>154</v>
      </c>
      <c r="J35" s="161" t="s">
        <v>154</v>
      </c>
      <c r="K35" s="161" t="s">
        <v>154</v>
      </c>
      <c r="L35" s="161" t="s">
        <v>154</v>
      </c>
      <c r="M35" s="161" t="s">
        <v>154</v>
      </c>
      <c r="N35" s="161" t="s">
        <v>154</v>
      </c>
      <c r="O35" s="161" t="s">
        <v>154</v>
      </c>
      <c r="P35" s="161" t="s">
        <v>154</v>
      </c>
      <c r="Q35" s="161" t="s">
        <v>154</v>
      </c>
      <c r="R35" s="161"/>
      <c r="S35" s="161"/>
      <c r="T35" s="161"/>
      <c r="U35" s="140"/>
    </row>
    <row r="36" spans="1:21" x14ac:dyDescent="0.3">
      <c r="A36" s="13"/>
      <c r="B36" s="13"/>
      <c r="C36" s="145" t="s">
        <v>134</v>
      </c>
      <c r="D36" s="13"/>
      <c r="E36" s="13"/>
      <c r="F36" s="161" t="s">
        <v>154</v>
      </c>
      <c r="G36" s="161" t="s">
        <v>154</v>
      </c>
      <c r="H36" s="161" t="s">
        <v>154</v>
      </c>
      <c r="I36" s="161" t="s">
        <v>154</v>
      </c>
      <c r="J36" s="161" t="s">
        <v>154</v>
      </c>
      <c r="K36" s="161" t="s">
        <v>154</v>
      </c>
      <c r="L36" s="161" t="s">
        <v>154</v>
      </c>
      <c r="M36" s="161" t="s">
        <v>154</v>
      </c>
      <c r="N36" s="161" t="s">
        <v>154</v>
      </c>
      <c r="O36" s="161" t="s">
        <v>154</v>
      </c>
      <c r="P36" s="161" t="s">
        <v>154</v>
      </c>
      <c r="Q36" s="161" t="s">
        <v>154</v>
      </c>
      <c r="R36" s="161"/>
      <c r="S36" s="161"/>
      <c r="T36" s="161"/>
      <c r="U36" s="140"/>
    </row>
    <row r="37" spans="1:21" x14ac:dyDescent="0.3">
      <c r="A37" s="156"/>
      <c r="B37" s="156"/>
      <c r="C37" s="183" t="s">
        <v>135</v>
      </c>
      <c r="D37" s="156"/>
      <c r="E37" s="156"/>
      <c r="F37" s="164">
        <f>SUM(F29:F36)</f>
        <v>-28713</v>
      </c>
      <c r="G37" s="164">
        <f t="shared" ref="G37:Q37" si="5">SUM(G29:G36)</f>
        <v>-28713</v>
      </c>
      <c r="H37" s="164">
        <f t="shared" si="5"/>
        <v>-28713</v>
      </c>
      <c r="I37" s="164">
        <f t="shared" si="5"/>
        <v>-28713</v>
      </c>
      <c r="J37" s="164">
        <f t="shared" si="5"/>
        <v>-28713</v>
      </c>
      <c r="K37" s="164">
        <f t="shared" si="5"/>
        <v>-28713</v>
      </c>
      <c r="L37" s="164">
        <f t="shared" si="5"/>
        <v>-28713</v>
      </c>
      <c r="M37" s="164">
        <f t="shared" si="5"/>
        <v>-28713</v>
      </c>
      <c r="N37" s="164">
        <f t="shared" si="5"/>
        <v>-28713</v>
      </c>
      <c r="O37" s="164">
        <f t="shared" si="5"/>
        <v>-28713</v>
      </c>
      <c r="P37" s="164">
        <f t="shared" si="5"/>
        <v>-28713</v>
      </c>
      <c r="Q37" s="164">
        <f t="shared" si="5"/>
        <v>-17479</v>
      </c>
      <c r="R37" s="164"/>
      <c r="S37" s="164"/>
      <c r="T37" s="164"/>
      <c r="U37" s="164">
        <f>SUM(F37:Q37)</f>
        <v>-333322</v>
      </c>
    </row>
    <row r="38" spans="1:21" x14ac:dyDescent="0.3">
      <c r="A38" s="157"/>
      <c r="B38" s="157"/>
      <c r="C38" s="194" t="s">
        <v>136</v>
      </c>
      <c r="D38" s="157"/>
      <c r="E38" s="157"/>
      <c r="F38" s="158">
        <v>-45063</v>
      </c>
      <c r="G38" s="158">
        <v>-45063</v>
      </c>
      <c r="H38" s="158">
        <v>-45063</v>
      </c>
      <c r="I38" s="158">
        <v>-45063</v>
      </c>
      <c r="J38" s="158">
        <v>-45063</v>
      </c>
      <c r="K38" s="158">
        <v>-45063</v>
      </c>
      <c r="L38" s="158">
        <v>-45063</v>
      </c>
      <c r="M38" s="158">
        <v>-45063</v>
      </c>
      <c r="N38" s="158">
        <v>-45063</v>
      </c>
      <c r="O38" s="158">
        <v>-45063</v>
      </c>
      <c r="P38" s="158">
        <v>-45063</v>
      </c>
      <c r="Q38" s="158">
        <v>-45063</v>
      </c>
      <c r="R38" s="158"/>
      <c r="S38" s="158"/>
      <c r="T38" s="158"/>
      <c r="U38" s="158">
        <f>SUM(F38:Q38)</f>
        <v>-540756</v>
      </c>
    </row>
    <row r="39" spans="1:21" x14ac:dyDescent="0.3">
      <c r="A39" s="13"/>
      <c r="B39" s="13"/>
      <c r="C39" s="143"/>
      <c r="D39" s="13"/>
      <c r="E39" s="1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0"/>
    </row>
    <row r="40" spans="1:21" x14ac:dyDescent="0.3">
      <c r="A40" s="13"/>
      <c r="B40" s="13"/>
      <c r="C40" s="144" t="s">
        <v>31</v>
      </c>
      <c r="D40" s="13"/>
      <c r="E40" s="1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0"/>
    </row>
    <row r="41" spans="1:21" x14ac:dyDescent="0.3">
      <c r="A41" s="13"/>
      <c r="B41" s="13"/>
      <c r="C41" s="143" t="s">
        <v>81</v>
      </c>
      <c r="D41" s="13"/>
      <c r="E41" s="13"/>
      <c r="F41" s="160">
        <v>-1750</v>
      </c>
      <c r="G41" s="160">
        <v>-1750</v>
      </c>
      <c r="H41" s="160">
        <v>-1750</v>
      </c>
      <c r="I41" s="160">
        <v>-1750</v>
      </c>
      <c r="J41" s="160">
        <v>-1750</v>
      </c>
      <c r="K41" s="160">
        <v>-1750</v>
      </c>
      <c r="L41" s="160">
        <v>-1750</v>
      </c>
      <c r="M41" s="160">
        <v>-1750</v>
      </c>
      <c r="N41" s="160">
        <v>-1750</v>
      </c>
      <c r="O41" s="160">
        <v>-1750</v>
      </c>
      <c r="P41" s="160">
        <v>-1750</v>
      </c>
      <c r="Q41" s="160">
        <v>-1750</v>
      </c>
      <c r="R41" s="160"/>
      <c r="S41" s="160"/>
      <c r="T41" s="160"/>
      <c r="U41" s="160">
        <f>SUM(F41:Q41)</f>
        <v>-21000</v>
      </c>
    </row>
    <row r="42" spans="1:21" x14ac:dyDescent="0.3">
      <c r="A42" s="13"/>
      <c r="B42" s="13"/>
      <c r="C42" s="143" t="s">
        <v>137</v>
      </c>
      <c r="D42" s="13"/>
      <c r="E42" s="13"/>
      <c r="F42" s="160">
        <v>-2550</v>
      </c>
      <c r="G42" s="160">
        <v>-2550</v>
      </c>
      <c r="H42" s="160">
        <v>-2550</v>
      </c>
      <c r="I42" s="160">
        <v>-2550</v>
      </c>
      <c r="J42" s="160">
        <v>-2550</v>
      </c>
      <c r="K42" s="160">
        <v>-2550</v>
      </c>
      <c r="L42" s="160">
        <v>-2550</v>
      </c>
      <c r="M42" s="160">
        <v>-2550</v>
      </c>
      <c r="N42" s="160">
        <v>-2550</v>
      </c>
      <c r="O42" s="160">
        <v>-2550</v>
      </c>
      <c r="P42" s="160">
        <v>-2550</v>
      </c>
      <c r="Q42" s="160">
        <v>-2550</v>
      </c>
      <c r="R42" s="160"/>
      <c r="S42" s="160"/>
      <c r="T42" s="160"/>
      <c r="U42" s="160">
        <f t="shared" ref="U42:U45" si="6">SUM(F42:Q42)</f>
        <v>-30600</v>
      </c>
    </row>
    <row r="43" spans="1:21" x14ac:dyDescent="0.3">
      <c r="A43" s="13"/>
      <c r="B43" s="13"/>
      <c r="C43" s="143" t="s">
        <v>246</v>
      </c>
      <c r="D43" s="13"/>
      <c r="E43" s="13"/>
      <c r="F43" s="160">
        <v>-700</v>
      </c>
      <c r="G43" s="160">
        <v>-700</v>
      </c>
      <c r="H43" s="160">
        <v>-700</v>
      </c>
      <c r="I43" s="160">
        <v>-700</v>
      </c>
      <c r="J43" s="160">
        <v>-700</v>
      </c>
      <c r="K43" s="160">
        <v>-700</v>
      </c>
      <c r="L43" s="160">
        <v>-700</v>
      </c>
      <c r="M43" s="160">
        <v>-700</v>
      </c>
      <c r="N43" s="160">
        <v>-700</v>
      </c>
      <c r="O43" s="160">
        <v>-700</v>
      </c>
      <c r="P43" s="160">
        <v>-700</v>
      </c>
      <c r="Q43" s="160">
        <v>-700</v>
      </c>
      <c r="R43" s="160"/>
      <c r="S43" s="160"/>
      <c r="T43" s="160"/>
      <c r="U43" s="160">
        <f t="shared" si="6"/>
        <v>-8400</v>
      </c>
    </row>
    <row r="44" spans="1:21" x14ac:dyDescent="0.3">
      <c r="A44" s="13"/>
      <c r="B44" s="13"/>
      <c r="C44" s="143" t="s">
        <v>247</v>
      </c>
      <c r="D44" s="13"/>
      <c r="E44" s="13"/>
      <c r="F44" s="160">
        <v>-1350</v>
      </c>
      <c r="G44" s="160">
        <v>-1350</v>
      </c>
      <c r="H44" s="160">
        <v>-1350</v>
      </c>
      <c r="I44" s="160">
        <v>-1350</v>
      </c>
      <c r="J44" s="160">
        <v>-1350</v>
      </c>
      <c r="K44" s="160">
        <v>-1350</v>
      </c>
      <c r="L44" s="160">
        <v>-1350</v>
      </c>
      <c r="M44" s="160">
        <v>-1350</v>
      </c>
      <c r="N44" s="160">
        <v>-1350</v>
      </c>
      <c r="O44" s="160">
        <v>-1350</v>
      </c>
      <c r="P44" s="160">
        <v>-1350</v>
      </c>
      <c r="Q44" s="160">
        <v>-1350</v>
      </c>
      <c r="R44" s="160"/>
      <c r="S44" s="160"/>
      <c r="T44" s="160"/>
      <c r="U44" s="160">
        <f t="shared" si="6"/>
        <v>-16200</v>
      </c>
    </row>
    <row r="45" spans="1:21" x14ac:dyDescent="0.3">
      <c r="A45" s="13"/>
      <c r="B45" s="13"/>
      <c r="C45" s="143" t="s">
        <v>241</v>
      </c>
      <c r="D45" s="13"/>
      <c r="E45" s="13"/>
      <c r="F45" s="160">
        <v>-1900</v>
      </c>
      <c r="G45" s="160">
        <v>-1900</v>
      </c>
      <c r="H45" s="160">
        <v>-1900</v>
      </c>
      <c r="I45" s="160">
        <v>-1900</v>
      </c>
      <c r="J45" s="160">
        <v>-1900</v>
      </c>
      <c r="K45" s="160">
        <v>-1900</v>
      </c>
      <c r="L45" s="160">
        <v>-1900</v>
      </c>
      <c r="M45" s="160">
        <v>-1900</v>
      </c>
      <c r="N45" s="160">
        <v>-1900</v>
      </c>
      <c r="O45" s="160">
        <v>-1900</v>
      </c>
      <c r="P45" s="160">
        <v>-1900</v>
      </c>
      <c r="Q45" s="160">
        <v>-1900</v>
      </c>
      <c r="R45" s="160"/>
      <c r="S45" s="160"/>
      <c r="T45" s="160"/>
      <c r="U45" s="160">
        <f t="shared" si="6"/>
        <v>-22800</v>
      </c>
    </row>
    <row r="46" spans="1:21" x14ac:dyDescent="0.3">
      <c r="A46" s="13"/>
      <c r="B46" s="13"/>
      <c r="C46" s="143" t="s">
        <v>138</v>
      </c>
      <c r="D46" s="13"/>
      <c r="E46" s="1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0"/>
    </row>
    <row r="47" spans="1:21" x14ac:dyDescent="0.3">
      <c r="A47" s="13"/>
      <c r="B47" s="13"/>
      <c r="C47" s="145" t="s">
        <v>139</v>
      </c>
      <c r="D47" s="13"/>
      <c r="E47" s="1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0"/>
    </row>
    <row r="48" spans="1:21" x14ac:dyDescent="0.3">
      <c r="A48" s="13"/>
      <c r="B48" s="13"/>
      <c r="C48" s="145" t="s">
        <v>140</v>
      </c>
      <c r="D48" s="13"/>
      <c r="E48" s="1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0"/>
    </row>
    <row r="49" spans="1:21" x14ac:dyDescent="0.3">
      <c r="A49" s="13"/>
      <c r="B49" s="13"/>
      <c r="C49" s="145" t="s">
        <v>141</v>
      </c>
      <c r="D49" s="13"/>
      <c r="E49" s="1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0"/>
    </row>
    <row r="50" spans="1:21" x14ac:dyDescent="0.3">
      <c r="A50" s="13"/>
      <c r="B50" s="13"/>
      <c r="C50" s="145" t="s">
        <v>142</v>
      </c>
      <c r="D50" s="13"/>
      <c r="E50" s="1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0"/>
    </row>
    <row r="51" spans="1:21" x14ac:dyDescent="0.3">
      <c r="A51" s="13"/>
      <c r="B51" s="13"/>
      <c r="C51" s="145" t="s">
        <v>143</v>
      </c>
      <c r="D51" s="13"/>
      <c r="E51" s="1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0"/>
    </row>
    <row r="52" spans="1:21" x14ac:dyDescent="0.3">
      <c r="A52" s="13"/>
      <c r="B52" s="13"/>
      <c r="C52" s="145" t="s">
        <v>144</v>
      </c>
      <c r="D52" s="13"/>
      <c r="E52" s="1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0"/>
    </row>
    <row r="53" spans="1:21" x14ac:dyDescent="0.3">
      <c r="A53" s="13"/>
      <c r="B53" s="13"/>
      <c r="C53" s="145" t="s">
        <v>145</v>
      </c>
      <c r="D53" s="13"/>
      <c r="E53" s="1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0"/>
    </row>
    <row r="54" spans="1:21" x14ac:dyDescent="0.3">
      <c r="A54" s="13"/>
      <c r="B54" s="13"/>
      <c r="C54" s="145" t="s">
        <v>146</v>
      </c>
      <c r="D54" s="13"/>
      <c r="E54" s="1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0"/>
    </row>
    <row r="55" spans="1:21" x14ac:dyDescent="0.3">
      <c r="A55" s="13"/>
      <c r="B55" s="13"/>
      <c r="C55" s="145" t="s">
        <v>147</v>
      </c>
      <c r="D55" s="13"/>
      <c r="E55" s="1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0"/>
    </row>
    <row r="56" spans="1:21" s="119" customFormat="1" ht="14.4" customHeight="1" x14ac:dyDescent="0.3">
      <c r="A56" s="170"/>
      <c r="B56" s="170"/>
      <c r="C56" s="171" t="s">
        <v>148</v>
      </c>
      <c r="D56" s="170"/>
      <c r="E56" s="170"/>
      <c r="F56" s="172">
        <f>SUM(F41:F55)</f>
        <v>-8250</v>
      </c>
      <c r="G56" s="172">
        <f>SUM(G41:G55)</f>
        <v>-8250</v>
      </c>
      <c r="H56" s="172">
        <f t="shared" ref="H56:Q56" si="7">SUM(H41:H55)</f>
        <v>-8250</v>
      </c>
      <c r="I56" s="172">
        <f t="shared" si="7"/>
        <v>-8250</v>
      </c>
      <c r="J56" s="172">
        <f t="shared" si="7"/>
        <v>-8250</v>
      </c>
      <c r="K56" s="172">
        <f t="shared" si="7"/>
        <v>-8250</v>
      </c>
      <c r="L56" s="172">
        <f t="shared" si="7"/>
        <v>-8250</v>
      </c>
      <c r="M56" s="172">
        <f t="shared" si="7"/>
        <v>-8250</v>
      </c>
      <c r="N56" s="172">
        <f t="shared" si="7"/>
        <v>-8250</v>
      </c>
      <c r="O56" s="172">
        <f t="shared" si="7"/>
        <v>-8250</v>
      </c>
      <c r="P56" s="172">
        <f t="shared" si="7"/>
        <v>-8250</v>
      </c>
      <c r="Q56" s="172">
        <f t="shared" si="7"/>
        <v>-8250</v>
      </c>
      <c r="R56" s="172"/>
      <c r="S56" s="172"/>
      <c r="T56" s="172"/>
      <c r="U56" s="164">
        <f>SUM(F56:Q56)</f>
        <v>-99000</v>
      </c>
    </row>
    <row r="57" spans="1:21" s="119" customFormat="1" ht="14.4" customHeight="1" x14ac:dyDescent="0.3">
      <c r="A57" s="173"/>
      <c r="B57" s="173"/>
      <c r="C57" s="174" t="s">
        <v>10</v>
      </c>
      <c r="D57" s="173"/>
      <c r="E57" s="173"/>
      <c r="F57" s="175">
        <f>F17+F18+F37+F56</f>
        <v>931380.33375000011</v>
      </c>
      <c r="G57" s="175">
        <f>G17+G18+G37+G56</f>
        <v>937589.79374999995</v>
      </c>
      <c r="H57" s="175">
        <f t="shared" ref="H57:Q57" si="8">H17+H18+H37+H56</f>
        <v>956372.39725000015</v>
      </c>
      <c r="I57" s="175">
        <f t="shared" si="8"/>
        <v>962581.85724999988</v>
      </c>
      <c r="J57" s="175">
        <f t="shared" si="8"/>
        <v>968791.31724999985</v>
      </c>
      <c r="K57" s="175">
        <f t="shared" si="8"/>
        <v>975000.77725000028</v>
      </c>
      <c r="L57" s="175">
        <f t="shared" si="8"/>
        <v>990446.80899999989</v>
      </c>
      <c r="M57" s="175">
        <f t="shared" si="8"/>
        <v>996656.26900000009</v>
      </c>
      <c r="N57" s="175">
        <f t="shared" si="8"/>
        <v>1021338.8725000001</v>
      </c>
      <c r="O57" s="175">
        <f t="shared" si="8"/>
        <v>1027548.3325</v>
      </c>
      <c r="P57" s="175">
        <f t="shared" si="8"/>
        <v>1033757.7925</v>
      </c>
      <c r="Q57" s="175">
        <f t="shared" si="8"/>
        <v>1051201.2525000002</v>
      </c>
      <c r="R57" s="175"/>
      <c r="S57" s="175"/>
      <c r="T57" s="175"/>
      <c r="U57" s="158">
        <f>SUM(F57:Q57)</f>
        <v>11852665.804499999</v>
      </c>
    </row>
    <row r="58" spans="1:21" s="119" customFormat="1" ht="14.4" customHeight="1" x14ac:dyDescent="0.3">
      <c r="A58" s="117"/>
      <c r="B58" s="117"/>
      <c r="C58" s="146" t="s">
        <v>149</v>
      </c>
      <c r="D58" s="117"/>
      <c r="E58" s="117"/>
      <c r="F58" s="147">
        <v>-1756</v>
      </c>
      <c r="G58" s="147">
        <v>-1756</v>
      </c>
      <c r="H58" s="147">
        <v>-1756</v>
      </c>
      <c r="I58" s="147">
        <v>-1756</v>
      </c>
      <c r="J58" s="147">
        <v>-1756</v>
      </c>
      <c r="K58" s="147">
        <v>-1756</v>
      </c>
      <c r="L58" s="147">
        <v>-1756</v>
      </c>
      <c r="M58" s="147">
        <v>-1800</v>
      </c>
      <c r="N58" s="147">
        <v>-1800</v>
      </c>
      <c r="O58" s="147">
        <v>-1800</v>
      </c>
      <c r="P58" s="147">
        <v>-1800</v>
      </c>
      <c r="Q58" s="147">
        <v>-1800</v>
      </c>
      <c r="R58" s="148"/>
      <c r="S58" s="148"/>
      <c r="T58" s="148"/>
      <c r="U58" s="160">
        <f>SUM(F58:Q58)</f>
        <v>-21292</v>
      </c>
    </row>
    <row r="59" spans="1:21" s="119" customFormat="1" ht="25.05" customHeight="1" x14ac:dyDescent="0.3">
      <c r="A59" s="117"/>
      <c r="B59" s="117"/>
      <c r="C59" s="146" t="s">
        <v>12</v>
      </c>
      <c r="D59" s="117"/>
      <c r="E59" s="117"/>
      <c r="F59" s="147">
        <f>F57+F58</f>
        <v>929624.33375000011</v>
      </c>
      <c r="G59" s="147">
        <f t="shared" ref="G59:Q59" si="9">G57+G58</f>
        <v>935833.79374999995</v>
      </c>
      <c r="H59" s="147">
        <f t="shared" si="9"/>
        <v>954616.39725000015</v>
      </c>
      <c r="I59" s="147">
        <f t="shared" si="9"/>
        <v>960825.85724999988</v>
      </c>
      <c r="J59" s="147">
        <f t="shared" si="9"/>
        <v>967035.31724999985</v>
      </c>
      <c r="K59" s="147">
        <f t="shared" si="9"/>
        <v>973244.77725000028</v>
      </c>
      <c r="L59" s="147">
        <f t="shared" si="9"/>
        <v>988690.80899999989</v>
      </c>
      <c r="M59" s="147">
        <f t="shared" si="9"/>
        <v>994856.26900000009</v>
      </c>
      <c r="N59" s="147">
        <f t="shared" si="9"/>
        <v>1019538.8725000001</v>
      </c>
      <c r="O59" s="147">
        <f t="shared" si="9"/>
        <v>1025748.3325</v>
      </c>
      <c r="P59" s="147">
        <f t="shared" si="9"/>
        <v>1031957.7925</v>
      </c>
      <c r="Q59" s="147">
        <f t="shared" si="9"/>
        <v>1049401.2525000002</v>
      </c>
      <c r="R59" s="147"/>
      <c r="S59" s="147"/>
      <c r="T59" s="147"/>
      <c r="U59" s="160">
        <f t="shared" ref="U59:U62" si="10">SUM(F59:Q59)</f>
        <v>11831373.804499999</v>
      </c>
    </row>
    <row r="60" spans="1:21" s="119" customFormat="1" ht="25.05" customHeight="1" x14ac:dyDescent="0.3">
      <c r="A60" s="117"/>
      <c r="B60" s="117"/>
      <c r="C60" s="149" t="s">
        <v>150</v>
      </c>
      <c r="D60" s="150"/>
      <c r="E60" s="117"/>
      <c r="F60" s="147">
        <f>'BS 2027'!F27</f>
        <v>0</v>
      </c>
      <c r="G60" s="147">
        <f>'BS 2027'!G27</f>
        <v>0</v>
      </c>
      <c r="H60" s="147">
        <f>'BS 2027'!H27</f>
        <v>0</v>
      </c>
      <c r="I60" s="147">
        <f>'BS 2027'!I27</f>
        <v>0</v>
      </c>
      <c r="J60" s="147">
        <f>'BS 2027'!J27</f>
        <v>0</v>
      </c>
      <c r="K60" s="147">
        <f>'BS 2027'!K27</f>
        <v>0</v>
      </c>
      <c r="L60" s="147">
        <f>'BS 2027'!L27</f>
        <v>0</v>
      </c>
      <c r="M60" s="147">
        <f>'BS 2027'!M27</f>
        <v>0</v>
      </c>
      <c r="N60" s="147">
        <f>'BS 2027'!N27</f>
        <v>0</v>
      </c>
      <c r="O60" s="147">
        <f>'BS 2027'!O27</f>
        <v>0</v>
      </c>
      <c r="P60" s="147">
        <f>'BS 2027'!P27</f>
        <v>0</v>
      </c>
      <c r="Q60" s="147">
        <f>'BS 2027'!Q27</f>
        <v>0</v>
      </c>
      <c r="R60" s="147"/>
      <c r="S60" s="147"/>
      <c r="T60" s="147"/>
      <c r="U60" s="160">
        <f t="shared" si="10"/>
        <v>0</v>
      </c>
    </row>
    <row r="61" spans="1:21" s="119" customFormat="1" ht="25.05" customHeight="1" x14ac:dyDescent="0.3">
      <c r="A61" s="117"/>
      <c r="B61" s="117"/>
      <c r="C61" s="146" t="s">
        <v>14</v>
      </c>
      <c r="D61" s="117"/>
      <c r="E61" s="117"/>
      <c r="F61" s="147">
        <f>F57</f>
        <v>931380.33375000011</v>
      </c>
      <c r="G61" s="147">
        <f>G57</f>
        <v>937589.79374999995</v>
      </c>
      <c r="H61" s="147">
        <f t="shared" ref="H61:Q61" si="11">H57</f>
        <v>956372.39725000015</v>
      </c>
      <c r="I61" s="147">
        <f t="shared" si="11"/>
        <v>962581.85724999988</v>
      </c>
      <c r="J61" s="147">
        <f t="shared" si="11"/>
        <v>968791.31724999985</v>
      </c>
      <c r="K61" s="147">
        <f t="shared" si="11"/>
        <v>975000.77725000028</v>
      </c>
      <c r="L61" s="147">
        <f t="shared" si="11"/>
        <v>990446.80899999989</v>
      </c>
      <c r="M61" s="147">
        <f t="shared" si="11"/>
        <v>996656.26900000009</v>
      </c>
      <c r="N61" s="147">
        <f t="shared" si="11"/>
        <v>1021338.8725000001</v>
      </c>
      <c r="O61" s="147">
        <f t="shared" si="11"/>
        <v>1027548.3325</v>
      </c>
      <c r="P61" s="147">
        <f t="shared" si="11"/>
        <v>1033757.7925</v>
      </c>
      <c r="Q61" s="147">
        <f t="shared" si="11"/>
        <v>1051201.2525000002</v>
      </c>
      <c r="R61" s="147"/>
      <c r="S61" s="147"/>
      <c r="T61" s="147"/>
      <c r="U61" s="160">
        <f t="shared" si="10"/>
        <v>11852665.804499999</v>
      </c>
    </row>
    <row r="62" spans="1:21" s="119" customFormat="1" ht="25.05" customHeight="1" x14ac:dyDescent="0.3">
      <c r="A62" s="117"/>
      <c r="B62" s="117"/>
      <c r="C62" s="149" t="s">
        <v>15</v>
      </c>
      <c r="D62" s="117"/>
      <c r="E62" s="117"/>
      <c r="F62" s="147">
        <f>(F61*0.2)*-1</f>
        <v>-186276.06675000003</v>
      </c>
      <c r="G62" s="147">
        <f t="shared" ref="G62:Q62" si="12">(G61*0.2)*-1</f>
        <v>-187517.95874999999</v>
      </c>
      <c r="H62" s="147">
        <f t="shared" si="12"/>
        <v>-191274.47945000004</v>
      </c>
      <c r="I62" s="147">
        <f t="shared" si="12"/>
        <v>-192516.37144999998</v>
      </c>
      <c r="J62" s="147">
        <f t="shared" si="12"/>
        <v>-193758.26344999997</v>
      </c>
      <c r="K62" s="147">
        <f t="shared" si="12"/>
        <v>-195000.15545000008</v>
      </c>
      <c r="L62" s="147">
        <f t="shared" si="12"/>
        <v>-198089.36179999998</v>
      </c>
      <c r="M62" s="147">
        <f t="shared" si="12"/>
        <v>-199331.25380000003</v>
      </c>
      <c r="N62" s="147">
        <f t="shared" si="12"/>
        <v>-204267.77450000003</v>
      </c>
      <c r="O62" s="147">
        <f t="shared" si="12"/>
        <v>-205509.66650000002</v>
      </c>
      <c r="P62" s="147">
        <f t="shared" si="12"/>
        <v>-206751.55850000001</v>
      </c>
      <c r="Q62" s="147">
        <f t="shared" si="12"/>
        <v>-210240.25050000005</v>
      </c>
      <c r="R62" s="147"/>
      <c r="S62" s="147"/>
      <c r="T62" s="147"/>
      <c r="U62" s="160">
        <f t="shared" si="10"/>
        <v>-2370533.1609</v>
      </c>
    </row>
    <row r="63" spans="1:21" s="119" customFormat="1" ht="14.4" customHeight="1" x14ac:dyDescent="0.3">
      <c r="A63" s="176"/>
      <c r="B63" s="176"/>
      <c r="C63" s="177" t="s">
        <v>16</v>
      </c>
      <c r="D63" s="176"/>
      <c r="E63" s="176"/>
      <c r="F63" s="312">
        <f>F61+F62</f>
        <v>745104.26700000011</v>
      </c>
      <c r="G63" s="312">
        <f>G61+G62</f>
        <v>750071.83499999996</v>
      </c>
      <c r="H63" s="312">
        <f>H61+H62</f>
        <v>765097.91780000017</v>
      </c>
      <c r="I63" s="312">
        <f>I61+I62</f>
        <v>770065.48579999991</v>
      </c>
      <c r="J63" s="312">
        <f>J61+J62</f>
        <v>775033.05379999988</v>
      </c>
      <c r="K63" s="312">
        <f t="shared" ref="K63:M63" si="13">K61+K62</f>
        <v>780000.6218000002</v>
      </c>
      <c r="L63" s="312">
        <f t="shared" si="13"/>
        <v>792357.44719999994</v>
      </c>
      <c r="M63" s="312">
        <f t="shared" si="13"/>
        <v>797325.01520000002</v>
      </c>
      <c r="N63" s="312">
        <f>N61+N62</f>
        <v>817071.098</v>
      </c>
      <c r="O63" s="312">
        <f>O61+O62</f>
        <v>822038.66599999997</v>
      </c>
      <c r="P63" s="312">
        <f t="shared" ref="P63" si="14">P61+P62</f>
        <v>827006.23399999994</v>
      </c>
      <c r="Q63" s="312">
        <f t="shared" ref="Q63" si="15">Q61+Q62</f>
        <v>840961.00200000009</v>
      </c>
      <c r="R63" s="312"/>
      <c r="S63" s="312"/>
      <c r="T63" s="313"/>
      <c r="U63" s="314">
        <f>SUM(F63:Q63)</f>
        <v>9482132.6436000001</v>
      </c>
    </row>
    <row r="64" spans="1:21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</sheetData>
  <phoneticPr fontId="7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01416-8E71-4F03-B75B-AC895B084448}">
  <sheetPr codeName="Sheet34"/>
  <dimension ref="A2:V61"/>
  <sheetViews>
    <sheetView showGridLines="0" topLeftCell="A32" workbookViewId="0">
      <selection activeCell="G53" sqref="G53:R53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1" max="11" width="9.88671875" bestFit="1" customWidth="1"/>
    <col min="15" max="15" width="9.6640625" customWidth="1"/>
    <col min="19" max="19" width="9.5546875" customWidth="1"/>
    <col min="22" max="22" width="10.21875" bestFit="1" customWidth="1"/>
  </cols>
  <sheetData>
    <row r="2" spans="1:22" ht="18" x14ac:dyDescent="0.35">
      <c r="A2" s="139" t="s">
        <v>157</v>
      </c>
      <c r="C2" s="138"/>
      <c r="D2" s="13"/>
    </row>
    <row r="3" spans="1:22" x14ac:dyDescent="0.3">
      <c r="A3" s="137" t="s">
        <v>158</v>
      </c>
      <c r="C3" s="23"/>
    </row>
    <row r="4" spans="1:22" x14ac:dyDescent="0.3">
      <c r="A4" s="137" t="s">
        <v>159</v>
      </c>
      <c r="C4" s="23"/>
    </row>
    <row r="6" spans="1:22" x14ac:dyDescent="0.3">
      <c r="B6" s="23" t="s">
        <v>207</v>
      </c>
    </row>
    <row r="7" spans="1:22" x14ac:dyDescent="0.3">
      <c r="A7" s="151"/>
      <c r="B7" s="183" t="s">
        <v>71</v>
      </c>
      <c r="C7" s="156"/>
      <c r="D7" s="156"/>
      <c r="E7" s="156"/>
      <c r="F7" s="156"/>
      <c r="G7" s="184">
        <v>46388</v>
      </c>
      <c r="H7" s="184">
        <v>46419</v>
      </c>
      <c r="I7" s="184">
        <v>46447</v>
      </c>
      <c r="J7" s="184">
        <v>46478</v>
      </c>
      <c r="K7" s="184">
        <v>46508</v>
      </c>
      <c r="L7" s="184">
        <v>46539</v>
      </c>
      <c r="M7" s="184">
        <v>46569</v>
      </c>
      <c r="N7" s="184">
        <v>46600</v>
      </c>
      <c r="O7" s="184">
        <v>46631</v>
      </c>
      <c r="P7" s="184">
        <v>46661</v>
      </c>
      <c r="Q7" s="184">
        <v>46692</v>
      </c>
      <c r="R7" s="184">
        <v>46722</v>
      </c>
      <c r="S7" s="184">
        <v>46753</v>
      </c>
      <c r="T7" s="184">
        <v>46784</v>
      </c>
      <c r="U7" s="184">
        <v>46813</v>
      </c>
      <c r="V7" s="185" t="s">
        <v>80</v>
      </c>
    </row>
    <row r="9" spans="1:22" x14ac:dyDescent="0.3">
      <c r="B9" s="23" t="s">
        <v>183</v>
      </c>
    </row>
    <row r="10" spans="1:22" x14ac:dyDescent="0.3">
      <c r="A10" s="156"/>
      <c r="B10" s="183" t="s">
        <v>160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</row>
    <row r="11" spans="1:22" x14ac:dyDescent="0.3">
      <c r="B11" s="360" t="s">
        <v>44</v>
      </c>
      <c r="C11" s="358"/>
      <c r="D11" s="358"/>
      <c r="E11" s="358"/>
      <c r="F11" s="358"/>
      <c r="G11" s="225">
        <f>SUM(G12:G18)</f>
        <v>1000887.3337500001</v>
      </c>
      <c r="H11" s="225">
        <f t="shared" ref="H11:R11" si="0">SUM(H12:H18)</f>
        <v>1007096.79375</v>
      </c>
      <c r="I11" s="225">
        <f t="shared" si="0"/>
        <v>1031779.3972500002</v>
      </c>
      <c r="J11" s="225">
        <f t="shared" si="0"/>
        <v>1037988.8572499999</v>
      </c>
      <c r="K11" s="225">
        <f t="shared" si="0"/>
        <v>1044198.3172499998</v>
      </c>
      <c r="L11" s="225">
        <f t="shared" si="0"/>
        <v>1050407.7772500003</v>
      </c>
      <c r="M11" s="225">
        <f t="shared" si="0"/>
        <v>1065853.8089999999</v>
      </c>
      <c r="N11" s="225">
        <f t="shared" si="0"/>
        <v>1072063.2690000001</v>
      </c>
      <c r="O11" s="225">
        <f t="shared" si="0"/>
        <v>1096745.8725000001</v>
      </c>
      <c r="P11" s="225">
        <f t="shared" si="0"/>
        <v>1102955.3325</v>
      </c>
      <c r="Q11" s="225">
        <f t="shared" si="0"/>
        <v>1109164.7925</v>
      </c>
      <c r="R11" s="225">
        <f t="shared" si="0"/>
        <v>1115374.2525000002</v>
      </c>
      <c r="S11" s="225"/>
      <c r="T11" s="225"/>
      <c r="U11" s="225"/>
      <c r="V11" s="225">
        <f>SUM(G11:R11)</f>
        <v>12734515.804499999</v>
      </c>
    </row>
    <row r="12" spans="1:22" x14ac:dyDescent="0.3">
      <c r="B12" s="361" t="s">
        <v>290</v>
      </c>
      <c r="C12" s="358"/>
      <c r="D12" s="358"/>
      <c r="E12" s="358"/>
      <c r="F12" s="358"/>
      <c r="G12" s="225">
        <f>'IS 2027'!F12</f>
        <v>21151.02375</v>
      </c>
      <c r="H12" s="225">
        <f>'IS 2027'!G12</f>
        <v>21282.243749999998</v>
      </c>
      <c r="I12" s="225">
        <f>'IS 2027'!H12</f>
        <v>21803.843250000005</v>
      </c>
      <c r="J12" s="225">
        <f>'IS 2027'!I12</f>
        <v>21935.063249999999</v>
      </c>
      <c r="K12" s="225">
        <f>'IS 2027'!J12</f>
        <v>22066.283249999997</v>
      </c>
      <c r="L12" s="225">
        <f>'IS 2027'!K12</f>
        <v>22197.503250000005</v>
      </c>
      <c r="M12" s="225">
        <f>'IS 2027'!L12</f>
        <v>22523.912999999997</v>
      </c>
      <c r="N12" s="225">
        <f>'IS 2027'!M12</f>
        <v>22655.133000000002</v>
      </c>
      <c r="O12" s="225">
        <f>'IS 2027'!N12</f>
        <v>23176.732500000002</v>
      </c>
      <c r="P12" s="225">
        <f>'IS 2027'!O12</f>
        <v>23307.952499999999</v>
      </c>
      <c r="Q12" s="225">
        <f>'IS 2027'!P12</f>
        <v>23439.172499999997</v>
      </c>
      <c r="R12" s="225">
        <f>'IS 2027'!Q12</f>
        <v>23570.392500000002</v>
      </c>
      <c r="S12" s="225"/>
      <c r="T12" s="225"/>
      <c r="U12" s="225"/>
      <c r="V12" s="358"/>
    </row>
    <row r="13" spans="1:22" x14ac:dyDescent="0.3">
      <c r="B13" s="361" t="s">
        <v>291</v>
      </c>
      <c r="C13" s="358"/>
      <c r="D13" s="358"/>
      <c r="E13" s="358"/>
      <c r="F13" s="358"/>
      <c r="G13" s="225">
        <f>'IS 2027'!F13</f>
        <v>29768.107500000002</v>
      </c>
      <c r="H13" s="225">
        <f>'IS 2027'!G13</f>
        <v>29952.787499999995</v>
      </c>
      <c r="I13" s="225">
        <f>'IS 2027'!H13</f>
        <v>30686.890500000005</v>
      </c>
      <c r="J13" s="225">
        <f>'IS 2027'!I13</f>
        <v>30871.570499999998</v>
      </c>
      <c r="K13" s="225">
        <f>'IS 2027'!J13</f>
        <v>31056.250499999995</v>
      </c>
      <c r="L13" s="225">
        <f>'IS 2027'!K13</f>
        <v>31240.930500000006</v>
      </c>
      <c r="M13" s="225">
        <f>'IS 2027'!L13</f>
        <v>31700.321999999996</v>
      </c>
      <c r="N13" s="225">
        <f>'IS 2027'!M13</f>
        <v>31885.002000000004</v>
      </c>
      <c r="O13" s="225">
        <f>'IS 2027'!N13</f>
        <v>32619.105000000003</v>
      </c>
      <c r="P13" s="225">
        <f>'IS 2027'!O13</f>
        <v>32803.784999999996</v>
      </c>
      <c r="Q13" s="225">
        <f>'IS 2027'!P13</f>
        <v>32988.464999999997</v>
      </c>
      <c r="R13" s="225">
        <f>'IS 2027'!Q13</f>
        <v>33173.145000000004</v>
      </c>
      <c r="S13" s="225"/>
      <c r="T13" s="225"/>
      <c r="U13" s="225"/>
      <c r="V13" s="358"/>
    </row>
    <row r="14" spans="1:22" x14ac:dyDescent="0.3">
      <c r="B14" s="361" t="s">
        <v>292</v>
      </c>
      <c r="C14" s="358"/>
      <c r="D14" s="358"/>
      <c r="E14" s="358"/>
      <c r="F14" s="358"/>
      <c r="G14" s="225">
        <f>'IS 2027'!F14</f>
        <v>83037.352499999994</v>
      </c>
      <c r="H14" s="225">
        <f>'IS 2027'!G14</f>
        <v>83552.512499999983</v>
      </c>
      <c r="I14" s="225">
        <f>'IS 2027'!H14</f>
        <v>85600.27350000001</v>
      </c>
      <c r="J14" s="225">
        <f>'IS 2027'!I14</f>
        <v>86115.433499999985</v>
      </c>
      <c r="K14" s="225">
        <f>'IS 2027'!J14</f>
        <v>86630.593499999974</v>
      </c>
      <c r="L14" s="225">
        <f>'IS 2027'!K14</f>
        <v>87145.753500000021</v>
      </c>
      <c r="M14" s="225">
        <f>'IS 2027'!L14</f>
        <v>88427.213999999993</v>
      </c>
      <c r="N14" s="225">
        <f>'IS 2027'!M14</f>
        <v>88942.374000000011</v>
      </c>
      <c r="O14" s="225">
        <f>'IS 2027'!N14</f>
        <v>90990.135000000009</v>
      </c>
      <c r="P14" s="225">
        <f>'IS 2027'!O14</f>
        <v>91505.294999999998</v>
      </c>
      <c r="Q14" s="225">
        <f>'IS 2027'!P14</f>
        <v>92020.454999999987</v>
      </c>
      <c r="R14" s="225">
        <f>'IS 2027'!Q14</f>
        <v>92535.615000000005</v>
      </c>
      <c r="S14" s="225"/>
      <c r="T14" s="225"/>
      <c r="U14" s="225"/>
      <c r="V14" s="358"/>
    </row>
    <row r="15" spans="1:22" x14ac:dyDescent="0.3">
      <c r="B15" s="361" t="s">
        <v>294</v>
      </c>
      <c r="C15" s="358"/>
      <c r="D15" s="358"/>
      <c r="E15" s="358"/>
      <c r="F15" s="358"/>
      <c r="G15" s="225">
        <f>'IS 2027'!F15</f>
        <v>277835.67000000004</v>
      </c>
      <c r="H15" s="225">
        <f>'IS 2027'!G15</f>
        <v>279559.35000000003</v>
      </c>
      <c r="I15" s="225">
        <f>'IS 2027'!H15</f>
        <v>286410.97800000006</v>
      </c>
      <c r="J15" s="225">
        <f>'IS 2027'!I15</f>
        <v>288134.658</v>
      </c>
      <c r="K15" s="225">
        <f>'IS 2027'!J15</f>
        <v>289858.33799999999</v>
      </c>
      <c r="L15" s="225">
        <f>'IS 2027'!K15</f>
        <v>291582.01800000004</v>
      </c>
      <c r="M15" s="225">
        <f>'IS 2027'!L15</f>
        <v>295869.67200000002</v>
      </c>
      <c r="N15" s="225">
        <f>'IS 2027'!M15</f>
        <v>297593.35200000007</v>
      </c>
      <c r="O15" s="225">
        <f>'IS 2027'!N15</f>
        <v>304444.98000000004</v>
      </c>
      <c r="P15" s="225">
        <f>'IS 2027'!O15</f>
        <v>306168.66000000003</v>
      </c>
      <c r="Q15" s="225">
        <f>'IS 2027'!P15</f>
        <v>307892.34000000003</v>
      </c>
      <c r="R15" s="225">
        <f>'IS 2027'!Q15</f>
        <v>309616.02</v>
      </c>
      <c r="S15" s="225"/>
      <c r="T15" s="225"/>
      <c r="U15" s="225"/>
      <c r="V15" s="358"/>
    </row>
    <row r="16" spans="1:22" x14ac:dyDescent="0.3">
      <c r="B16" s="361" t="s">
        <v>293</v>
      </c>
      <c r="C16" s="358"/>
      <c r="D16" s="358"/>
      <c r="E16" s="358"/>
      <c r="F16" s="358"/>
      <c r="G16" s="225">
        <f>'IS 2027'!F16</f>
        <v>589095.18000000005</v>
      </c>
      <c r="H16" s="225">
        <f>'IS 2027'!G16</f>
        <v>592749.89999999991</v>
      </c>
      <c r="I16" s="225">
        <f>'IS 2027'!H16</f>
        <v>607277.41200000013</v>
      </c>
      <c r="J16" s="225">
        <f>'IS 2027'!I16</f>
        <v>610932.13199999998</v>
      </c>
      <c r="K16" s="225">
        <f>'IS 2027'!J16</f>
        <v>614586.85199999984</v>
      </c>
      <c r="L16" s="225">
        <f>'IS 2027'!K16</f>
        <v>618241.57200000016</v>
      </c>
      <c r="M16" s="225">
        <f>'IS 2027'!L16</f>
        <v>627332.68799999997</v>
      </c>
      <c r="N16" s="225">
        <f>'IS 2027'!M16</f>
        <v>630987.40800000005</v>
      </c>
      <c r="O16" s="225">
        <f>'IS 2027'!N16</f>
        <v>645514.92000000004</v>
      </c>
      <c r="P16" s="225">
        <f>'IS 2027'!O16</f>
        <v>649169.64</v>
      </c>
      <c r="Q16" s="225">
        <f>'IS 2027'!P16</f>
        <v>652824.35999999987</v>
      </c>
      <c r="R16" s="225">
        <f>'IS 2027'!Q16</f>
        <v>656479.08000000007</v>
      </c>
      <c r="S16" s="225"/>
      <c r="T16" s="225"/>
      <c r="U16" s="225"/>
      <c r="V16" s="358"/>
    </row>
    <row r="17" spans="1:22" x14ac:dyDescent="0.3">
      <c r="B17" s="362" t="s">
        <v>132</v>
      </c>
      <c r="C17" s="358"/>
      <c r="D17" s="358"/>
      <c r="E17" s="358"/>
      <c r="F17" s="358"/>
      <c r="G17" s="225"/>
      <c r="H17" s="225"/>
      <c r="I17" s="225"/>
      <c r="J17" s="225"/>
      <c r="K17" s="225"/>
      <c r="L17" s="225"/>
      <c r="M17" s="225"/>
      <c r="N17" s="225"/>
      <c r="O17" s="225"/>
      <c r="P17" s="358"/>
      <c r="Q17" s="225"/>
      <c r="R17" s="225"/>
      <c r="S17" s="225"/>
      <c r="T17" s="225"/>
      <c r="U17" s="225"/>
      <c r="V17" s="358"/>
    </row>
    <row r="18" spans="1:22" x14ac:dyDescent="0.3">
      <c r="B18" s="362" t="s">
        <v>133</v>
      </c>
      <c r="C18" s="358"/>
      <c r="D18" s="358"/>
      <c r="E18" s="358"/>
      <c r="F18" s="358"/>
      <c r="G18" s="225"/>
      <c r="H18" s="225"/>
      <c r="I18" s="225"/>
      <c r="J18" s="225"/>
      <c r="K18" s="225"/>
      <c r="L18" s="225"/>
      <c r="M18" s="225"/>
      <c r="N18" s="225"/>
      <c r="O18" s="225"/>
      <c r="P18" s="358"/>
      <c r="Q18" s="225"/>
      <c r="R18" s="225"/>
      <c r="S18" s="225"/>
      <c r="T18" s="225"/>
      <c r="U18" s="225"/>
      <c r="V18" s="358"/>
    </row>
    <row r="19" spans="1:22" x14ac:dyDescent="0.3">
      <c r="B19" s="360" t="s">
        <v>45</v>
      </c>
      <c r="C19" s="358"/>
      <c r="D19" s="358"/>
      <c r="E19" s="358"/>
      <c r="F19" s="358"/>
      <c r="G19" s="225">
        <v>-200</v>
      </c>
      <c r="H19" s="225">
        <v>-200</v>
      </c>
      <c r="I19" s="225">
        <v>-200</v>
      </c>
      <c r="J19" s="225">
        <v>-200</v>
      </c>
      <c r="K19" s="225">
        <v>-200</v>
      </c>
      <c r="L19" s="225">
        <v>-200</v>
      </c>
      <c r="M19" s="225">
        <v>-200</v>
      </c>
      <c r="N19" s="225">
        <v>-200</v>
      </c>
      <c r="O19" s="225">
        <v>-200</v>
      </c>
      <c r="P19" s="225">
        <v>-200</v>
      </c>
      <c r="Q19" s="225">
        <v>-200</v>
      </c>
      <c r="R19" s="225">
        <v>-200</v>
      </c>
      <c r="S19" s="225"/>
      <c r="T19" s="225"/>
      <c r="U19" s="225"/>
      <c r="V19" s="225">
        <f>SUM(G19:R19)</f>
        <v>-2400</v>
      </c>
    </row>
    <row r="20" spans="1:22" x14ac:dyDescent="0.3">
      <c r="B20" s="360" t="s">
        <v>161</v>
      </c>
      <c r="C20" s="358"/>
      <c r="D20" s="358"/>
      <c r="E20" s="358"/>
      <c r="F20" s="358"/>
      <c r="G20" s="225">
        <f>'IS 2027'!F60</f>
        <v>0</v>
      </c>
      <c r="H20" s="225">
        <f>'IS 2027'!G60</f>
        <v>0</v>
      </c>
      <c r="I20" s="225">
        <f>'IS 2027'!H60</f>
        <v>0</v>
      </c>
      <c r="J20" s="225">
        <f>'IS 2027'!I60</f>
        <v>0</v>
      </c>
      <c r="K20" s="225">
        <f>'IS 2027'!J60</f>
        <v>0</v>
      </c>
      <c r="L20" s="225">
        <f>'IS 2027'!K60</f>
        <v>0</v>
      </c>
      <c r="M20" s="225">
        <f>'IS 2027'!L60</f>
        <v>0</v>
      </c>
      <c r="N20" s="225">
        <f>'IS 2027'!M60</f>
        <v>0</v>
      </c>
      <c r="O20" s="225">
        <f>'IS 2027'!N60</f>
        <v>0</v>
      </c>
      <c r="P20" s="225">
        <f>'IS 2027'!O60</f>
        <v>0</v>
      </c>
      <c r="Q20" s="225">
        <f>'IS 2027'!P60</f>
        <v>0</v>
      </c>
      <c r="R20" s="225">
        <f>'IS 2027'!Q60</f>
        <v>0</v>
      </c>
      <c r="S20" s="225"/>
      <c r="T20" s="225"/>
      <c r="U20" s="225"/>
      <c r="V20" s="358"/>
    </row>
    <row r="21" spans="1:22" x14ac:dyDescent="0.3">
      <c r="B21" s="360" t="s">
        <v>162</v>
      </c>
      <c r="C21" s="358"/>
      <c r="D21" s="358"/>
      <c r="E21" s="358"/>
      <c r="F21" s="358"/>
      <c r="G21" s="225">
        <f>'IS 2027'!F62</f>
        <v>-186276.06675000003</v>
      </c>
      <c r="H21" s="225">
        <f>'IS 2027'!G62</f>
        <v>-187517.95874999999</v>
      </c>
      <c r="I21" s="225">
        <f>'IS 2027'!H62</f>
        <v>-191274.47945000004</v>
      </c>
      <c r="J21" s="225">
        <f>'IS 2027'!I62</f>
        <v>-192516.37144999998</v>
      </c>
      <c r="K21" s="225">
        <f>'IS 2027'!J62</f>
        <v>-193758.26344999997</v>
      </c>
      <c r="L21" s="225">
        <f>'IS 2027'!K62</f>
        <v>-195000.15545000008</v>
      </c>
      <c r="M21" s="225">
        <f>'IS 2027'!L62</f>
        <v>-198089.36179999998</v>
      </c>
      <c r="N21" s="225">
        <f>'IS 2027'!M62</f>
        <v>-199331.25380000003</v>
      </c>
      <c r="O21" s="225">
        <f>'IS 2027'!N62</f>
        <v>-204267.77450000003</v>
      </c>
      <c r="P21" s="225">
        <f>'IS 2027'!O62</f>
        <v>-205509.66650000002</v>
      </c>
      <c r="Q21" s="225">
        <f>'IS 2027'!P62</f>
        <v>-206751.55850000001</v>
      </c>
      <c r="R21" s="225">
        <f>'IS 2027'!Q62</f>
        <v>-210240.25050000005</v>
      </c>
      <c r="S21" s="358"/>
      <c r="T21" s="358"/>
      <c r="U21" s="358"/>
      <c r="V21" s="358"/>
    </row>
    <row r="22" spans="1:22" x14ac:dyDescent="0.3">
      <c r="A22" s="156"/>
      <c r="B22" s="186" t="s">
        <v>163</v>
      </c>
      <c r="C22" s="156"/>
      <c r="D22" s="156"/>
      <c r="E22" s="156"/>
      <c r="F22" s="156"/>
      <c r="G22" s="164">
        <f>G11</f>
        <v>1000887.3337500001</v>
      </c>
      <c r="H22" s="164">
        <f t="shared" ref="H22:R22" si="1">H11</f>
        <v>1007096.79375</v>
      </c>
      <c r="I22" s="164">
        <f t="shared" si="1"/>
        <v>1031779.3972500002</v>
      </c>
      <c r="J22" s="164">
        <f t="shared" si="1"/>
        <v>1037988.8572499999</v>
      </c>
      <c r="K22" s="164">
        <f t="shared" si="1"/>
        <v>1044198.3172499998</v>
      </c>
      <c r="L22" s="164">
        <f t="shared" si="1"/>
        <v>1050407.7772500003</v>
      </c>
      <c r="M22" s="164">
        <f t="shared" si="1"/>
        <v>1065853.8089999999</v>
      </c>
      <c r="N22" s="164">
        <f t="shared" si="1"/>
        <v>1072063.2690000001</v>
      </c>
      <c r="O22" s="164">
        <f t="shared" si="1"/>
        <v>1096745.8725000001</v>
      </c>
      <c r="P22" s="164">
        <f t="shared" si="1"/>
        <v>1102955.3325</v>
      </c>
      <c r="Q22" s="164">
        <f t="shared" si="1"/>
        <v>1109164.7925</v>
      </c>
      <c r="R22" s="164">
        <f t="shared" si="1"/>
        <v>1115374.2525000002</v>
      </c>
      <c r="S22" s="164"/>
      <c r="T22" s="164"/>
      <c r="U22" s="164"/>
      <c r="V22" s="164">
        <f>SUM(G22:R22)</f>
        <v>12734515.804499999</v>
      </c>
    </row>
    <row r="23" spans="1:22" x14ac:dyDescent="0.3">
      <c r="A23" s="157"/>
      <c r="B23" s="212" t="s">
        <v>164</v>
      </c>
      <c r="C23" s="157"/>
      <c r="D23" s="157"/>
      <c r="E23" s="157"/>
      <c r="F23" s="157"/>
      <c r="G23" s="158">
        <f>SUM(G19:G21)</f>
        <v>-186476.06675000003</v>
      </c>
      <c r="H23" s="158">
        <f t="shared" ref="H23:R23" si="2">SUM(H19:H21)</f>
        <v>-187717.95874999999</v>
      </c>
      <c r="I23" s="158">
        <f t="shared" si="2"/>
        <v>-191474.47945000004</v>
      </c>
      <c r="J23" s="158">
        <f t="shared" si="2"/>
        <v>-192716.37144999998</v>
      </c>
      <c r="K23" s="158">
        <f t="shared" si="2"/>
        <v>-193958.26344999997</v>
      </c>
      <c r="L23" s="158">
        <f t="shared" si="2"/>
        <v>-195200.15545000008</v>
      </c>
      <c r="M23" s="158">
        <f t="shared" si="2"/>
        <v>-198289.36179999998</v>
      </c>
      <c r="N23" s="158">
        <f t="shared" si="2"/>
        <v>-199531.25380000003</v>
      </c>
      <c r="O23" s="158">
        <f t="shared" si="2"/>
        <v>-204467.77450000003</v>
      </c>
      <c r="P23" s="158">
        <f t="shared" si="2"/>
        <v>-205709.66650000002</v>
      </c>
      <c r="Q23" s="158">
        <f t="shared" si="2"/>
        <v>-206951.55850000001</v>
      </c>
      <c r="R23" s="158">
        <f t="shared" si="2"/>
        <v>-210440.25050000005</v>
      </c>
      <c r="S23" s="158"/>
      <c r="T23" s="158"/>
      <c r="U23" s="158"/>
      <c r="V23" s="158">
        <f>SUM(G23:R23)</f>
        <v>-2372933.1609</v>
      </c>
    </row>
    <row r="24" spans="1:22" x14ac:dyDescent="0.3">
      <c r="B24" s="159" t="s">
        <v>165</v>
      </c>
      <c r="C24" s="159"/>
      <c r="D24" s="159"/>
      <c r="E24" s="159"/>
      <c r="F24" s="159"/>
      <c r="G24" s="160">
        <f>'IS 2027'!F63+G35</f>
        <v>745104.26700000011</v>
      </c>
      <c r="H24" s="160">
        <f>'IS 2027'!G63+H35</f>
        <v>750071.83499999996</v>
      </c>
      <c r="I24" s="160">
        <f>'IS 2027'!H63+I35</f>
        <v>765097.91780000017</v>
      </c>
      <c r="J24" s="160">
        <f>'IS 2027'!I63+J35</f>
        <v>770065.48579999991</v>
      </c>
      <c r="K24" s="160">
        <f>'IS 2027'!J63+K35</f>
        <v>775033.05379999988</v>
      </c>
      <c r="L24" s="160">
        <f>'IS 2027'!K63+L35</f>
        <v>780000.6218000002</v>
      </c>
      <c r="M24" s="160">
        <f>'IS 2027'!L63+M35</f>
        <v>792357.44719999994</v>
      </c>
      <c r="N24" s="160">
        <f>'IS 2027'!M63+N35</f>
        <v>797325.01520000002</v>
      </c>
      <c r="O24" s="160">
        <f>'IS 2027'!N63+O35</f>
        <v>817071.098</v>
      </c>
      <c r="P24" s="160">
        <f>'IS 2027'!O63+P35</f>
        <v>822038.66599999997</v>
      </c>
      <c r="Q24" s="160">
        <f>'IS 2027'!P63+Q35</f>
        <v>827006.23399999994</v>
      </c>
      <c r="R24" s="160">
        <f>'IS 2027'!Q63+R35</f>
        <v>840961.00200000009</v>
      </c>
      <c r="S24" s="160"/>
      <c r="T24" s="160"/>
      <c r="U24" s="160"/>
      <c r="V24" s="160">
        <f>SUM(G24:R24)</f>
        <v>9482132.6436000001</v>
      </c>
    </row>
    <row r="25" spans="1:22" x14ac:dyDescent="0.3">
      <c r="B25" s="159" t="s">
        <v>209</v>
      </c>
      <c r="C25" s="159"/>
      <c r="D25" s="159"/>
      <c r="E25" s="159"/>
      <c r="F25" s="159"/>
      <c r="G25" s="160">
        <f>G24-'IS 2027'!F58</f>
        <v>746860.26700000011</v>
      </c>
      <c r="H25" s="160">
        <f>H24-'IS 2027'!G58</f>
        <v>751827.83499999996</v>
      </c>
      <c r="I25" s="160">
        <f>I24-'IS 2027'!H58</f>
        <v>766853.91780000017</v>
      </c>
      <c r="J25" s="160">
        <f>J24-'IS 2027'!I58</f>
        <v>771821.48579999991</v>
      </c>
      <c r="K25" s="160">
        <f>K24-'IS 2027'!J58</f>
        <v>776789.05379999988</v>
      </c>
      <c r="L25" s="160">
        <f>L24-'IS 2027'!K58</f>
        <v>781756.6218000002</v>
      </c>
      <c r="M25" s="160">
        <f>M24-'IS 2027'!L58</f>
        <v>794113.44719999994</v>
      </c>
      <c r="N25" s="160">
        <f>N24-'IS 2027'!M58</f>
        <v>799125.01520000002</v>
      </c>
      <c r="O25" s="160">
        <f>O24-'IS 2027'!N58</f>
        <v>818871.098</v>
      </c>
      <c r="P25" s="160">
        <f>P24-'IS 2027'!O58</f>
        <v>823838.66599999997</v>
      </c>
      <c r="Q25" s="160">
        <f>Q24-'IS 2027'!P58</f>
        <v>828806.23399999994</v>
      </c>
      <c r="R25" s="160">
        <f>R24-'IS 2027'!Q58</f>
        <v>842761.00200000009</v>
      </c>
      <c r="S25" s="160"/>
      <c r="T25" s="160"/>
      <c r="U25" s="160"/>
      <c r="V25" s="160"/>
    </row>
    <row r="26" spans="1:22" x14ac:dyDescent="0.3">
      <c r="B26" s="364" t="s">
        <v>166</v>
      </c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358"/>
    </row>
    <row r="27" spans="1:22" x14ac:dyDescent="0.3">
      <c r="B27" s="366" t="s">
        <v>167</v>
      </c>
      <c r="C27" s="159"/>
      <c r="D27" s="159"/>
      <c r="E27" s="159"/>
      <c r="F27" s="159"/>
      <c r="G27" s="160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60"/>
      <c r="T27" s="159"/>
      <c r="U27" s="159"/>
      <c r="V27" s="358"/>
    </row>
    <row r="28" spans="1:22" x14ac:dyDescent="0.3">
      <c r="B28" s="367" t="s">
        <v>127</v>
      </c>
      <c r="C28" s="159"/>
      <c r="D28" s="159"/>
      <c r="E28" s="159"/>
      <c r="F28" s="159"/>
      <c r="G28" s="160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368"/>
      <c r="T28" s="159"/>
      <c r="U28" s="159"/>
      <c r="V28" s="358"/>
    </row>
    <row r="29" spans="1:22" x14ac:dyDescent="0.3">
      <c r="B29" s="366" t="s">
        <v>168</v>
      </c>
      <c r="C29" s="159"/>
      <c r="D29" s="159"/>
      <c r="E29" s="159"/>
      <c r="F29" s="159"/>
      <c r="G29" s="160">
        <f>SUM(G27:G28)</f>
        <v>0</v>
      </c>
      <c r="H29" s="160">
        <f t="shared" ref="H29:R29" si="3">SUM(H27:H28)</f>
        <v>0</v>
      </c>
      <c r="I29" s="160">
        <f t="shared" si="3"/>
        <v>0</v>
      </c>
      <c r="J29" s="160">
        <f t="shared" si="3"/>
        <v>0</v>
      </c>
      <c r="K29" s="160">
        <f t="shared" si="3"/>
        <v>0</v>
      </c>
      <c r="L29" s="160">
        <f t="shared" si="3"/>
        <v>0</v>
      </c>
      <c r="M29" s="160">
        <f t="shared" si="3"/>
        <v>0</v>
      </c>
      <c r="N29" s="160">
        <f t="shared" si="3"/>
        <v>0</v>
      </c>
      <c r="O29" s="160">
        <f t="shared" si="3"/>
        <v>0</v>
      </c>
      <c r="P29" s="160">
        <f t="shared" si="3"/>
        <v>0</v>
      </c>
      <c r="Q29" s="160">
        <f t="shared" si="3"/>
        <v>0</v>
      </c>
      <c r="R29" s="160">
        <f t="shared" si="3"/>
        <v>0</v>
      </c>
      <c r="S29" s="160"/>
      <c r="T29" s="160"/>
      <c r="U29" s="160"/>
      <c r="V29" s="358"/>
    </row>
    <row r="30" spans="1:22" x14ac:dyDescent="0.3">
      <c r="B30" s="369" t="s">
        <v>169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358"/>
    </row>
    <row r="31" spans="1:22" x14ac:dyDescent="0.3">
      <c r="B31" s="360" t="s">
        <v>170</v>
      </c>
      <c r="C31" s="358"/>
      <c r="D31" s="358"/>
      <c r="E31" s="358"/>
      <c r="F31" s="358"/>
      <c r="G31" s="225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</row>
    <row r="32" spans="1:22" x14ac:dyDescent="0.3">
      <c r="B32" s="362" t="s">
        <v>127</v>
      </c>
      <c r="C32" s="358"/>
      <c r="D32" s="358"/>
      <c r="E32" s="358"/>
      <c r="F32" s="358"/>
      <c r="G32" s="225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</row>
    <row r="33" spans="1:22" x14ac:dyDescent="0.3">
      <c r="B33" s="362" t="s">
        <v>128</v>
      </c>
      <c r="C33" s="358"/>
      <c r="D33" s="358"/>
      <c r="E33" s="358"/>
      <c r="F33" s="358"/>
      <c r="G33" s="225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</row>
    <row r="34" spans="1:22" x14ac:dyDescent="0.3">
      <c r="B34" s="362" t="s">
        <v>129</v>
      </c>
      <c r="C34" s="358"/>
      <c r="D34" s="358"/>
      <c r="E34" s="358"/>
      <c r="F34" s="358"/>
      <c r="G34" s="225"/>
      <c r="H34" s="358"/>
      <c r="I34" s="358"/>
      <c r="J34" s="358"/>
      <c r="K34" s="358"/>
      <c r="L34" s="358"/>
      <c r="M34" s="358"/>
      <c r="N34" s="358"/>
      <c r="O34" s="358"/>
      <c r="P34" s="358"/>
      <c r="Q34" s="358"/>
      <c r="R34" s="358"/>
      <c r="S34" s="358"/>
      <c r="T34" s="358"/>
      <c r="U34" s="358"/>
      <c r="V34" s="358"/>
    </row>
    <row r="35" spans="1:22" x14ac:dyDescent="0.3">
      <c r="B35" s="360" t="s">
        <v>171</v>
      </c>
      <c r="C35" s="358"/>
      <c r="D35" s="358"/>
      <c r="E35" s="358"/>
      <c r="F35" s="358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>
        <f>SUM(G31:R35)</f>
        <v>0</v>
      </c>
    </row>
    <row r="36" spans="1:22" x14ac:dyDescent="0.3">
      <c r="B36" s="362" t="s">
        <v>127</v>
      </c>
      <c r="C36" s="358"/>
      <c r="D36" s="358"/>
      <c r="E36" s="358"/>
      <c r="F36" s="358"/>
      <c r="G36" s="358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358"/>
    </row>
    <row r="37" spans="1:22" x14ac:dyDescent="0.3">
      <c r="B37" s="360" t="s">
        <v>172</v>
      </c>
      <c r="C37" s="358"/>
      <c r="D37" s="358"/>
      <c r="E37" s="358"/>
      <c r="F37" s="358"/>
      <c r="G37" s="225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</row>
    <row r="38" spans="1:22" x14ac:dyDescent="0.3">
      <c r="B38" s="362" t="s">
        <v>127</v>
      </c>
      <c r="C38" s="358"/>
      <c r="D38" s="358"/>
      <c r="E38" s="358"/>
      <c r="F38" s="358"/>
      <c r="G38" s="225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</row>
    <row r="39" spans="1:22" x14ac:dyDescent="0.3">
      <c r="B39" s="360" t="s">
        <v>173</v>
      </c>
      <c r="C39" s="358"/>
      <c r="D39" s="358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</row>
    <row r="40" spans="1:22" x14ac:dyDescent="0.3">
      <c r="B40" s="362" t="s">
        <v>127</v>
      </c>
      <c r="C40" s="358"/>
      <c r="D40" s="358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58"/>
      <c r="P40" s="358"/>
      <c r="Q40" s="358"/>
      <c r="R40" s="358"/>
      <c r="S40" s="358"/>
      <c r="T40" s="358"/>
      <c r="U40" s="358"/>
      <c r="V40" s="358"/>
    </row>
    <row r="41" spans="1:22" x14ac:dyDescent="0.3">
      <c r="B41" s="360" t="s">
        <v>174</v>
      </c>
      <c r="C41" s="358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</row>
    <row r="42" spans="1:22" x14ac:dyDescent="0.3">
      <c r="B42" s="362" t="s">
        <v>127</v>
      </c>
      <c r="C42" s="358"/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</row>
    <row r="43" spans="1:22" x14ac:dyDescent="0.3">
      <c r="B43" s="360" t="s">
        <v>52</v>
      </c>
      <c r="C43" s="358"/>
      <c r="D43" s="358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</row>
    <row r="44" spans="1:22" x14ac:dyDescent="0.3">
      <c r="B44" s="360" t="s">
        <v>175</v>
      </c>
      <c r="C44" s="358"/>
      <c r="D44" s="358"/>
      <c r="E44" s="358"/>
      <c r="F44" s="358"/>
      <c r="G44" s="225">
        <f>SUM(G31:G43)</f>
        <v>0</v>
      </c>
      <c r="H44" s="225">
        <f t="shared" ref="H44:R44" si="4">SUM(H31:H43)</f>
        <v>0</v>
      </c>
      <c r="I44" s="225">
        <f t="shared" si="4"/>
        <v>0</v>
      </c>
      <c r="J44" s="225">
        <f t="shared" si="4"/>
        <v>0</v>
      </c>
      <c r="K44" s="225">
        <f t="shared" si="4"/>
        <v>0</v>
      </c>
      <c r="L44" s="225">
        <f t="shared" si="4"/>
        <v>0</v>
      </c>
      <c r="M44" s="225">
        <f t="shared" si="4"/>
        <v>0</v>
      </c>
      <c r="N44" s="225">
        <f t="shared" si="4"/>
        <v>0</v>
      </c>
      <c r="O44" s="225">
        <f t="shared" si="4"/>
        <v>0</v>
      </c>
      <c r="P44" s="225">
        <f t="shared" si="4"/>
        <v>0</v>
      </c>
      <c r="Q44" s="225">
        <f t="shared" si="4"/>
        <v>0</v>
      </c>
      <c r="R44" s="225">
        <f t="shared" si="4"/>
        <v>0</v>
      </c>
      <c r="S44" s="225"/>
      <c r="T44" s="225"/>
      <c r="U44" s="225"/>
      <c r="V44" s="358"/>
    </row>
    <row r="45" spans="1:22" x14ac:dyDescent="0.3">
      <c r="B45" s="370" t="s">
        <v>176</v>
      </c>
      <c r="C45" s="371"/>
      <c r="D45" s="371"/>
      <c r="E45" s="371"/>
      <c r="F45" s="371"/>
      <c r="G45" s="373">
        <f>G54</f>
        <v>814411.26700000011</v>
      </c>
      <c r="H45" s="373">
        <f>H24+H44</f>
        <v>750071.83499999996</v>
      </c>
      <c r="I45" s="373">
        <f>I24+I44</f>
        <v>765097.91780000017</v>
      </c>
      <c r="J45" s="373">
        <f>J24+J44</f>
        <v>770065.48579999991</v>
      </c>
      <c r="K45" s="373">
        <f t="shared" ref="K45:R45" si="5">K24+K44</f>
        <v>775033.05379999988</v>
      </c>
      <c r="L45" s="373">
        <f t="shared" si="5"/>
        <v>780000.6218000002</v>
      </c>
      <c r="M45" s="373">
        <f t="shared" si="5"/>
        <v>792357.44719999994</v>
      </c>
      <c r="N45" s="373">
        <f t="shared" si="5"/>
        <v>797325.01520000002</v>
      </c>
      <c r="O45" s="373">
        <f t="shared" si="5"/>
        <v>817071.098</v>
      </c>
      <c r="P45" s="373">
        <f t="shared" si="5"/>
        <v>822038.66599999997</v>
      </c>
      <c r="Q45" s="373">
        <f t="shared" si="5"/>
        <v>827006.23399999994</v>
      </c>
      <c r="R45" s="373">
        <f t="shared" si="5"/>
        <v>840961.00200000009</v>
      </c>
      <c r="S45" s="373"/>
      <c r="T45" s="373"/>
      <c r="U45" s="373"/>
      <c r="V45" s="373">
        <f>SUM(G45:R45)</f>
        <v>9551439.6436000001</v>
      </c>
    </row>
    <row r="46" spans="1:22" x14ac:dyDescent="0.3">
      <c r="A46" s="156"/>
      <c r="B46" s="183" t="s">
        <v>177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</row>
    <row r="47" spans="1:22" x14ac:dyDescent="0.3">
      <c r="B47" s="374" t="s">
        <v>168</v>
      </c>
      <c r="C47" s="374"/>
      <c r="D47" s="374"/>
      <c r="E47" s="374"/>
      <c r="F47" s="374"/>
      <c r="G47" s="376">
        <f>G29</f>
        <v>0</v>
      </c>
      <c r="H47" s="376">
        <f t="shared" ref="H47:R47" si="6">H29</f>
        <v>0</v>
      </c>
      <c r="I47" s="376">
        <f t="shared" si="6"/>
        <v>0</v>
      </c>
      <c r="J47" s="376">
        <f t="shared" si="6"/>
        <v>0</v>
      </c>
      <c r="K47" s="376">
        <f t="shared" si="6"/>
        <v>0</v>
      </c>
      <c r="L47" s="376">
        <f t="shared" si="6"/>
        <v>0</v>
      </c>
      <c r="M47" s="376">
        <f t="shared" si="6"/>
        <v>0</v>
      </c>
      <c r="N47" s="376">
        <f t="shared" si="6"/>
        <v>0</v>
      </c>
      <c r="O47" s="376">
        <f t="shared" si="6"/>
        <v>0</v>
      </c>
      <c r="P47" s="376">
        <f t="shared" si="6"/>
        <v>0</v>
      </c>
      <c r="Q47" s="376">
        <f t="shared" si="6"/>
        <v>0</v>
      </c>
      <c r="R47" s="376">
        <f t="shared" si="6"/>
        <v>0</v>
      </c>
      <c r="S47" s="206"/>
      <c r="T47" s="206"/>
      <c r="U47" s="206"/>
    </row>
    <row r="48" spans="1:22" x14ac:dyDescent="0.3">
      <c r="B48" s="159" t="s">
        <v>175</v>
      </c>
      <c r="C48" s="159"/>
      <c r="D48" s="159"/>
      <c r="E48" s="159"/>
      <c r="F48" s="159"/>
      <c r="G48" s="160">
        <f>G44</f>
        <v>0</v>
      </c>
      <c r="H48" s="160">
        <f t="shared" ref="H48:R48" si="7">H44</f>
        <v>0</v>
      </c>
      <c r="I48" s="160">
        <f t="shared" si="7"/>
        <v>0</v>
      </c>
      <c r="J48" s="160">
        <f t="shared" si="7"/>
        <v>0</v>
      </c>
      <c r="K48" s="160">
        <f t="shared" si="7"/>
        <v>0</v>
      </c>
      <c r="L48" s="160">
        <f t="shared" si="7"/>
        <v>0</v>
      </c>
      <c r="M48" s="160">
        <f t="shared" si="7"/>
        <v>0</v>
      </c>
      <c r="N48" s="160">
        <f t="shared" si="7"/>
        <v>0</v>
      </c>
      <c r="O48" s="160">
        <f t="shared" si="7"/>
        <v>0</v>
      </c>
      <c r="P48" s="160">
        <f t="shared" si="7"/>
        <v>0</v>
      </c>
      <c r="Q48" s="160">
        <f t="shared" si="7"/>
        <v>0</v>
      </c>
      <c r="R48" s="160">
        <f t="shared" si="7"/>
        <v>0</v>
      </c>
      <c r="S48" s="140"/>
      <c r="T48" s="140"/>
      <c r="U48" s="140"/>
    </row>
    <row r="49" spans="1:22" x14ac:dyDescent="0.3">
      <c r="B49" s="159" t="s">
        <v>44</v>
      </c>
      <c r="C49" s="159"/>
      <c r="D49" s="159"/>
      <c r="E49" s="159"/>
      <c r="F49" s="159"/>
      <c r="G49" s="160">
        <f>G11</f>
        <v>1000887.3337500001</v>
      </c>
      <c r="H49" s="160">
        <f t="shared" ref="H49:R49" si="8">H11</f>
        <v>1007096.79375</v>
      </c>
      <c r="I49" s="160">
        <f t="shared" si="8"/>
        <v>1031779.3972500002</v>
      </c>
      <c r="J49" s="160">
        <f t="shared" si="8"/>
        <v>1037988.8572499999</v>
      </c>
      <c r="K49" s="160">
        <f t="shared" si="8"/>
        <v>1044198.3172499998</v>
      </c>
      <c r="L49" s="160">
        <f t="shared" si="8"/>
        <v>1050407.7772500003</v>
      </c>
      <c r="M49" s="160">
        <f t="shared" si="8"/>
        <v>1065853.8089999999</v>
      </c>
      <c r="N49" s="160">
        <f t="shared" si="8"/>
        <v>1072063.2690000001</v>
      </c>
      <c r="O49" s="160">
        <f t="shared" si="8"/>
        <v>1096745.8725000001</v>
      </c>
      <c r="P49" s="160">
        <f t="shared" si="8"/>
        <v>1102955.3325</v>
      </c>
      <c r="Q49" s="160">
        <f t="shared" si="8"/>
        <v>1109164.7925</v>
      </c>
      <c r="R49" s="160">
        <f t="shared" si="8"/>
        <v>1115374.2525000002</v>
      </c>
      <c r="S49" s="140"/>
      <c r="T49" s="140"/>
      <c r="U49" s="140"/>
    </row>
    <row r="50" spans="1:22" x14ac:dyDescent="0.3">
      <c r="B50" s="159" t="s">
        <v>45</v>
      </c>
      <c r="C50" s="159"/>
      <c r="D50" s="159"/>
      <c r="E50" s="159"/>
      <c r="F50" s="159"/>
      <c r="G50" s="160">
        <f>G19</f>
        <v>-200</v>
      </c>
      <c r="H50" s="160">
        <f t="shared" ref="H50:R50" si="9">H19</f>
        <v>-200</v>
      </c>
      <c r="I50" s="160">
        <f t="shared" si="9"/>
        <v>-200</v>
      </c>
      <c r="J50" s="160">
        <f t="shared" si="9"/>
        <v>-200</v>
      </c>
      <c r="K50" s="160">
        <f t="shared" si="9"/>
        <v>-200</v>
      </c>
      <c r="L50" s="160">
        <f t="shared" si="9"/>
        <v>-200</v>
      </c>
      <c r="M50" s="160">
        <f t="shared" si="9"/>
        <v>-200</v>
      </c>
      <c r="N50" s="160">
        <f t="shared" si="9"/>
        <v>-200</v>
      </c>
      <c r="O50" s="160">
        <f t="shared" si="9"/>
        <v>-200</v>
      </c>
      <c r="P50" s="160">
        <f t="shared" si="9"/>
        <v>-200</v>
      </c>
      <c r="Q50" s="160">
        <f t="shared" si="9"/>
        <v>-200</v>
      </c>
      <c r="R50" s="160">
        <f t="shared" si="9"/>
        <v>-200</v>
      </c>
      <c r="S50" s="140"/>
      <c r="T50" s="140"/>
      <c r="U50" s="140"/>
    </row>
    <row r="51" spans="1:22" x14ac:dyDescent="0.3">
      <c r="B51" s="159" t="s">
        <v>178</v>
      </c>
      <c r="C51" s="159"/>
      <c r="D51" s="159"/>
      <c r="E51" s="159"/>
      <c r="F51" s="159"/>
      <c r="G51" s="160">
        <f>SUM(G47:G50)</f>
        <v>1000687.3337500001</v>
      </c>
      <c r="H51" s="160">
        <f t="shared" ref="H51:R51" si="10">SUM(H47:H50)</f>
        <v>1006896.79375</v>
      </c>
      <c r="I51" s="160">
        <f t="shared" si="10"/>
        <v>1031579.3972500002</v>
      </c>
      <c r="J51" s="160">
        <f t="shared" si="10"/>
        <v>1037788.8572499999</v>
      </c>
      <c r="K51" s="160">
        <f t="shared" si="10"/>
        <v>1043998.3172499998</v>
      </c>
      <c r="L51" s="160">
        <f t="shared" si="10"/>
        <v>1050207.7772500003</v>
      </c>
      <c r="M51" s="160">
        <f t="shared" si="10"/>
        <v>1065653.8089999999</v>
      </c>
      <c r="N51" s="160">
        <f t="shared" si="10"/>
        <v>1071863.2690000001</v>
      </c>
      <c r="O51" s="160">
        <f t="shared" si="10"/>
        <v>1096545.8725000001</v>
      </c>
      <c r="P51" s="160">
        <f t="shared" si="10"/>
        <v>1102755.3325</v>
      </c>
      <c r="Q51" s="160">
        <f t="shared" si="10"/>
        <v>1108964.7925</v>
      </c>
      <c r="R51" s="160">
        <f t="shared" si="10"/>
        <v>1115174.2525000002</v>
      </c>
      <c r="S51" s="140"/>
      <c r="T51" s="140"/>
      <c r="U51" s="140"/>
    </row>
    <row r="52" spans="1:22" x14ac:dyDescent="0.3">
      <c r="B52" s="159" t="s">
        <v>161</v>
      </c>
      <c r="C52" s="159"/>
      <c r="D52" s="159"/>
      <c r="E52" s="159"/>
      <c r="F52" s="159"/>
      <c r="G52" s="160">
        <f>G20</f>
        <v>0</v>
      </c>
      <c r="H52" s="160">
        <f t="shared" ref="H52:R52" si="11">H20</f>
        <v>0</v>
      </c>
      <c r="I52" s="160">
        <f t="shared" si="11"/>
        <v>0</v>
      </c>
      <c r="J52" s="160">
        <f t="shared" si="11"/>
        <v>0</v>
      </c>
      <c r="K52" s="160">
        <f t="shared" si="11"/>
        <v>0</v>
      </c>
      <c r="L52" s="160">
        <f t="shared" si="11"/>
        <v>0</v>
      </c>
      <c r="M52" s="160">
        <f t="shared" si="11"/>
        <v>0</v>
      </c>
      <c r="N52" s="160">
        <f t="shared" si="11"/>
        <v>0</v>
      </c>
      <c r="O52" s="160">
        <f t="shared" si="11"/>
        <v>0</v>
      </c>
      <c r="P52" s="160">
        <f t="shared" si="11"/>
        <v>0</v>
      </c>
      <c r="Q52" s="160">
        <f t="shared" si="11"/>
        <v>0</v>
      </c>
      <c r="R52" s="160">
        <f t="shared" si="11"/>
        <v>0</v>
      </c>
      <c r="S52" s="140"/>
      <c r="T52" s="140"/>
      <c r="U52" s="140"/>
    </row>
    <row r="53" spans="1:22" x14ac:dyDescent="0.3">
      <c r="B53" s="159" t="s">
        <v>162</v>
      </c>
      <c r="C53" s="159"/>
      <c r="D53" s="159"/>
      <c r="E53" s="159"/>
      <c r="F53" s="159"/>
      <c r="G53" s="379">
        <f>G21</f>
        <v>-186276.06675000003</v>
      </c>
      <c r="H53" s="379">
        <f t="shared" ref="H53:R53" si="12">H21</f>
        <v>-187517.95874999999</v>
      </c>
      <c r="I53" s="379">
        <f t="shared" si="12"/>
        <v>-191274.47945000004</v>
      </c>
      <c r="J53" s="379">
        <f t="shared" si="12"/>
        <v>-192516.37144999998</v>
      </c>
      <c r="K53" s="379">
        <f t="shared" si="12"/>
        <v>-193758.26344999997</v>
      </c>
      <c r="L53" s="379">
        <f t="shared" si="12"/>
        <v>-195000.15545000008</v>
      </c>
      <c r="M53" s="379">
        <f t="shared" si="12"/>
        <v>-198089.36179999998</v>
      </c>
      <c r="N53" s="379">
        <f t="shared" si="12"/>
        <v>-199331.25380000003</v>
      </c>
      <c r="O53" s="379">
        <f t="shared" si="12"/>
        <v>-204267.77450000003</v>
      </c>
      <c r="P53" s="379">
        <f t="shared" si="12"/>
        <v>-205509.66650000002</v>
      </c>
      <c r="Q53" s="379">
        <f t="shared" si="12"/>
        <v>-206751.55850000001</v>
      </c>
      <c r="R53" s="379">
        <f t="shared" si="12"/>
        <v>-210240.25050000005</v>
      </c>
      <c r="S53" s="204"/>
      <c r="T53" s="204"/>
      <c r="U53" s="204"/>
    </row>
    <row r="54" spans="1:22" x14ac:dyDescent="0.3">
      <c r="B54" s="159" t="s">
        <v>176</v>
      </c>
      <c r="C54" s="159"/>
      <c r="D54" s="159"/>
      <c r="E54" s="159"/>
      <c r="F54" s="159"/>
      <c r="G54" s="160">
        <f>SUM(G51:G53)</f>
        <v>814411.26700000011</v>
      </c>
      <c r="H54" s="160">
        <f>SUM(H51:H53)</f>
        <v>819378.83499999996</v>
      </c>
      <c r="I54" s="160">
        <f t="shared" ref="I54:R54" si="13">SUM(I51:I53)</f>
        <v>840304.91780000017</v>
      </c>
      <c r="J54" s="160">
        <f t="shared" si="13"/>
        <v>845272.48579999991</v>
      </c>
      <c r="K54" s="160">
        <f t="shared" si="13"/>
        <v>850240.05379999988</v>
      </c>
      <c r="L54" s="160">
        <f t="shared" si="13"/>
        <v>855207.6218000002</v>
      </c>
      <c r="M54" s="160">
        <f t="shared" si="13"/>
        <v>867564.44719999994</v>
      </c>
      <c r="N54" s="160">
        <f t="shared" si="13"/>
        <v>872532.01520000002</v>
      </c>
      <c r="O54" s="160">
        <f t="shared" si="13"/>
        <v>892278.098</v>
      </c>
      <c r="P54" s="160">
        <f t="shared" si="13"/>
        <v>897245.66599999997</v>
      </c>
      <c r="Q54" s="160">
        <f t="shared" si="13"/>
        <v>902213.23399999994</v>
      </c>
      <c r="R54" s="160">
        <f t="shared" si="13"/>
        <v>904934.00200000009</v>
      </c>
      <c r="S54" s="140"/>
      <c r="T54" s="140"/>
      <c r="U54" s="140"/>
    </row>
    <row r="55" spans="1:22" x14ac:dyDescent="0.3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2" x14ac:dyDescent="0.3">
      <c r="A56" s="156"/>
      <c r="B56" s="183" t="s">
        <v>179</v>
      </c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</row>
    <row r="57" spans="1:22" x14ac:dyDescent="0.3">
      <c r="B57" s="358" t="s">
        <v>180</v>
      </c>
      <c r="C57" s="358"/>
      <c r="D57" s="358"/>
      <c r="E57" s="358"/>
      <c r="F57" s="358"/>
      <c r="G57" s="225">
        <f>SUM(G24+G29)</f>
        <v>745104.26700000011</v>
      </c>
      <c r="H57" s="225">
        <f t="shared" ref="H57:R57" si="14">SUM(H24+H29)</f>
        <v>750071.83499999996</v>
      </c>
      <c r="I57" s="225">
        <f t="shared" si="14"/>
        <v>765097.91780000017</v>
      </c>
      <c r="J57" s="225">
        <f t="shared" si="14"/>
        <v>770065.48579999991</v>
      </c>
      <c r="K57" s="225">
        <f t="shared" si="14"/>
        <v>775033.05379999988</v>
      </c>
      <c r="L57" s="225">
        <f t="shared" si="14"/>
        <v>780000.6218000002</v>
      </c>
      <c r="M57" s="225">
        <f t="shared" si="14"/>
        <v>792357.44719999994</v>
      </c>
      <c r="N57" s="225">
        <f t="shared" si="14"/>
        <v>797325.01520000002</v>
      </c>
      <c r="O57" s="225">
        <f t="shared" si="14"/>
        <v>817071.098</v>
      </c>
      <c r="P57" s="225">
        <f t="shared" si="14"/>
        <v>822038.66599999997</v>
      </c>
      <c r="Q57" s="225">
        <f t="shared" si="14"/>
        <v>827006.23399999994</v>
      </c>
      <c r="R57" s="225">
        <f t="shared" si="14"/>
        <v>840961.00200000009</v>
      </c>
      <c r="S57" s="1"/>
      <c r="T57" s="1"/>
      <c r="U57" s="1"/>
    </row>
    <row r="58" spans="1:22" x14ac:dyDescent="0.3">
      <c r="B58" s="358" t="s">
        <v>181</v>
      </c>
      <c r="C58" s="358"/>
      <c r="D58" s="358"/>
      <c r="E58" s="358"/>
      <c r="F58" s="358"/>
      <c r="G58" s="225">
        <f>G54</f>
        <v>814411.26700000011</v>
      </c>
      <c r="H58" s="225">
        <f t="shared" ref="H58:R58" si="15">H54</f>
        <v>819378.83499999996</v>
      </c>
      <c r="I58" s="225">
        <f t="shared" si="15"/>
        <v>840304.91780000017</v>
      </c>
      <c r="J58" s="225">
        <f t="shared" si="15"/>
        <v>845272.48579999991</v>
      </c>
      <c r="K58" s="225">
        <f t="shared" si="15"/>
        <v>850240.05379999988</v>
      </c>
      <c r="L58" s="225">
        <f t="shared" si="15"/>
        <v>855207.6218000002</v>
      </c>
      <c r="M58" s="225">
        <f t="shared" si="15"/>
        <v>867564.44719999994</v>
      </c>
      <c r="N58" s="225">
        <f t="shared" si="15"/>
        <v>872532.01520000002</v>
      </c>
      <c r="O58" s="225">
        <f t="shared" si="15"/>
        <v>892278.098</v>
      </c>
      <c r="P58" s="225">
        <f t="shared" si="15"/>
        <v>897245.66599999997</v>
      </c>
      <c r="Q58" s="225">
        <f t="shared" si="15"/>
        <v>902213.23399999994</v>
      </c>
      <c r="R58" s="225">
        <f t="shared" si="15"/>
        <v>904934.00200000009</v>
      </c>
      <c r="S58" s="1"/>
      <c r="T58" s="1"/>
      <c r="U58" s="1"/>
    </row>
    <row r="59" spans="1:22" x14ac:dyDescent="0.3">
      <c r="B59" s="358" t="s">
        <v>182</v>
      </c>
      <c r="C59" s="358"/>
      <c r="D59" s="358"/>
      <c r="E59" s="358"/>
      <c r="F59" s="358"/>
      <c r="G59" s="225">
        <f>G54</f>
        <v>814411.26700000011</v>
      </c>
      <c r="H59" s="225">
        <f t="shared" ref="H59:R59" si="16">H54</f>
        <v>819378.83499999996</v>
      </c>
      <c r="I59" s="225">
        <f t="shared" si="16"/>
        <v>840304.91780000017</v>
      </c>
      <c r="J59" s="225">
        <f t="shared" si="16"/>
        <v>845272.48579999991</v>
      </c>
      <c r="K59" s="225">
        <f t="shared" si="16"/>
        <v>850240.05379999988</v>
      </c>
      <c r="L59" s="225">
        <f t="shared" si="16"/>
        <v>855207.6218000002</v>
      </c>
      <c r="M59" s="225">
        <f t="shared" si="16"/>
        <v>867564.44719999994</v>
      </c>
      <c r="N59" s="225">
        <f t="shared" si="16"/>
        <v>872532.01520000002</v>
      </c>
      <c r="O59" s="225">
        <f t="shared" si="16"/>
        <v>892278.098</v>
      </c>
      <c r="P59" s="225">
        <f t="shared" si="16"/>
        <v>897245.66599999997</v>
      </c>
      <c r="Q59" s="225">
        <f t="shared" si="16"/>
        <v>902213.23399999994</v>
      </c>
      <c r="R59" s="225">
        <f t="shared" si="16"/>
        <v>904934.00200000009</v>
      </c>
      <c r="S59" s="1"/>
      <c r="T59" s="1"/>
      <c r="U59" s="1"/>
    </row>
    <row r="60" spans="1:22" x14ac:dyDescent="0.3">
      <c r="B60" s="358" t="s">
        <v>174</v>
      </c>
      <c r="C60" s="358"/>
      <c r="D60" s="358"/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8"/>
    </row>
    <row r="61" spans="1:22" x14ac:dyDescent="0.3">
      <c r="B61" s="358" t="s">
        <v>176</v>
      </c>
      <c r="C61" s="358"/>
      <c r="D61" s="358"/>
      <c r="E61" s="358"/>
      <c r="F61" s="358"/>
      <c r="G61" s="225">
        <f>G54</f>
        <v>814411.26700000011</v>
      </c>
      <c r="H61" s="225">
        <f t="shared" ref="H61:R61" si="17">H54</f>
        <v>819378.83499999996</v>
      </c>
      <c r="I61" s="225">
        <f t="shared" si="17"/>
        <v>840304.91780000017</v>
      </c>
      <c r="J61" s="225">
        <f t="shared" si="17"/>
        <v>845272.48579999991</v>
      </c>
      <c r="K61" s="225">
        <f t="shared" si="17"/>
        <v>850240.05379999988</v>
      </c>
      <c r="L61" s="225">
        <f t="shared" si="17"/>
        <v>855207.6218000002</v>
      </c>
      <c r="M61" s="225">
        <f t="shared" si="17"/>
        <v>867564.44719999994</v>
      </c>
      <c r="N61" s="225">
        <f t="shared" si="17"/>
        <v>872532.01520000002</v>
      </c>
      <c r="O61" s="225">
        <f t="shared" si="17"/>
        <v>892278.098</v>
      </c>
      <c r="P61" s="225">
        <f t="shared" si="17"/>
        <v>897245.66599999997</v>
      </c>
      <c r="Q61" s="225">
        <f t="shared" si="17"/>
        <v>902213.23399999994</v>
      </c>
      <c r="R61" s="225">
        <f t="shared" si="17"/>
        <v>904934.00200000009</v>
      </c>
      <c r="S61" s="1"/>
      <c r="T61" s="1"/>
      <c r="U61" s="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06822-5FE7-4DFE-A7E9-38FDCB7ADB3B}">
  <sheetPr codeName="Sheet35"/>
  <dimension ref="A1:Y216"/>
  <sheetViews>
    <sheetView showGridLines="0" workbookViewId="0">
      <selection activeCell="F24" sqref="F24:Q24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88671875" style="136" bestFit="1" customWidth="1"/>
    <col min="7" max="7" width="9.88671875" bestFit="1" customWidth="1"/>
    <col min="8" max="9" width="10.44140625" customWidth="1"/>
    <col min="10" max="10" width="9.6640625" customWidth="1"/>
    <col min="11" max="11" width="10.109375" customWidth="1"/>
    <col min="12" max="12" width="10" customWidth="1"/>
    <col min="13" max="13" width="9.77734375" customWidth="1"/>
    <col min="14" max="14" width="10.44140625" customWidth="1"/>
    <col min="15" max="15" width="9.77734375" customWidth="1"/>
    <col min="16" max="16" width="9.6640625" customWidth="1"/>
    <col min="17" max="17" width="9.88671875" customWidth="1"/>
    <col min="20" max="20" width="9.33203125" customWidth="1"/>
    <col min="21" max="21" width="11.554687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184</v>
      </c>
      <c r="F2"/>
    </row>
    <row r="3" spans="1:25" x14ac:dyDescent="0.3">
      <c r="B3" t="s">
        <v>153</v>
      </c>
      <c r="F3"/>
    </row>
    <row r="4" spans="1:25" x14ac:dyDescent="0.3">
      <c r="F4"/>
    </row>
    <row r="5" spans="1:25" x14ac:dyDescent="0.3">
      <c r="A5" s="156"/>
      <c r="B5" s="183" t="s">
        <v>185</v>
      </c>
      <c r="C5" s="156"/>
      <c r="D5" s="156"/>
      <c r="E5" s="156"/>
      <c r="F5" s="215">
        <v>2027</v>
      </c>
      <c r="G5" s="215">
        <v>2027</v>
      </c>
      <c r="H5" s="215">
        <v>2027</v>
      </c>
      <c r="I5" s="215">
        <v>2027</v>
      </c>
      <c r="J5" s="215">
        <v>2027</v>
      </c>
      <c r="K5" s="215">
        <v>2027</v>
      </c>
      <c r="L5" s="215">
        <v>2027</v>
      </c>
      <c r="M5" s="215">
        <v>2027</v>
      </c>
      <c r="N5" s="215">
        <v>2027</v>
      </c>
      <c r="O5" s="215">
        <v>2027</v>
      </c>
      <c r="P5" s="215">
        <v>2027</v>
      </c>
      <c r="Q5" s="215">
        <v>2027</v>
      </c>
      <c r="R5" s="215">
        <v>2028</v>
      </c>
      <c r="S5" s="215">
        <v>2028</v>
      </c>
      <c r="T5" s="215">
        <v>2028</v>
      </c>
      <c r="U5" s="156"/>
    </row>
    <row r="6" spans="1:25" ht="15" thickBot="1" x14ac:dyDescent="0.35">
      <c r="A6" s="168"/>
      <c r="B6" s="169" t="s">
        <v>71</v>
      </c>
      <c r="C6" s="157"/>
      <c r="D6" s="157"/>
      <c r="E6" s="157"/>
      <c r="F6" s="214" t="s">
        <v>32</v>
      </c>
      <c r="G6" s="214" t="s">
        <v>33</v>
      </c>
      <c r="H6" s="214" t="s">
        <v>34</v>
      </c>
      <c r="I6" s="214" t="s">
        <v>35</v>
      </c>
      <c r="J6" s="214" t="s">
        <v>36</v>
      </c>
      <c r="K6" s="214" t="s">
        <v>37</v>
      </c>
      <c r="L6" s="214" t="s">
        <v>38</v>
      </c>
      <c r="M6" s="214" t="s">
        <v>39</v>
      </c>
      <c r="N6" s="214" t="s">
        <v>40</v>
      </c>
      <c r="O6" s="214" t="s">
        <v>41</v>
      </c>
      <c r="P6" s="214" t="s">
        <v>42</v>
      </c>
      <c r="Q6" s="214" t="s">
        <v>43</v>
      </c>
      <c r="R6" s="214" t="s">
        <v>32</v>
      </c>
      <c r="S6" s="214" t="s">
        <v>33</v>
      </c>
      <c r="T6" s="214" t="s">
        <v>34</v>
      </c>
      <c r="U6" s="211" t="s">
        <v>80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78" t="s">
        <v>186</v>
      </c>
      <c r="F8"/>
    </row>
    <row r="9" spans="1:25" x14ac:dyDescent="0.3">
      <c r="C9" s="179"/>
      <c r="F9"/>
    </row>
    <row r="10" spans="1:25" x14ac:dyDescent="0.3">
      <c r="C10" s="178" t="s">
        <v>55</v>
      </c>
      <c r="F10"/>
      <c r="G10" s="180"/>
      <c r="H10" s="180"/>
      <c r="I10" s="180"/>
      <c r="J10" s="180"/>
      <c r="K10" s="180"/>
      <c r="L10" s="179"/>
      <c r="M10" s="180"/>
      <c r="N10" s="180"/>
      <c r="O10" s="180"/>
      <c r="P10" s="180"/>
      <c r="Q10" s="180"/>
      <c r="R10" s="180"/>
      <c r="S10" s="180"/>
      <c r="T10" s="180"/>
      <c r="V10" s="1"/>
    </row>
    <row r="11" spans="1:25" x14ac:dyDescent="0.3">
      <c r="C11" s="179" t="s">
        <v>187</v>
      </c>
      <c r="F11" s="180">
        <f>'BS 2026'!Q14+'CF 2027'!G54</f>
        <v>30604721.632282294</v>
      </c>
      <c r="G11" s="180">
        <f>F14+'CF 2027'!H54</f>
        <v>31424100.467282295</v>
      </c>
      <c r="H11" s="180">
        <f>G14+'CF 2027'!I54</f>
        <v>32264405.385082297</v>
      </c>
      <c r="I11" s="180">
        <f>H14+'CF 2027'!J54</f>
        <v>33109677.870882295</v>
      </c>
      <c r="J11" s="180">
        <f>I14+'CF 2027'!K54</f>
        <v>33959917.924682297</v>
      </c>
      <c r="K11" s="180">
        <f>J14+'CF 2027'!L54</f>
        <v>34815125.546482295</v>
      </c>
      <c r="L11" s="180">
        <f>K14+'CF 2027'!M54</f>
        <v>35682689.993682295</v>
      </c>
      <c r="M11" s="180">
        <f>L14+'CF 2027'!N54</f>
        <v>36555222.008882292</v>
      </c>
      <c r="N11" s="180">
        <f>M14+'CF 2027'!O54</f>
        <v>37447500.106882289</v>
      </c>
      <c r="O11" s="180">
        <f>N14+'CF 2027'!P54</f>
        <v>38344745.77288229</v>
      </c>
      <c r="P11" s="180">
        <f>O14+'CF 2027'!Q54</f>
        <v>39246959.006882288</v>
      </c>
      <c r="Q11" s="180">
        <f>P14+'CF 2027'!R54</f>
        <v>40151893.008882284</v>
      </c>
      <c r="R11" s="180"/>
      <c r="S11" s="180"/>
      <c r="T11" s="180"/>
      <c r="V11" s="1"/>
    </row>
    <row r="12" spans="1:25" x14ac:dyDescent="0.3">
      <c r="C12" s="179" t="s">
        <v>188</v>
      </c>
      <c r="F12" s="180"/>
      <c r="G12" s="179"/>
      <c r="H12" s="179"/>
      <c r="I12" s="179" t="s">
        <v>205</v>
      </c>
      <c r="J12" s="179"/>
      <c r="K12" s="179" t="s">
        <v>205</v>
      </c>
      <c r="L12" s="179"/>
      <c r="M12" s="179"/>
      <c r="N12" s="179"/>
      <c r="O12" s="179"/>
      <c r="P12" s="179"/>
      <c r="Q12" s="179"/>
      <c r="R12" s="179"/>
      <c r="S12" s="179"/>
      <c r="T12" s="179"/>
      <c r="V12" s="1"/>
    </row>
    <row r="13" spans="1:25" x14ac:dyDescent="0.3">
      <c r="C13" s="179" t="s">
        <v>189</v>
      </c>
      <c r="F13"/>
      <c r="I13" s="180"/>
      <c r="K13" s="180"/>
      <c r="S13" s="180"/>
      <c r="T13" s="180"/>
      <c r="V13" s="1"/>
    </row>
    <row r="14" spans="1:25" x14ac:dyDescent="0.3">
      <c r="C14" s="179" t="s">
        <v>190</v>
      </c>
      <c r="F14" s="180">
        <f>SUM(F11:F13)</f>
        <v>30604721.632282294</v>
      </c>
      <c r="G14" s="180">
        <f t="shared" ref="G14:Q14" si="0">SUM(G11:G13)</f>
        <v>31424100.467282295</v>
      </c>
      <c r="H14" s="180">
        <f t="shared" si="0"/>
        <v>32264405.385082297</v>
      </c>
      <c r="I14" s="180">
        <f t="shared" si="0"/>
        <v>33109677.870882295</v>
      </c>
      <c r="J14" s="180">
        <f t="shared" si="0"/>
        <v>33959917.924682297</v>
      </c>
      <c r="K14" s="180">
        <f t="shared" si="0"/>
        <v>34815125.546482295</v>
      </c>
      <c r="L14" s="180">
        <f t="shared" si="0"/>
        <v>35682689.993682295</v>
      </c>
      <c r="M14" s="180">
        <f t="shared" si="0"/>
        <v>36555222.008882292</v>
      </c>
      <c r="N14" s="180">
        <f t="shared" si="0"/>
        <v>37447500.106882289</v>
      </c>
      <c r="O14" s="180">
        <f t="shared" si="0"/>
        <v>38344745.77288229</v>
      </c>
      <c r="P14" s="180">
        <f t="shared" si="0"/>
        <v>39246959.006882288</v>
      </c>
      <c r="Q14" s="180">
        <f t="shared" si="0"/>
        <v>40151893.008882284</v>
      </c>
      <c r="R14" s="180"/>
      <c r="S14" s="180"/>
      <c r="T14" s="180"/>
      <c r="U14" s="225">
        <f>SUM(F14:Q14)</f>
        <v>423606958.72478753</v>
      </c>
      <c r="V14" s="1"/>
    </row>
    <row r="15" spans="1:25" x14ac:dyDescent="0.3">
      <c r="C15" s="178" t="s">
        <v>56</v>
      </c>
      <c r="F15"/>
      <c r="G15" s="179"/>
      <c r="H15" s="179"/>
      <c r="I15" s="179"/>
      <c r="J15" s="182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V15" s="1"/>
    </row>
    <row r="16" spans="1:25" x14ac:dyDescent="0.3">
      <c r="C16" s="181" t="s">
        <v>191</v>
      </c>
      <c r="F16" s="180">
        <f>'BS 2026'!Q16-'IS 2027'!F58</f>
        <v>532774</v>
      </c>
      <c r="G16" s="180">
        <f>F16-'IS 2026'!G58</f>
        <v>534685</v>
      </c>
      <c r="H16" s="180">
        <f>G16-'IS 2026'!H58</f>
        <v>536596</v>
      </c>
      <c r="I16" s="180">
        <f>H16-'IS 2026'!I58</f>
        <v>538352</v>
      </c>
      <c r="J16" s="180">
        <f>I16-'IS 2026'!J58</f>
        <v>540108</v>
      </c>
      <c r="K16" s="180">
        <f>J16-'IS 2026'!K58</f>
        <v>541864</v>
      </c>
      <c r="L16" s="180">
        <f>K16-'IS 2026'!L58</f>
        <v>543620</v>
      </c>
      <c r="M16" s="180">
        <f>L16-'IS 2026'!M58</f>
        <v>545376</v>
      </c>
      <c r="N16" s="180">
        <f>M16-'IS 2026'!N58</f>
        <v>547132</v>
      </c>
      <c r="O16" s="180">
        <f>N16-'IS 2026'!O58</f>
        <v>548888</v>
      </c>
      <c r="P16" s="180">
        <f>O16-'IS 2026'!P58</f>
        <v>550644</v>
      </c>
      <c r="Q16" s="180">
        <f>P16-'IS 2026'!Q58</f>
        <v>552400</v>
      </c>
      <c r="R16" s="180"/>
      <c r="S16" s="187"/>
      <c r="T16" s="187"/>
      <c r="V16" s="1"/>
    </row>
    <row r="17" spans="1:22" x14ac:dyDescent="0.3">
      <c r="C17" s="181" t="s">
        <v>192</v>
      </c>
      <c r="F17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V17" s="1"/>
    </row>
    <row r="18" spans="1:22" x14ac:dyDescent="0.3">
      <c r="C18" s="181" t="s">
        <v>193</v>
      </c>
      <c r="F18" s="187">
        <f>SUM(F16:F17)</f>
        <v>532774</v>
      </c>
      <c r="G18" s="187">
        <f t="shared" ref="G18:Q19" si="1">SUM(G16:G17)</f>
        <v>534685</v>
      </c>
      <c r="H18" s="187">
        <f t="shared" si="1"/>
        <v>536596</v>
      </c>
      <c r="I18" s="187">
        <f t="shared" si="1"/>
        <v>538352</v>
      </c>
      <c r="J18" s="187">
        <f t="shared" si="1"/>
        <v>540108</v>
      </c>
      <c r="K18" s="187">
        <f t="shared" si="1"/>
        <v>541864</v>
      </c>
      <c r="L18" s="187">
        <f t="shared" si="1"/>
        <v>543620</v>
      </c>
      <c r="M18" s="187">
        <f t="shared" si="1"/>
        <v>545376</v>
      </c>
      <c r="N18" s="187">
        <f t="shared" si="1"/>
        <v>547132</v>
      </c>
      <c r="O18" s="187">
        <f t="shared" si="1"/>
        <v>548888</v>
      </c>
      <c r="P18" s="187">
        <f t="shared" si="1"/>
        <v>550644</v>
      </c>
      <c r="Q18" s="187">
        <f t="shared" si="1"/>
        <v>552400</v>
      </c>
      <c r="R18" s="187"/>
      <c r="S18" s="187"/>
      <c r="T18" s="187"/>
      <c r="V18" s="1"/>
    </row>
    <row r="19" spans="1:22" x14ac:dyDescent="0.3">
      <c r="A19" s="151"/>
      <c r="B19" s="156"/>
      <c r="C19" s="190" t="s">
        <v>194</v>
      </c>
      <c r="D19" s="156"/>
      <c r="E19" s="156"/>
      <c r="F19" s="191">
        <f>SUM(F17:F18)</f>
        <v>532774</v>
      </c>
      <c r="G19" s="191">
        <f t="shared" si="1"/>
        <v>534685</v>
      </c>
      <c r="H19" s="191">
        <f t="shared" si="1"/>
        <v>536596</v>
      </c>
      <c r="I19" s="191">
        <f t="shared" si="1"/>
        <v>538352</v>
      </c>
      <c r="J19" s="191">
        <f t="shared" si="1"/>
        <v>540108</v>
      </c>
      <c r="K19" s="191">
        <f t="shared" si="1"/>
        <v>541864</v>
      </c>
      <c r="L19" s="191">
        <f t="shared" si="1"/>
        <v>543620</v>
      </c>
      <c r="M19" s="191">
        <f t="shared" si="1"/>
        <v>545376</v>
      </c>
      <c r="N19" s="191">
        <f t="shared" si="1"/>
        <v>547132</v>
      </c>
      <c r="O19" s="191">
        <f t="shared" si="1"/>
        <v>548888</v>
      </c>
      <c r="P19" s="191">
        <f t="shared" si="1"/>
        <v>550644</v>
      </c>
      <c r="Q19" s="191">
        <f t="shared" si="1"/>
        <v>552400</v>
      </c>
      <c r="R19" s="191"/>
      <c r="S19" s="191"/>
      <c r="T19" s="191"/>
      <c r="U19" s="164">
        <f>SUM(F19:Q19)</f>
        <v>6512439</v>
      </c>
      <c r="V19" s="1"/>
    </row>
    <row r="20" spans="1:22" x14ac:dyDescent="0.3">
      <c r="A20" s="168"/>
      <c r="B20" s="157"/>
      <c r="C20" s="192" t="s">
        <v>57</v>
      </c>
      <c r="D20" s="157"/>
      <c r="E20" s="157"/>
      <c r="F20" s="193">
        <f>F14+F19</f>
        <v>31137495.632282294</v>
      </c>
      <c r="G20" s="193">
        <f>G14+G19</f>
        <v>31958785.467282295</v>
      </c>
      <c r="H20" s="193">
        <f t="shared" ref="H20:Q20" si="2">H14+H19</f>
        <v>32801001.385082297</v>
      </c>
      <c r="I20" s="193">
        <f t="shared" si="2"/>
        <v>33648029.870882295</v>
      </c>
      <c r="J20" s="193">
        <f t="shared" si="2"/>
        <v>34500025.924682297</v>
      </c>
      <c r="K20" s="193">
        <f t="shared" si="2"/>
        <v>35356989.546482295</v>
      </c>
      <c r="L20" s="193">
        <f t="shared" si="2"/>
        <v>36226309.993682295</v>
      </c>
      <c r="M20" s="193">
        <f t="shared" si="2"/>
        <v>37100598.008882292</v>
      </c>
      <c r="N20" s="193">
        <f t="shared" si="2"/>
        <v>37994632.106882289</v>
      </c>
      <c r="O20" s="193">
        <f t="shared" si="2"/>
        <v>38893633.77288229</v>
      </c>
      <c r="P20" s="193">
        <f t="shared" si="2"/>
        <v>39797603.006882288</v>
      </c>
      <c r="Q20" s="193">
        <f t="shared" si="2"/>
        <v>40704293.008882284</v>
      </c>
      <c r="R20" s="193"/>
      <c r="S20" s="193"/>
      <c r="T20" s="193"/>
      <c r="U20" s="158">
        <f>SUM(F20:Q20)</f>
        <v>430119397.72478753</v>
      </c>
      <c r="V20" s="1"/>
    </row>
    <row r="21" spans="1:22" x14ac:dyDescent="0.3">
      <c r="C21" s="189" t="s">
        <v>58</v>
      </c>
      <c r="F21"/>
      <c r="I21" s="182"/>
      <c r="K21" s="182"/>
      <c r="S21" s="182"/>
      <c r="T21" s="182"/>
      <c r="V21" s="1"/>
    </row>
    <row r="22" spans="1:22" x14ac:dyDescent="0.3">
      <c r="C22" s="181" t="s">
        <v>195</v>
      </c>
      <c r="F22" s="182"/>
      <c r="G22" s="182"/>
      <c r="Q22" s="182"/>
      <c r="V22" s="1"/>
    </row>
    <row r="23" spans="1:22" x14ac:dyDescent="0.3">
      <c r="C23" s="181" t="s">
        <v>196</v>
      </c>
      <c r="F23"/>
      <c r="H23" s="182"/>
      <c r="J23" s="182"/>
      <c r="V23" s="1"/>
    </row>
    <row r="24" spans="1:22" x14ac:dyDescent="0.3">
      <c r="C24" s="179" t="s">
        <v>197</v>
      </c>
      <c r="F24" s="187">
        <f>'CF 2027'!G53</f>
        <v>-186276.06675000003</v>
      </c>
      <c r="G24" s="187">
        <f>'CF 2027'!H53</f>
        <v>-187517.95874999999</v>
      </c>
      <c r="H24" s="187">
        <f>'CF 2027'!I53</f>
        <v>-191274.47945000004</v>
      </c>
      <c r="I24" s="187">
        <f>'CF 2027'!J53</f>
        <v>-192516.37144999998</v>
      </c>
      <c r="J24" s="187">
        <f>'CF 2027'!K53</f>
        <v>-193758.26344999997</v>
      </c>
      <c r="K24" s="187">
        <f>'CF 2027'!L53</f>
        <v>-195000.15545000008</v>
      </c>
      <c r="L24" s="187">
        <f>'CF 2027'!M53</f>
        <v>-198089.36179999998</v>
      </c>
      <c r="M24" s="187">
        <f>'CF 2027'!N53</f>
        <v>-199331.25380000003</v>
      </c>
      <c r="N24" s="187">
        <f>'CF 2027'!O53</f>
        <v>-204267.77450000003</v>
      </c>
      <c r="O24" s="187">
        <f>'CF 2027'!P53</f>
        <v>-205509.66650000002</v>
      </c>
      <c r="P24" s="187">
        <f>'CF 2027'!Q53</f>
        <v>-206751.55850000001</v>
      </c>
      <c r="Q24" s="187">
        <f>'CF 2027'!R53</f>
        <v>-210240.25050000005</v>
      </c>
      <c r="R24" s="187"/>
      <c r="S24" s="187"/>
      <c r="T24" s="187"/>
      <c r="V24" s="1"/>
    </row>
    <row r="25" spans="1:22" x14ac:dyDescent="0.3">
      <c r="A25" s="156"/>
      <c r="B25" s="156"/>
      <c r="C25" s="183" t="s">
        <v>198</v>
      </c>
      <c r="D25" s="156"/>
      <c r="E25" s="156"/>
      <c r="F25" s="164">
        <f>SUM(F22:F24)</f>
        <v>-186276.06675000003</v>
      </c>
      <c r="G25" s="164">
        <f t="shared" ref="G25:Q25" si="3">SUM(G22:G24)</f>
        <v>-187517.95874999999</v>
      </c>
      <c r="H25" s="164">
        <f t="shared" si="3"/>
        <v>-191274.47945000004</v>
      </c>
      <c r="I25" s="164">
        <f t="shared" si="3"/>
        <v>-192516.37144999998</v>
      </c>
      <c r="J25" s="164">
        <f t="shared" si="3"/>
        <v>-193758.26344999997</v>
      </c>
      <c r="K25" s="164">
        <f t="shared" si="3"/>
        <v>-195000.15545000008</v>
      </c>
      <c r="L25" s="164">
        <f t="shared" si="3"/>
        <v>-198089.36179999998</v>
      </c>
      <c r="M25" s="164">
        <f t="shared" si="3"/>
        <v>-199331.25380000003</v>
      </c>
      <c r="N25" s="164">
        <f t="shared" si="3"/>
        <v>-204267.77450000003</v>
      </c>
      <c r="O25" s="164">
        <f t="shared" si="3"/>
        <v>-205509.66650000002</v>
      </c>
      <c r="P25" s="164">
        <f t="shared" si="3"/>
        <v>-206751.55850000001</v>
      </c>
      <c r="Q25" s="164">
        <f t="shared" si="3"/>
        <v>-210240.25050000005</v>
      </c>
      <c r="R25" s="164"/>
      <c r="S25" s="164"/>
      <c r="T25" s="164"/>
      <c r="U25" s="164">
        <f>SUM(F25:Q25)</f>
        <v>-2370533.1609</v>
      </c>
      <c r="V25" s="1"/>
    </row>
    <row r="26" spans="1:22" x14ac:dyDescent="0.3">
      <c r="A26" s="157"/>
      <c r="B26" s="157"/>
      <c r="C26" s="194" t="s">
        <v>59</v>
      </c>
      <c r="D26" s="157"/>
      <c r="E26" s="157"/>
      <c r="F26" s="158"/>
      <c r="G26" s="157"/>
      <c r="H26" s="157"/>
      <c r="I26" s="158"/>
      <c r="J26" s="157"/>
      <c r="K26" s="158"/>
      <c r="L26" s="195"/>
      <c r="M26" s="195"/>
      <c r="N26" s="195"/>
      <c r="O26" s="195"/>
      <c r="P26" s="195"/>
      <c r="Q26" s="157"/>
      <c r="R26" s="195"/>
      <c r="S26" s="158"/>
      <c r="T26" s="158"/>
      <c r="U26" s="157"/>
      <c r="V26" s="1"/>
    </row>
    <row r="27" spans="1:22" x14ac:dyDescent="0.3">
      <c r="C27" s="178" t="s">
        <v>199</v>
      </c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"/>
      <c r="V27" s="1"/>
    </row>
    <row r="28" spans="1:22" ht="12.6" customHeight="1" x14ac:dyDescent="0.3">
      <c r="C28" s="179"/>
      <c r="F28"/>
      <c r="J28" s="180" t="s">
        <v>205</v>
      </c>
      <c r="V28" s="1"/>
    </row>
    <row r="29" spans="1:22" x14ac:dyDescent="0.3">
      <c r="C29" s="178" t="s">
        <v>200</v>
      </c>
      <c r="F29" s="180"/>
      <c r="G29" s="180"/>
      <c r="H29" s="180"/>
      <c r="Q29" s="180"/>
      <c r="V29" s="1"/>
    </row>
    <row r="30" spans="1:22" x14ac:dyDescent="0.3">
      <c r="C30" s="181" t="s">
        <v>208</v>
      </c>
      <c r="F30" s="180"/>
      <c r="G30" s="180"/>
      <c r="H30" s="180"/>
      <c r="Q30" s="180"/>
      <c r="V30" s="1"/>
    </row>
    <row r="31" spans="1:22" x14ac:dyDescent="0.3">
      <c r="C31" s="178" t="s">
        <v>201</v>
      </c>
      <c r="F31" s="187">
        <f>SUM(F27:F29)</f>
        <v>0</v>
      </c>
      <c r="G31" s="187">
        <f t="shared" ref="G31:Q31" si="4">SUM(G27:G29)</f>
        <v>0</v>
      </c>
      <c r="H31" s="187">
        <f t="shared" si="4"/>
        <v>0</v>
      </c>
      <c r="I31" s="187">
        <f t="shared" si="4"/>
        <v>0</v>
      </c>
      <c r="J31" s="187">
        <f t="shared" si="4"/>
        <v>0</v>
      </c>
      <c r="K31" s="187">
        <f t="shared" si="4"/>
        <v>0</v>
      </c>
      <c r="L31" s="187">
        <f t="shared" si="4"/>
        <v>0</v>
      </c>
      <c r="M31" s="187">
        <f t="shared" si="4"/>
        <v>0</v>
      </c>
      <c r="N31" s="187">
        <f t="shared" si="4"/>
        <v>0</v>
      </c>
      <c r="O31" s="187">
        <f t="shared" si="4"/>
        <v>0</v>
      </c>
      <c r="P31" s="187">
        <f t="shared" si="4"/>
        <v>0</v>
      </c>
      <c r="Q31" s="187">
        <f t="shared" si="4"/>
        <v>0</v>
      </c>
      <c r="R31" s="187"/>
      <c r="S31" s="187"/>
      <c r="T31" s="187"/>
      <c r="V31" s="1"/>
    </row>
    <row r="32" spans="1:22" x14ac:dyDescent="0.3">
      <c r="C32" s="178" t="s">
        <v>60</v>
      </c>
      <c r="F32" s="187">
        <f>F31+F25</f>
        <v>-186276.06675000003</v>
      </c>
      <c r="G32" s="187">
        <f t="shared" ref="G32:Q32" si="5">G31+G24</f>
        <v>-187517.95874999999</v>
      </c>
      <c r="H32" s="187">
        <f t="shared" si="5"/>
        <v>-191274.47945000004</v>
      </c>
      <c r="I32" s="187">
        <f t="shared" si="5"/>
        <v>-192516.37144999998</v>
      </c>
      <c r="J32" s="187">
        <f t="shared" si="5"/>
        <v>-193758.26344999997</v>
      </c>
      <c r="K32" s="187">
        <f t="shared" si="5"/>
        <v>-195000.15545000008</v>
      </c>
      <c r="L32" s="187">
        <f t="shared" si="5"/>
        <v>-198089.36179999998</v>
      </c>
      <c r="M32" s="187">
        <f t="shared" si="5"/>
        <v>-199331.25380000003</v>
      </c>
      <c r="N32" s="187">
        <f t="shared" si="5"/>
        <v>-204267.77450000003</v>
      </c>
      <c r="O32" s="187">
        <f t="shared" si="5"/>
        <v>-205509.66650000002</v>
      </c>
      <c r="P32" s="187">
        <f t="shared" si="5"/>
        <v>-206751.55850000001</v>
      </c>
      <c r="Q32" s="187">
        <f t="shared" si="5"/>
        <v>-210240.25050000005</v>
      </c>
      <c r="R32" s="187"/>
      <c r="S32" s="187"/>
      <c r="T32" s="187"/>
      <c r="V32" s="1"/>
    </row>
    <row r="33" spans="3:22" x14ac:dyDescent="0.3">
      <c r="C33" s="178" t="s">
        <v>61</v>
      </c>
      <c r="F33" s="224">
        <f>F20+F32</f>
        <v>30951219.565532293</v>
      </c>
      <c r="G33" s="224">
        <f t="shared" ref="G33:Q33" si="6">G20+G32</f>
        <v>31771267.508532297</v>
      </c>
      <c r="H33" s="224">
        <f t="shared" si="6"/>
        <v>32609726.905632298</v>
      </c>
      <c r="I33" s="224">
        <f t="shared" si="6"/>
        <v>33455513.499432296</v>
      </c>
      <c r="J33" s="224">
        <f t="shared" si="6"/>
        <v>34306267.6612323</v>
      </c>
      <c r="K33" s="224">
        <f t="shared" si="6"/>
        <v>35161989.391032293</v>
      </c>
      <c r="L33" s="224">
        <f t="shared" si="6"/>
        <v>36028220.631882295</v>
      </c>
      <c r="M33" s="224">
        <f t="shared" si="6"/>
        <v>36901266.755082294</v>
      </c>
      <c r="N33" s="224">
        <f t="shared" si="6"/>
        <v>37790364.332382292</v>
      </c>
      <c r="O33" s="224">
        <f t="shared" si="6"/>
        <v>38688124.106382288</v>
      </c>
      <c r="P33" s="224">
        <f t="shared" si="6"/>
        <v>39590851.448382288</v>
      </c>
      <c r="Q33" s="224">
        <f t="shared" si="6"/>
        <v>40494052.758382283</v>
      </c>
      <c r="R33" s="224"/>
      <c r="S33" s="224"/>
      <c r="T33" s="224"/>
      <c r="U33" s="359">
        <f>SUM(F33:Q33)</f>
        <v>427748864.56388754</v>
      </c>
      <c r="V33" s="1"/>
    </row>
    <row r="34" spans="3:22" x14ac:dyDescent="0.3">
      <c r="C34" s="181" t="s">
        <v>63</v>
      </c>
      <c r="F34" s="179"/>
      <c r="G34" s="179"/>
      <c r="H34" s="179"/>
      <c r="I34" s="179"/>
      <c r="J34" s="180"/>
      <c r="K34" s="180"/>
      <c r="L34" s="180"/>
      <c r="M34" s="180"/>
      <c r="N34" s="180"/>
      <c r="O34" s="180"/>
      <c r="P34" s="180"/>
      <c r="Q34" s="179"/>
      <c r="R34" s="180"/>
      <c r="S34" s="180"/>
      <c r="T34" s="180"/>
      <c r="V34" s="1"/>
    </row>
    <row r="35" spans="3:22" x14ac:dyDescent="0.3">
      <c r="C35" s="181" t="s">
        <v>65</v>
      </c>
      <c r="F35" s="180">
        <f>SUM(F33:F34)</f>
        <v>30951219.565532293</v>
      </c>
      <c r="G35" s="180">
        <f t="shared" ref="G35:Q35" si="7">SUM(G33:G34)</f>
        <v>31771267.508532297</v>
      </c>
      <c r="H35" s="180">
        <f t="shared" si="7"/>
        <v>32609726.905632298</v>
      </c>
      <c r="I35" s="180">
        <f t="shared" si="7"/>
        <v>33455513.499432296</v>
      </c>
      <c r="J35" s="180">
        <f t="shared" si="7"/>
        <v>34306267.6612323</v>
      </c>
      <c r="K35" s="180">
        <f t="shared" si="7"/>
        <v>35161989.391032293</v>
      </c>
      <c r="L35" s="180">
        <f t="shared" si="7"/>
        <v>36028220.631882295</v>
      </c>
      <c r="M35" s="180">
        <f t="shared" si="7"/>
        <v>36901266.755082294</v>
      </c>
      <c r="N35" s="180">
        <f t="shared" si="7"/>
        <v>37790364.332382292</v>
      </c>
      <c r="O35" s="180">
        <f t="shared" si="7"/>
        <v>38688124.106382288</v>
      </c>
      <c r="P35" s="180">
        <f t="shared" si="7"/>
        <v>39590851.448382288</v>
      </c>
      <c r="Q35" s="180">
        <f t="shared" si="7"/>
        <v>40494052.758382283</v>
      </c>
      <c r="R35" s="180"/>
      <c r="S35" s="180"/>
      <c r="T35" s="180"/>
      <c r="V35" s="1"/>
    </row>
    <row r="36" spans="3:22" x14ac:dyDescent="0.3">
      <c r="C36" s="188" t="s">
        <v>66</v>
      </c>
      <c r="F36" s="180">
        <f>F34+F35</f>
        <v>30951219.565532293</v>
      </c>
      <c r="G36" s="180">
        <f t="shared" ref="G36:Q36" si="8">G34+G35</f>
        <v>31771267.508532297</v>
      </c>
      <c r="H36" s="180">
        <f t="shared" si="8"/>
        <v>32609726.905632298</v>
      </c>
      <c r="I36" s="180">
        <f t="shared" si="8"/>
        <v>33455513.499432296</v>
      </c>
      <c r="J36" s="180">
        <f t="shared" si="8"/>
        <v>34306267.6612323</v>
      </c>
      <c r="K36" s="180">
        <f t="shared" si="8"/>
        <v>35161989.391032293</v>
      </c>
      <c r="L36" s="180">
        <f t="shared" si="8"/>
        <v>36028220.631882295</v>
      </c>
      <c r="M36" s="180">
        <f t="shared" si="8"/>
        <v>36901266.755082294</v>
      </c>
      <c r="N36" s="180">
        <f t="shared" si="8"/>
        <v>37790364.332382292</v>
      </c>
      <c r="O36" s="180">
        <f t="shared" si="8"/>
        <v>38688124.106382288</v>
      </c>
      <c r="P36" s="180">
        <f t="shared" si="8"/>
        <v>39590851.448382288</v>
      </c>
      <c r="Q36" s="180">
        <f t="shared" si="8"/>
        <v>40494052.758382283</v>
      </c>
      <c r="R36" s="180"/>
      <c r="S36" s="180"/>
      <c r="T36" s="180"/>
      <c r="V36" s="1"/>
    </row>
    <row r="37" spans="3:22" x14ac:dyDescent="0.3">
      <c r="C37" s="181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V37" s="1"/>
    </row>
    <row r="38" spans="3:22" x14ac:dyDescent="0.3">
      <c r="C38" s="181" t="s">
        <v>202</v>
      </c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V38" s="1"/>
    </row>
    <row r="39" spans="3:22" x14ac:dyDescent="0.3">
      <c r="C39" s="181" t="s">
        <v>203</v>
      </c>
      <c r="F3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V39" s="1"/>
    </row>
    <row r="40" spans="3:22" x14ac:dyDescent="0.3">
      <c r="C40" s="181" t="s">
        <v>204</v>
      </c>
      <c r="F40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V40" s="1"/>
    </row>
    <row r="41" spans="3:22" x14ac:dyDescent="0.3">
      <c r="C41" s="181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FFD79-C2BE-481E-8E4A-4B5CA1D7943E}">
  <sheetPr codeName="Sheet38"/>
  <dimension ref="B2:V101"/>
  <sheetViews>
    <sheetView showGridLines="0" topLeftCell="B1" zoomScale="97" zoomScaleNormal="97" workbookViewId="0">
      <selection activeCell="K51" sqref="K51"/>
    </sheetView>
  </sheetViews>
  <sheetFormatPr defaultRowHeight="14.4" x14ac:dyDescent="0.3"/>
  <cols>
    <col min="1" max="1" width="3" customWidth="1"/>
    <col min="5" max="5" width="10.88671875" customWidth="1"/>
    <col min="6" max="6" width="11.6640625" bestFit="1" customWidth="1"/>
    <col min="7" max="7" width="11.44140625" customWidth="1"/>
    <col min="8" max="8" width="11.21875" customWidth="1"/>
    <col min="9" max="9" width="11.109375" customWidth="1"/>
    <col min="10" max="10" width="4.33203125" customWidth="1"/>
    <col min="11" max="11" width="10.109375" customWidth="1"/>
    <col min="12" max="14" width="10.5546875" bestFit="1" customWidth="1"/>
    <col min="15" max="15" width="10.21875" customWidth="1"/>
    <col min="16" max="22" width="10.5546875" bestFit="1" customWidth="1"/>
  </cols>
  <sheetData>
    <row r="2" spans="2:22" x14ac:dyDescent="0.3">
      <c r="B2" s="183" t="s">
        <v>275</v>
      </c>
      <c r="C2" s="183"/>
      <c r="D2" s="183"/>
      <c r="E2" s="183"/>
      <c r="F2" s="156"/>
      <c r="G2" s="156"/>
      <c r="H2" s="156"/>
      <c r="I2" s="156"/>
      <c r="J2" s="156"/>
      <c r="K2" s="387" t="s">
        <v>286</v>
      </c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</row>
    <row r="4" spans="2:22" x14ac:dyDescent="0.3">
      <c r="B4" s="201" t="s">
        <v>27</v>
      </c>
      <c r="C4" s="201"/>
      <c r="D4" s="201"/>
      <c r="E4" s="202">
        <v>2023</v>
      </c>
      <c r="F4" s="202">
        <v>2024</v>
      </c>
      <c r="G4" s="202">
        <v>2025</v>
      </c>
      <c r="H4" s="202">
        <v>2026</v>
      </c>
      <c r="I4" s="202">
        <v>2027</v>
      </c>
      <c r="J4" s="201"/>
      <c r="K4" s="202" t="s">
        <v>32</v>
      </c>
      <c r="L4" s="202" t="s">
        <v>33</v>
      </c>
      <c r="M4" s="202" t="s">
        <v>34</v>
      </c>
      <c r="N4" s="202" t="s">
        <v>35</v>
      </c>
      <c r="O4" s="202" t="s">
        <v>36</v>
      </c>
      <c r="P4" s="202" t="s">
        <v>37</v>
      </c>
      <c r="Q4" s="202" t="s">
        <v>38</v>
      </c>
      <c r="R4" s="202" t="s">
        <v>39</v>
      </c>
      <c r="S4" s="202" t="s">
        <v>40</v>
      </c>
      <c r="T4" s="202" t="s">
        <v>41</v>
      </c>
      <c r="U4" s="202" t="s">
        <v>42</v>
      </c>
      <c r="V4" s="202" t="s">
        <v>43</v>
      </c>
    </row>
    <row r="5" spans="2:22" x14ac:dyDescent="0.3">
      <c r="B5" t="s">
        <v>44</v>
      </c>
      <c r="E5" s="213">
        <f>'Statements Summary 2023'!V5</f>
        <v>794028.94800000021</v>
      </c>
      <c r="F5" s="213">
        <f>'Statements Summary 2024'!V5</f>
        <v>860665.65300000017</v>
      </c>
      <c r="G5" s="213">
        <f>'Statements Summary 2025'!V5</f>
        <v>880113.33675000002</v>
      </c>
      <c r="H5" s="213">
        <f>'Statements Summary 2026'!V5</f>
        <v>994677.8737499998</v>
      </c>
      <c r="I5" s="213">
        <f t="shared" ref="I5:I17" si="0">V5</f>
        <v>1115374.2525000002</v>
      </c>
      <c r="K5" s="213">
        <f>'CF 2027'!G11</f>
        <v>1000887.3337500001</v>
      </c>
      <c r="L5" s="213">
        <f>'CF 2027'!H11</f>
        <v>1007096.79375</v>
      </c>
      <c r="M5" s="213">
        <f>'CF 2027'!I11</f>
        <v>1031779.3972500002</v>
      </c>
      <c r="N5" s="213">
        <f>'CF 2027'!J11</f>
        <v>1037988.8572499999</v>
      </c>
      <c r="O5" s="213">
        <f>'CF 2027'!K11</f>
        <v>1044198.3172499998</v>
      </c>
      <c r="P5" s="213">
        <f>'CF 2027'!L11</f>
        <v>1050407.7772500003</v>
      </c>
      <c r="Q5" s="213">
        <f>'CF 2027'!M11</f>
        <v>1065853.8089999999</v>
      </c>
      <c r="R5" s="213">
        <f>'CF 2027'!N11</f>
        <v>1072063.2690000001</v>
      </c>
      <c r="S5" s="213">
        <f>'CF 2027'!O11</f>
        <v>1096745.8725000001</v>
      </c>
      <c r="T5" s="213">
        <f>'CF 2027'!P11</f>
        <v>1102955.3325</v>
      </c>
      <c r="U5" s="213">
        <f>'CF 2027'!Q11</f>
        <v>1109164.7925</v>
      </c>
      <c r="V5" s="213">
        <f>'CF 2027'!R11</f>
        <v>1115374.2525000002</v>
      </c>
    </row>
    <row r="6" spans="2:22" x14ac:dyDescent="0.3">
      <c r="B6" t="s">
        <v>45</v>
      </c>
      <c r="E6" s="213">
        <f>'Statements Summary 2023'!V6</f>
        <v>-200</v>
      </c>
      <c r="F6" s="213">
        <f>'Statements Summary 2024'!V6</f>
        <v>-200</v>
      </c>
      <c r="G6" s="213">
        <f>'Statements Summary 2025'!V6</f>
        <v>-200</v>
      </c>
      <c r="H6" s="213">
        <f>'Statements Summary 2026'!V6</f>
        <v>-200</v>
      </c>
      <c r="I6" s="213">
        <f t="shared" si="0"/>
        <v>-200</v>
      </c>
      <c r="K6" s="213">
        <f>'CF 2027'!G19</f>
        <v>-200</v>
      </c>
      <c r="L6" s="213">
        <f>'CF 2027'!H19</f>
        <v>-200</v>
      </c>
      <c r="M6" s="213">
        <f>'CF 2027'!I19</f>
        <v>-200</v>
      </c>
      <c r="N6" s="213">
        <f>'CF 2027'!J19</f>
        <v>-200</v>
      </c>
      <c r="O6" s="213">
        <f>'CF 2027'!K19</f>
        <v>-200</v>
      </c>
      <c r="P6" s="213">
        <f>'CF 2027'!L19</f>
        <v>-200</v>
      </c>
      <c r="Q6" s="213">
        <f>'CF 2027'!M19</f>
        <v>-200</v>
      </c>
      <c r="R6" s="213">
        <f>'CF 2027'!N19</f>
        <v>-200</v>
      </c>
      <c r="S6" s="213">
        <f>'CF 2027'!O19</f>
        <v>-200</v>
      </c>
      <c r="T6" s="213">
        <f>'CF 2027'!P19</f>
        <v>-200</v>
      </c>
      <c r="U6" s="213">
        <f>'CF 2027'!Q19</f>
        <v>-200</v>
      </c>
      <c r="V6" s="213">
        <f>'CF 2027'!R19</f>
        <v>-200</v>
      </c>
    </row>
    <row r="7" spans="2:22" x14ac:dyDescent="0.3">
      <c r="B7" t="s">
        <v>46</v>
      </c>
      <c r="E7" s="213">
        <f>'Statements Summary 2023'!V7</f>
        <v>-16818</v>
      </c>
      <c r="F7" s="213">
        <f>'Statements Summary 2024'!V7</f>
        <v>-16818</v>
      </c>
      <c r="G7" s="213">
        <f>'Statements Summary 2025'!V7</f>
        <v>0</v>
      </c>
      <c r="H7" s="213">
        <f>'Statements Summary 2026'!V7</f>
        <v>0</v>
      </c>
      <c r="I7" s="213">
        <f t="shared" si="0"/>
        <v>0</v>
      </c>
      <c r="K7" s="213" t="s">
        <v>205</v>
      </c>
      <c r="L7" s="213">
        <f>'CF 2027'!H35</f>
        <v>0</v>
      </c>
      <c r="M7" s="213">
        <f>'CF 2027'!I35</f>
        <v>0</v>
      </c>
      <c r="N7" s="213">
        <f>'CF 2027'!J35</f>
        <v>0</v>
      </c>
      <c r="O7" s="213">
        <f>'CF 2027'!K35</f>
        <v>0</v>
      </c>
      <c r="P7" s="213">
        <f>'CF 2027'!L35</f>
        <v>0</v>
      </c>
      <c r="Q7" s="213">
        <f>'CF 2027'!M35</f>
        <v>0</v>
      </c>
      <c r="R7" s="213">
        <f>'CF 2027'!N35</f>
        <v>0</v>
      </c>
      <c r="S7" s="213">
        <f>'CF 2027'!O35</f>
        <v>0</v>
      </c>
      <c r="T7" s="213">
        <f>'CF 2027'!P35</f>
        <v>0</v>
      </c>
      <c r="U7" s="213">
        <f>'CF 2027'!Q35</f>
        <v>0</v>
      </c>
      <c r="V7" s="213">
        <f>'CF 2027'!R35</f>
        <v>0</v>
      </c>
    </row>
    <row r="8" spans="2:22" x14ac:dyDescent="0.3">
      <c r="B8" t="s">
        <v>18</v>
      </c>
      <c r="E8" s="213">
        <f>'Statements Summary 2023'!V8</f>
        <v>571786.75840000017</v>
      </c>
      <c r="F8" s="213">
        <f>'Statements Summary 2024'!V8</f>
        <v>625096.12240000011</v>
      </c>
      <c r="G8" s="213">
        <f>'Statements Summary 2025'!V8</f>
        <v>715545.26939999999</v>
      </c>
      <c r="H8" s="213">
        <f>'Statements Summary 2026'!V8</f>
        <v>749123.89899999986</v>
      </c>
      <c r="I8" s="213">
        <f t="shared" si="0"/>
        <v>840961.00200000009</v>
      </c>
      <c r="K8" s="213">
        <f>'CF 2027'!G24</f>
        <v>745104.26700000011</v>
      </c>
      <c r="L8" s="213">
        <f>'CF 2027'!H24</f>
        <v>750071.83499999996</v>
      </c>
      <c r="M8" s="213">
        <f>'CF 2027'!I24</f>
        <v>765097.91780000017</v>
      </c>
      <c r="N8" s="213">
        <f>'CF 2027'!J24</f>
        <v>770065.48579999991</v>
      </c>
      <c r="O8" s="213">
        <f>'CF 2027'!K24</f>
        <v>775033.05379999988</v>
      </c>
      <c r="P8" s="213">
        <f>'CF 2027'!L24</f>
        <v>780000.6218000002</v>
      </c>
      <c r="Q8" s="213">
        <f>'CF 2027'!M24</f>
        <v>792357.44719999994</v>
      </c>
      <c r="R8" s="213">
        <f>'CF 2027'!N24</f>
        <v>797325.01520000002</v>
      </c>
      <c r="S8" s="213">
        <f>'CF 2027'!O24</f>
        <v>817071.098</v>
      </c>
      <c r="T8" s="213">
        <f>'CF 2027'!P24</f>
        <v>822038.66599999997</v>
      </c>
      <c r="U8" s="213">
        <f>'CF 2027'!Q24</f>
        <v>827006.23399999994</v>
      </c>
      <c r="V8" s="213">
        <f>'CF 2027'!R24</f>
        <v>840961.00200000009</v>
      </c>
    </row>
    <row r="9" spans="2:22" x14ac:dyDescent="0.3">
      <c r="B9" t="s">
        <v>47</v>
      </c>
      <c r="E9" s="213" t="str">
        <f>'Statements Summary 2023'!V9</f>
        <v>-</v>
      </c>
      <c r="F9" s="213" t="str">
        <f>'Statements Summary 2024'!V9</f>
        <v>-</v>
      </c>
      <c r="G9" s="213">
        <f>'Statements Summary 2025'!V9</f>
        <v>0</v>
      </c>
      <c r="H9" s="213">
        <f>'Statements Summary 2026'!V9</f>
        <v>0</v>
      </c>
      <c r="I9" s="213">
        <f t="shared" si="0"/>
        <v>0</v>
      </c>
      <c r="K9" s="213">
        <f>'CF 2027'!G29</f>
        <v>0</v>
      </c>
      <c r="L9" s="213">
        <f>'CF 2027'!H29</f>
        <v>0</v>
      </c>
      <c r="M9" s="213">
        <f>'CF 2027'!I29</f>
        <v>0</v>
      </c>
      <c r="N9" s="213">
        <f>'CF 2027'!J29</f>
        <v>0</v>
      </c>
      <c r="O9" s="213">
        <f>'CF 2027'!K29</f>
        <v>0</v>
      </c>
      <c r="P9" s="213">
        <f>'CF 2027'!L29</f>
        <v>0</v>
      </c>
      <c r="Q9" s="213">
        <f>'CF 2027'!M29</f>
        <v>0</v>
      </c>
      <c r="R9" s="213">
        <f>'CF 2027'!N29</f>
        <v>0</v>
      </c>
      <c r="S9" s="213">
        <f>'CF 2027'!O29</f>
        <v>0</v>
      </c>
      <c r="T9" s="213">
        <f>'CF 2027'!P29</f>
        <v>0</v>
      </c>
      <c r="U9" s="213">
        <f>'CF 2027'!Q29</f>
        <v>0</v>
      </c>
      <c r="V9" s="213">
        <f>'CF 2027'!R29</f>
        <v>0</v>
      </c>
    </row>
    <row r="10" spans="2:22" x14ac:dyDescent="0.3">
      <c r="B10" t="s">
        <v>48</v>
      </c>
      <c r="E10" s="213" t="str">
        <f>'Statements Summary 2023'!V10</f>
        <v>-</v>
      </c>
      <c r="F10" s="213" t="str">
        <f>'Statements Summary 2024'!V10</f>
        <v>-</v>
      </c>
      <c r="G10" s="213" t="str">
        <f>'Statements Summary 2025'!V10</f>
        <v>-</v>
      </c>
      <c r="H10" s="213" t="str">
        <f>'Statements Summary 2026'!V10</f>
        <v>-</v>
      </c>
      <c r="I10" s="213" t="str">
        <f t="shared" si="0"/>
        <v>-</v>
      </c>
      <c r="K10" s="213" t="s">
        <v>205</v>
      </c>
      <c r="L10" s="213" t="s">
        <v>205</v>
      </c>
      <c r="M10" s="213" t="s">
        <v>205</v>
      </c>
      <c r="N10" s="213" t="s">
        <v>205</v>
      </c>
      <c r="O10" s="213" t="s">
        <v>205</v>
      </c>
      <c r="P10" s="213" t="s">
        <v>205</v>
      </c>
      <c r="Q10" s="213" t="s">
        <v>205</v>
      </c>
      <c r="R10" s="213" t="s">
        <v>205</v>
      </c>
      <c r="S10" s="213" t="s">
        <v>205</v>
      </c>
      <c r="T10" s="213" t="s">
        <v>205</v>
      </c>
      <c r="U10" s="213" t="s">
        <v>205</v>
      </c>
      <c r="V10" s="213" t="s">
        <v>205</v>
      </c>
    </row>
    <row r="11" spans="2:22" x14ac:dyDescent="0.3">
      <c r="B11" t="s">
        <v>49</v>
      </c>
      <c r="E11" s="213" t="str">
        <f>'Statements Summary 2023'!V11</f>
        <v>-</v>
      </c>
      <c r="F11" s="213" t="str">
        <f>'Statements Summary 2024'!V11</f>
        <v>-</v>
      </c>
      <c r="G11" s="213" t="str">
        <f>'Statements Summary 2025'!V11</f>
        <v>-</v>
      </c>
      <c r="H11" s="213" t="str">
        <f>'Statements Summary 2026'!V11</f>
        <v>-</v>
      </c>
      <c r="I11" s="213" t="str">
        <f t="shared" si="0"/>
        <v>-</v>
      </c>
      <c r="K11" s="213">
        <f>'CF 2027'!G29</f>
        <v>0</v>
      </c>
      <c r="L11" s="213" t="s">
        <v>205</v>
      </c>
      <c r="M11" s="213" t="s">
        <v>205</v>
      </c>
      <c r="N11" s="213" t="s">
        <v>205</v>
      </c>
      <c r="O11" s="213" t="s">
        <v>205</v>
      </c>
      <c r="P11" s="213" t="s">
        <v>205</v>
      </c>
      <c r="Q11" s="213" t="s">
        <v>205</v>
      </c>
      <c r="R11" s="213" t="s">
        <v>205</v>
      </c>
      <c r="S11" s="213" t="s">
        <v>205</v>
      </c>
      <c r="T11" s="213" t="s">
        <v>205</v>
      </c>
      <c r="U11" s="213" t="s">
        <v>205</v>
      </c>
      <c r="V11" s="213" t="s">
        <v>205</v>
      </c>
    </row>
    <row r="12" spans="2:22" x14ac:dyDescent="0.3">
      <c r="B12" t="s">
        <v>50</v>
      </c>
      <c r="E12" s="213">
        <f>'Statements Summary 2023'!V12</f>
        <v>-16818</v>
      </c>
      <c r="F12" s="213">
        <f>'Statements Summary 2024'!V12</f>
        <v>-16818</v>
      </c>
      <c r="G12" s="213">
        <f>'Statements Summary 2025'!V12</f>
        <v>0</v>
      </c>
      <c r="H12" s="213">
        <f>'Statements Summary 2026'!V12</f>
        <v>0</v>
      </c>
      <c r="I12" s="213">
        <f t="shared" si="0"/>
        <v>0</v>
      </c>
      <c r="K12" s="213" t="s">
        <v>205</v>
      </c>
      <c r="L12" s="213">
        <f>'CF 2027'!H35</f>
        <v>0</v>
      </c>
      <c r="M12" s="213">
        <f>'CF 2027'!I35</f>
        <v>0</v>
      </c>
      <c r="N12" s="213">
        <f>'CF 2027'!J35</f>
        <v>0</v>
      </c>
      <c r="O12" s="213">
        <f>'CF 2027'!K35</f>
        <v>0</v>
      </c>
      <c r="P12" s="213">
        <f>'CF 2027'!L35</f>
        <v>0</v>
      </c>
      <c r="Q12" s="213">
        <f>'CF 2027'!M35</f>
        <v>0</v>
      </c>
      <c r="R12" s="213">
        <f>'CF 2027'!N35</f>
        <v>0</v>
      </c>
      <c r="S12" s="213">
        <f>'CF 2027'!O35</f>
        <v>0</v>
      </c>
      <c r="T12" s="213">
        <f>'CF 2027'!P35</f>
        <v>0</v>
      </c>
      <c r="U12" s="213">
        <f>'CF 2027'!Q35</f>
        <v>0</v>
      </c>
      <c r="V12" s="213">
        <f>'CF 2027'!R35</f>
        <v>0</v>
      </c>
    </row>
    <row r="13" spans="2:22" x14ac:dyDescent="0.3">
      <c r="B13" t="s">
        <v>51</v>
      </c>
      <c r="E13" s="213" t="str">
        <f>'Statements Summary 2023'!V13</f>
        <v>-</v>
      </c>
      <c r="F13" s="213" t="str">
        <f>'Statements Summary 2024'!V13</f>
        <v>-</v>
      </c>
      <c r="G13" s="213" t="str">
        <f>'Statements Summary 2025'!V13</f>
        <v>-</v>
      </c>
      <c r="H13" s="213" t="str">
        <f>'Statements Summary 2026'!V13</f>
        <v>-</v>
      </c>
      <c r="I13" s="213" t="str">
        <f t="shared" si="0"/>
        <v>-</v>
      </c>
      <c r="K13" s="213" t="s">
        <v>205</v>
      </c>
      <c r="L13" s="213" t="s">
        <v>205</v>
      </c>
      <c r="M13" s="213" t="s">
        <v>205</v>
      </c>
      <c r="N13" s="213" t="s">
        <v>205</v>
      </c>
      <c r="O13" s="213" t="s">
        <v>205</v>
      </c>
      <c r="P13" s="213" t="s">
        <v>205</v>
      </c>
      <c r="Q13" s="213" t="s">
        <v>205</v>
      </c>
      <c r="R13" s="213" t="s">
        <v>205</v>
      </c>
      <c r="S13" s="213" t="s">
        <v>205</v>
      </c>
      <c r="T13" s="213" t="s">
        <v>205</v>
      </c>
      <c r="U13" s="213" t="s">
        <v>205</v>
      </c>
      <c r="V13" s="213" t="s">
        <v>205</v>
      </c>
    </row>
    <row r="14" spans="2:22" x14ac:dyDescent="0.3">
      <c r="B14" t="s">
        <v>52</v>
      </c>
      <c r="E14" s="213" t="str">
        <f>'Statements Summary 2023'!V14</f>
        <v>-</v>
      </c>
      <c r="F14" s="213" t="str">
        <f>'Statements Summary 2024'!V14</f>
        <v>-</v>
      </c>
      <c r="G14" s="213" t="str">
        <f>'Statements Summary 2025'!V14</f>
        <v>-</v>
      </c>
      <c r="H14" s="213" t="str">
        <f>'Statements Summary 2026'!V14</f>
        <v>-</v>
      </c>
      <c r="I14" s="213" t="str">
        <f t="shared" si="0"/>
        <v>-</v>
      </c>
      <c r="K14" s="213" t="s">
        <v>205</v>
      </c>
      <c r="L14" s="213" t="s">
        <v>205</v>
      </c>
      <c r="M14" s="213" t="s">
        <v>205</v>
      </c>
      <c r="N14" s="213" t="s">
        <v>205</v>
      </c>
      <c r="O14" s="213" t="s">
        <v>205</v>
      </c>
      <c r="P14" s="213" t="s">
        <v>205</v>
      </c>
      <c r="Q14" s="213" t="s">
        <v>205</v>
      </c>
      <c r="R14" s="213" t="s">
        <v>205</v>
      </c>
      <c r="S14" s="213" t="s">
        <v>205</v>
      </c>
      <c r="T14" s="213" t="s">
        <v>205</v>
      </c>
      <c r="U14" s="213" t="s">
        <v>205</v>
      </c>
      <c r="V14" s="213" t="s">
        <v>205</v>
      </c>
    </row>
    <row r="15" spans="2:22" x14ac:dyDescent="0.3">
      <c r="B15" t="s">
        <v>53</v>
      </c>
      <c r="E15" s="213">
        <f>'Statements Summary 2023'!V15</f>
        <v>-16818</v>
      </c>
      <c r="F15" s="213">
        <f>'Statements Summary 2024'!V15</f>
        <v>-16818</v>
      </c>
      <c r="G15" s="213">
        <f>'Statements Summary 2025'!V15</f>
        <v>0</v>
      </c>
      <c r="H15" s="213">
        <f>'Statements Summary 2026'!V15</f>
        <v>0</v>
      </c>
      <c r="I15" s="213">
        <f t="shared" si="0"/>
        <v>0</v>
      </c>
      <c r="K15" s="213" t="s">
        <v>205</v>
      </c>
      <c r="L15" s="213">
        <f>'CF 2027'!H35</f>
        <v>0</v>
      </c>
      <c r="M15" s="213">
        <f>'CF 2027'!I35</f>
        <v>0</v>
      </c>
      <c r="N15" s="213">
        <f>'CF 2027'!J35</f>
        <v>0</v>
      </c>
      <c r="O15" s="213">
        <f>'CF 2027'!K35</f>
        <v>0</v>
      </c>
      <c r="P15" s="213">
        <f>'CF 2027'!L35</f>
        <v>0</v>
      </c>
      <c r="Q15" s="213">
        <f>'CF 2027'!M35</f>
        <v>0</v>
      </c>
      <c r="R15" s="213">
        <f>'CF 2027'!N35</f>
        <v>0</v>
      </c>
      <c r="S15" s="213">
        <f>'CF 2027'!O35</f>
        <v>0</v>
      </c>
      <c r="T15" s="213">
        <f>'CF 2027'!P35</f>
        <v>0</v>
      </c>
      <c r="U15" s="213">
        <f>'CF 2027'!Q35</f>
        <v>0</v>
      </c>
      <c r="V15" s="213">
        <f>'CF 2027'!R35</f>
        <v>0</v>
      </c>
    </row>
    <row r="16" spans="2:22" x14ac:dyDescent="0.3">
      <c r="B16" t="s">
        <v>210</v>
      </c>
      <c r="E16" s="213">
        <f>'Statements Summary 2023'!V16</f>
        <v>571786.75840000017</v>
      </c>
      <c r="F16" s="213">
        <f>'Statements Summary 2024'!V16</f>
        <v>625096.12240000011</v>
      </c>
      <c r="G16" s="213">
        <f>'Statements Summary 2025'!V16</f>
        <v>715545.26939999999</v>
      </c>
      <c r="H16" s="213">
        <f>'Statements Summary 2026'!V16</f>
        <v>749123.89899999986</v>
      </c>
      <c r="I16" s="213">
        <f t="shared" si="0"/>
        <v>840961.00200000009</v>
      </c>
      <c r="K16" s="213">
        <f>'CF 2027'!G24</f>
        <v>745104.26700000011</v>
      </c>
      <c r="L16" s="213">
        <f>'CF 2027'!H24</f>
        <v>750071.83499999996</v>
      </c>
      <c r="M16" s="213">
        <f>'CF 2027'!I24</f>
        <v>765097.91780000017</v>
      </c>
      <c r="N16" s="213">
        <f>'CF 2027'!J24</f>
        <v>770065.48579999991</v>
      </c>
      <c r="O16" s="213">
        <f>'CF 2027'!K24</f>
        <v>775033.05379999988</v>
      </c>
      <c r="P16" s="213">
        <f>'CF 2027'!L24</f>
        <v>780000.6218000002</v>
      </c>
      <c r="Q16" s="213">
        <f>'CF 2027'!M24</f>
        <v>792357.44719999994</v>
      </c>
      <c r="R16" s="213">
        <f>'CF 2027'!N24</f>
        <v>797325.01520000002</v>
      </c>
      <c r="S16" s="213">
        <f>'CF 2027'!O24</f>
        <v>817071.098</v>
      </c>
      <c r="T16" s="213">
        <f>'CF 2027'!P24</f>
        <v>822038.66599999997</v>
      </c>
      <c r="U16" s="213">
        <f>'CF 2027'!Q24</f>
        <v>827006.23399999994</v>
      </c>
      <c r="V16" s="213">
        <f>'CF 2027'!R24</f>
        <v>840961.00200000009</v>
      </c>
    </row>
    <row r="17" spans="2:22" x14ac:dyDescent="0.3">
      <c r="B17" t="s">
        <v>54</v>
      </c>
      <c r="E17" s="213">
        <f>'Statements Summary 2023'!V17</f>
        <v>1148646.1168000004</v>
      </c>
      <c r="F17" s="213">
        <f>'Statements Summary 2024'!V17</f>
        <v>1295628.0448</v>
      </c>
      <c r="G17" s="213">
        <f>'Statements Summary 2025'!V17</f>
        <v>1431090.5387999997</v>
      </c>
      <c r="H17" s="213">
        <f>'Statements Summary 2026'!V17</f>
        <v>1556320.7979999995</v>
      </c>
      <c r="I17" s="213">
        <f t="shared" si="0"/>
        <v>1745895.0040000002</v>
      </c>
      <c r="K17" s="213">
        <f>'CF 2027'!G45+'CF 2027'!G22+'CF 2027'!G23</f>
        <v>1628822.5340000002</v>
      </c>
      <c r="L17" s="213">
        <f>'CF 2027'!H45+'CF 2027'!H22+'CF 2027'!H23</f>
        <v>1569450.67</v>
      </c>
      <c r="M17" s="213">
        <f>'CF 2027'!I45+'CF 2027'!I22+'CF 2027'!I23</f>
        <v>1605402.8356000003</v>
      </c>
      <c r="N17" s="213">
        <f>'CF 2027'!J45+'CF 2027'!J22+'CF 2027'!J23</f>
        <v>1615337.9715999998</v>
      </c>
      <c r="O17" s="213">
        <f>'CF 2027'!K45+'CF 2027'!K22+'CF 2027'!K23</f>
        <v>1625273.1075999998</v>
      </c>
      <c r="P17" s="213">
        <f>'CF 2027'!L45+'CF 2027'!L22+'CF 2027'!L23</f>
        <v>1635208.2436000006</v>
      </c>
      <c r="Q17" s="213">
        <f>'CF 2027'!M45+'CF 2027'!M22+'CF 2027'!M23</f>
        <v>1659921.8943999996</v>
      </c>
      <c r="R17" s="213">
        <f>'CF 2027'!N45+'CF 2027'!N22+'CF 2027'!N23</f>
        <v>1669857.0304</v>
      </c>
      <c r="S17" s="213">
        <f>'CF 2027'!O45+'CF 2027'!O22+'CF 2027'!O23</f>
        <v>1709349.196</v>
      </c>
      <c r="T17" s="213">
        <f>'CF 2027'!P45+'CF 2027'!P22+'CF 2027'!P23</f>
        <v>1719284.3319999999</v>
      </c>
      <c r="U17" s="213">
        <f>'CF 2027'!Q45+'CF 2027'!Q22+'CF 2027'!Q23</f>
        <v>1729219.4679999999</v>
      </c>
      <c r="V17" s="213">
        <f>'CF 2027'!R45+'CF 2027'!R22+'CF 2027'!R23</f>
        <v>1745895.0040000002</v>
      </c>
    </row>
    <row r="19" spans="2:22" x14ac:dyDescent="0.3">
      <c r="B19" s="183" t="s">
        <v>275</v>
      </c>
      <c r="C19" s="156"/>
      <c r="D19" s="156"/>
      <c r="E19" s="156"/>
      <c r="F19" s="156"/>
      <c r="G19" s="156"/>
      <c r="H19" s="156"/>
      <c r="I19" s="156"/>
      <c r="K19" s="387" t="s">
        <v>286</v>
      </c>
      <c r="L19" s="387"/>
      <c r="M19" s="387"/>
      <c r="N19" s="387"/>
      <c r="O19" s="387"/>
      <c r="P19" s="387"/>
      <c r="Q19" s="387"/>
      <c r="R19" s="387"/>
      <c r="S19" s="387"/>
      <c r="T19" s="387"/>
      <c r="U19" s="387"/>
      <c r="V19" s="387"/>
    </row>
    <row r="42" spans="2:22" x14ac:dyDescent="0.3">
      <c r="B42" s="183" t="s">
        <v>276</v>
      </c>
      <c r="C42" s="183"/>
      <c r="D42" s="183"/>
      <c r="E42" s="183"/>
      <c r="F42" s="156"/>
      <c r="G42" s="156"/>
      <c r="H42" s="156"/>
      <c r="I42" s="156"/>
      <c r="J42" s="156"/>
      <c r="K42" s="387" t="s">
        <v>278</v>
      </c>
      <c r="L42" s="387"/>
      <c r="M42" s="387"/>
      <c r="N42" s="387"/>
      <c r="O42" s="387"/>
      <c r="P42" s="387"/>
      <c r="Q42" s="387"/>
      <c r="R42" s="387"/>
      <c r="S42" s="387"/>
      <c r="T42" s="387"/>
      <c r="U42" s="387"/>
      <c r="V42" s="387"/>
    </row>
    <row r="44" spans="2:22" x14ac:dyDescent="0.3">
      <c r="B44" s="201" t="s">
        <v>27</v>
      </c>
      <c r="C44" s="201"/>
      <c r="D44" s="201"/>
      <c r="E44" s="202">
        <v>2023</v>
      </c>
      <c r="F44" s="202">
        <v>2024</v>
      </c>
      <c r="G44" s="202">
        <v>2025</v>
      </c>
      <c r="H44" s="202">
        <v>2026</v>
      </c>
      <c r="I44" s="202">
        <v>2027</v>
      </c>
      <c r="J44" s="201"/>
      <c r="K44" s="201" t="s">
        <v>32</v>
      </c>
      <c r="L44" s="201" t="s">
        <v>33</v>
      </c>
      <c r="M44" s="201" t="s">
        <v>34</v>
      </c>
      <c r="N44" s="201" t="s">
        <v>35</v>
      </c>
      <c r="O44" s="201" t="s">
        <v>36</v>
      </c>
      <c r="P44" s="201" t="s">
        <v>37</v>
      </c>
      <c r="Q44" s="201" t="s">
        <v>38</v>
      </c>
      <c r="R44" s="201" t="s">
        <v>39</v>
      </c>
      <c r="S44" s="201" t="s">
        <v>40</v>
      </c>
      <c r="T44" s="201" t="s">
        <v>41</v>
      </c>
      <c r="U44" s="201" t="s">
        <v>42</v>
      </c>
      <c r="V44" s="201" t="s">
        <v>43</v>
      </c>
    </row>
    <row r="45" spans="2:22" x14ac:dyDescent="0.3">
      <c r="B45" s="23" t="s">
        <v>2</v>
      </c>
      <c r="C45" s="23"/>
      <c r="D45" s="23"/>
      <c r="E45" s="203">
        <f>'Statements Summary 2023'!V44</f>
        <v>794028.94800000021</v>
      </c>
      <c r="F45" s="203">
        <f>'Statements Summary 2024'!V45</f>
        <v>860665.65300000017</v>
      </c>
      <c r="G45" s="203">
        <f>'Statements Summary 2025'!V45</f>
        <v>880113.33675000002</v>
      </c>
      <c r="H45" s="203">
        <f>'Statements Summary 2026'!V45</f>
        <v>994677.8737499998</v>
      </c>
      <c r="I45" s="203">
        <f t="shared" ref="I45:I65" si="1">V45</f>
        <v>1115374.2525000002</v>
      </c>
      <c r="K45" s="203">
        <f>'IS 2027'!F17</f>
        <v>1000887.3337500001</v>
      </c>
      <c r="L45" s="203">
        <f>'IS 2027'!G17</f>
        <v>1007096.79375</v>
      </c>
      <c r="M45" s="203">
        <f>'IS 2027'!H17</f>
        <v>1031779.3972500002</v>
      </c>
      <c r="N45" s="203">
        <f>'IS 2027'!I17</f>
        <v>1037988.8572499999</v>
      </c>
      <c r="O45" s="203">
        <f>'IS 2027'!J17</f>
        <v>1044198.3172499998</v>
      </c>
      <c r="P45" s="203">
        <f>'IS 2027'!K17</f>
        <v>1050407.7772500003</v>
      </c>
      <c r="Q45" s="203">
        <f>'IS 2027'!L17</f>
        <v>1065853.8089999999</v>
      </c>
      <c r="R45" s="203">
        <f>'IS 2027'!M17</f>
        <v>1072063.2690000001</v>
      </c>
      <c r="S45" s="203">
        <f>'IS 2027'!N17</f>
        <v>1096745.8725000001</v>
      </c>
      <c r="T45" s="203">
        <f>'IS 2027'!O17</f>
        <v>1102955.3325</v>
      </c>
      <c r="U45" s="203">
        <f>'IS 2027'!P17</f>
        <v>1109164.7925</v>
      </c>
      <c r="V45" s="203">
        <f>'IS 2027'!Q17</f>
        <v>1115374.2525000002</v>
      </c>
    </row>
    <row r="46" spans="2:22" x14ac:dyDescent="0.3">
      <c r="B46" t="s">
        <v>28</v>
      </c>
      <c r="E46" s="1">
        <f>'Statements Summary 2023'!V45</f>
        <v>7.095553453169369E-2</v>
      </c>
      <c r="F46" s="2">
        <f>'Statements Summary 2024'!V46</f>
        <v>4.0916530278233164E-3</v>
      </c>
      <c r="G46" s="2">
        <f>'Statements Summary 2025'!V46</f>
        <v>3.5401362952473458E-3</v>
      </c>
      <c r="H46" s="2">
        <f>'Statements Summary 2026'!V46</f>
        <v>6.2819002748327451E-3</v>
      </c>
      <c r="I46" s="2">
        <f t="shared" si="1"/>
        <v>5.5983205038490219E-3</v>
      </c>
      <c r="K46" s="2"/>
      <c r="L46" s="2">
        <f t="shared" ref="L46" si="2">(L45-K45)/K45</f>
        <v>6.2039550213259416E-3</v>
      </c>
      <c r="M46" s="2">
        <f>(M45-L45)/L45</f>
        <v>2.4508670520231413E-2</v>
      </c>
      <c r="N46" s="2">
        <f>(N45-M45)/M45</f>
        <v>6.0182050703375088E-3</v>
      </c>
      <c r="O46" s="2">
        <f t="shared" ref="O46:T46" si="3">(O45-N45)/N45</f>
        <v>5.9822029462349158E-3</v>
      </c>
      <c r="P46" s="2">
        <f t="shared" si="3"/>
        <v>5.9466290046833814E-3</v>
      </c>
      <c r="Q46" s="2">
        <f t="shared" si="3"/>
        <v>1.4704795684622405E-2</v>
      </c>
      <c r="R46" s="2">
        <f t="shared" si="3"/>
        <v>5.8258083309060977E-3</v>
      </c>
      <c r="S46" s="2">
        <f t="shared" si="3"/>
        <v>2.3023457862728032E-2</v>
      </c>
      <c r="T46" s="2">
        <f t="shared" si="3"/>
        <v>5.6617126680820603E-3</v>
      </c>
      <c r="U46" s="2">
        <f>(U45-T45)/T45</f>
        <v>5.6298381421533792E-3</v>
      </c>
      <c r="V46" s="2">
        <f t="shared" ref="V46" si="4">(V45-U45)/U45</f>
        <v>5.5983205038490219E-3</v>
      </c>
    </row>
    <row r="47" spans="2:22" x14ac:dyDescent="0.3">
      <c r="B47" t="s">
        <v>3</v>
      </c>
      <c r="E47" s="1">
        <f>'Statements Summary 2023'!V46</f>
        <v>-32544</v>
      </c>
      <c r="F47" s="1">
        <f>'Statements Summary 2024'!V47</f>
        <v>-32544</v>
      </c>
      <c r="G47" s="1">
        <f>'Statements Summary 2025'!V47</f>
        <v>-32544</v>
      </c>
      <c r="H47" s="1">
        <f>'Statements Summary 2026'!V47</f>
        <v>-32544</v>
      </c>
      <c r="I47" s="1">
        <f t="shared" si="1"/>
        <v>-38444</v>
      </c>
      <c r="K47" s="1">
        <f>'IS 2027'!F18</f>
        <v>-32544</v>
      </c>
      <c r="L47" s="1">
        <f>'IS 2027'!G18</f>
        <v>-32544</v>
      </c>
      <c r="M47" s="1">
        <f>'IS 2027'!H18</f>
        <v>-38444</v>
      </c>
      <c r="N47" s="1">
        <f>'IS 2027'!I18</f>
        <v>-38444</v>
      </c>
      <c r="O47" s="1">
        <f>'IS 2027'!J18</f>
        <v>-38444</v>
      </c>
      <c r="P47" s="1">
        <f>'IS 2027'!K18</f>
        <v>-38444</v>
      </c>
      <c r="Q47" s="1">
        <f>'IS 2027'!L18</f>
        <v>-38444</v>
      </c>
      <c r="R47" s="1">
        <f>'IS 2027'!M18</f>
        <v>-38444</v>
      </c>
      <c r="S47" s="1">
        <f>'IS 2027'!N18</f>
        <v>-38444</v>
      </c>
      <c r="T47" s="1">
        <f>'IS 2027'!O18</f>
        <v>-38444</v>
      </c>
      <c r="U47" s="1">
        <f>'IS 2027'!P18</f>
        <v>-38444</v>
      </c>
      <c r="V47" s="1">
        <f>'IS 2027'!Q18</f>
        <v>-38444</v>
      </c>
    </row>
    <row r="48" spans="2:22" x14ac:dyDescent="0.3">
      <c r="B48" t="s">
        <v>29</v>
      </c>
      <c r="E48" s="2">
        <f>'Statements Summary 2023'!V47</f>
        <v>-4.0985911259245417E-2</v>
      </c>
      <c r="F48" s="2">
        <f>'Statements Summary 2024'!V48</f>
        <v>-3.7812592946589903E-2</v>
      </c>
      <c r="G48" s="2">
        <f>'Statements Summary 2025'!V48</f>
        <v>-3.6977055841666294E-2</v>
      </c>
      <c r="H48" s="2">
        <f>'Statements Summary 2026'!V48</f>
        <v>-3.2718130018623032E-2</v>
      </c>
      <c r="I48" s="2">
        <f t="shared" si="1"/>
        <v>-3.4467354714197145E-2</v>
      </c>
      <c r="K48" s="2">
        <f>K47/K45</f>
        <v>-3.2515148211605588E-2</v>
      </c>
      <c r="L48" s="2">
        <f t="shared" ref="L48:V48" si="5">L47/L45</f>
        <v>-3.2314669455772958E-2</v>
      </c>
      <c r="M48" s="2">
        <f t="shared" si="5"/>
        <v>-3.7259902749041826E-2</v>
      </c>
      <c r="N48" s="2">
        <f t="shared" si="5"/>
        <v>-3.7037006449040094E-2</v>
      </c>
      <c r="O48" s="2">
        <f t="shared" si="5"/>
        <v>-3.68167611122436E-2</v>
      </c>
      <c r="P48" s="2">
        <f t="shared" si="5"/>
        <v>-3.6599119725339017E-2</v>
      </c>
      <c r="Q48" s="2">
        <f t="shared" si="5"/>
        <v>-3.6068736327047268E-2</v>
      </c>
      <c r="R48" s="2">
        <f t="shared" si="5"/>
        <v>-3.5859823866421447E-2</v>
      </c>
      <c r="S48" s="2">
        <f t="shared" si="5"/>
        <v>-3.5052787490659099E-2</v>
      </c>
      <c r="T48" s="2">
        <f t="shared" si="5"/>
        <v>-3.4855445970655388E-2</v>
      </c>
      <c r="U48" s="2">
        <f t="shared" si="5"/>
        <v>-3.4660314012807072E-2</v>
      </c>
      <c r="V48" s="2">
        <f t="shared" si="5"/>
        <v>-3.4467354714197145E-2</v>
      </c>
    </row>
    <row r="49" spans="2:22" x14ac:dyDescent="0.3">
      <c r="B49" t="s">
        <v>4</v>
      </c>
      <c r="E49" s="1">
        <f>'Statements Summary 2023'!V48</f>
        <v>761484.94800000021</v>
      </c>
      <c r="F49" s="1">
        <f>'Statements Summary 2024'!V49</f>
        <v>828121.65300000017</v>
      </c>
      <c r="G49" s="1">
        <f>'Statements Summary 2025'!V49</f>
        <v>847569.33675000002</v>
      </c>
      <c r="H49" s="1">
        <f>'Statements Summary 2026'!V49</f>
        <v>962133.8737499998</v>
      </c>
      <c r="I49" s="1">
        <f t="shared" si="1"/>
        <v>1076930.2525000002</v>
      </c>
      <c r="K49" s="1">
        <f>'IS 2027'!F26</f>
        <v>968343.33375000011</v>
      </c>
      <c r="L49" s="1">
        <f>'IS 2027'!G26</f>
        <v>974552.79374999995</v>
      </c>
      <c r="M49" s="1">
        <f>'IS 2027'!H26</f>
        <v>993335.39725000015</v>
      </c>
      <c r="N49" s="1">
        <f>'IS 2027'!I26</f>
        <v>999544.85724999988</v>
      </c>
      <c r="O49" s="1">
        <f>'IS 2027'!J26</f>
        <v>1005754.3172499998</v>
      </c>
      <c r="P49" s="1">
        <f>'IS 2027'!K26</f>
        <v>1011963.7772500003</v>
      </c>
      <c r="Q49" s="1">
        <f>'IS 2027'!L26</f>
        <v>1027409.8089999999</v>
      </c>
      <c r="R49" s="1">
        <f>'IS 2027'!M26</f>
        <v>1033619.2690000001</v>
      </c>
      <c r="S49" s="1">
        <f>'IS 2027'!N26</f>
        <v>1058301.8725000001</v>
      </c>
      <c r="T49" s="1">
        <f>'IS 2027'!O26</f>
        <v>1064511.3325</v>
      </c>
      <c r="U49" s="1">
        <f>'IS 2027'!P26</f>
        <v>1070720.7925</v>
      </c>
      <c r="V49" s="1">
        <f>'IS 2027'!Q26</f>
        <v>1076930.2525000002</v>
      </c>
    </row>
    <row r="50" spans="2:22" x14ac:dyDescent="0.3">
      <c r="B50" t="s">
        <v>30</v>
      </c>
      <c r="E50" s="2">
        <f>'Statements Summary 2023'!V49</f>
        <v>0.95901408874075456</v>
      </c>
      <c r="F50" s="2">
        <f>'Statements Summary 2024'!V50</f>
        <v>0.9621874070534101</v>
      </c>
      <c r="G50" s="2">
        <f>'Statements Summary 2025'!V50</f>
        <v>0.96302294415833367</v>
      </c>
      <c r="H50" s="2">
        <f>'Statements Summary 2026'!V50</f>
        <v>0.967281869981377</v>
      </c>
      <c r="I50" s="2">
        <f t="shared" si="1"/>
        <v>0.96553264528580285</v>
      </c>
      <c r="K50" s="2">
        <f>K49/K45</f>
        <v>0.96748485178839438</v>
      </c>
      <c r="L50" s="2">
        <f t="shared" ref="L50:V50" si="6">L49/L45</f>
        <v>0.96768533054422701</v>
      </c>
      <c r="M50" s="2">
        <f t="shared" si="6"/>
        <v>0.96274009725095822</v>
      </c>
      <c r="N50" s="2">
        <f t="shared" si="6"/>
        <v>0.96296299355095993</v>
      </c>
      <c r="O50" s="2">
        <f t="shared" si="6"/>
        <v>0.96318323888775637</v>
      </c>
      <c r="P50" s="2">
        <f t="shared" si="6"/>
        <v>0.96340088027466098</v>
      </c>
      <c r="Q50" s="2">
        <f t="shared" si="6"/>
        <v>0.96393126367295268</v>
      </c>
      <c r="R50" s="2">
        <f t="shared" si="6"/>
        <v>0.9641401761335785</v>
      </c>
      <c r="S50" s="2">
        <f t="shared" si="6"/>
        <v>0.9649472125093409</v>
      </c>
      <c r="T50" s="2">
        <f t="shared" si="6"/>
        <v>0.96514455402934463</v>
      </c>
      <c r="U50" s="2">
        <f t="shared" si="6"/>
        <v>0.96533968598719289</v>
      </c>
      <c r="V50" s="2">
        <f t="shared" si="6"/>
        <v>0.96553264528580285</v>
      </c>
    </row>
    <row r="51" spans="2:22" x14ac:dyDescent="0.3">
      <c r="B51" t="s">
        <v>6</v>
      </c>
      <c r="E51" s="1">
        <f>'Statements Summary 2023'!V50</f>
        <v>-17479</v>
      </c>
      <c r="F51" s="1">
        <f>'Statements Summary 2024'!V51</f>
        <v>-17479</v>
      </c>
      <c r="G51" s="1">
        <f>'Statements Summary 2025'!V51</f>
        <v>-17479</v>
      </c>
      <c r="H51" s="1">
        <f>'Statements Summary 2026'!V51</f>
        <v>-17479</v>
      </c>
      <c r="I51" s="1">
        <f t="shared" si="1"/>
        <v>-17479</v>
      </c>
      <c r="K51" s="1">
        <f>'IS 2027'!F37</f>
        <v>-28713</v>
      </c>
      <c r="L51" s="1">
        <f>'IS 2027'!G37</f>
        <v>-28713</v>
      </c>
      <c r="M51" s="1">
        <f>'IS 2027'!H37</f>
        <v>-28713</v>
      </c>
      <c r="N51" s="1">
        <f>'IS 2027'!I37</f>
        <v>-28713</v>
      </c>
      <c r="O51" s="1">
        <f>'IS 2027'!J37</f>
        <v>-28713</v>
      </c>
      <c r="P51" s="1">
        <f>'IS 2027'!K37</f>
        <v>-28713</v>
      </c>
      <c r="Q51" s="1">
        <f>'IS 2027'!L37</f>
        <v>-28713</v>
      </c>
      <c r="R51" s="1">
        <f>'IS 2027'!M37</f>
        <v>-28713</v>
      </c>
      <c r="S51" s="1">
        <f>'IS 2027'!N37</f>
        <v>-28713</v>
      </c>
      <c r="T51" s="1">
        <f>'IS 2027'!O37</f>
        <v>-28713</v>
      </c>
      <c r="U51" s="1">
        <f>'IS 2027'!P37</f>
        <v>-28713</v>
      </c>
      <c r="V51" s="1">
        <f>'IS 2027'!Q37</f>
        <v>-17479</v>
      </c>
    </row>
    <row r="52" spans="2:22" x14ac:dyDescent="0.3">
      <c r="B52" t="s">
        <v>29</v>
      </c>
      <c r="E52" s="2">
        <f>'Statements Summary 2023'!V51</f>
        <v>-2.2013051342808218E-2</v>
      </c>
      <c r="F52" s="2">
        <f>'Statements Summary 2024'!V52</f>
        <v>-2.0308699364351184E-2</v>
      </c>
      <c r="G52" s="2">
        <f>'Statements Summary 2025'!V52</f>
        <v>-1.9859942203063086E-2</v>
      </c>
      <c r="H52" s="2">
        <f>'Statements Summary 2026'!V52</f>
        <v>-1.7572523186931907E-2</v>
      </c>
      <c r="I52" s="2">
        <f t="shared" si="1"/>
        <v>-1.5670973183057223E-2</v>
      </c>
      <c r="K52" s="2">
        <f>K51/K45</f>
        <v>-2.8687544573495306E-2</v>
      </c>
      <c r="L52" s="2">
        <f t="shared" ref="L52:V52" si="7">L51/L45</f>
        <v>-2.8510665685951602E-2</v>
      </c>
      <c r="M52" s="2">
        <f t="shared" si="7"/>
        <v>-2.7828623130611747E-2</v>
      </c>
      <c r="N52" s="2">
        <f t="shared" si="7"/>
        <v>-2.7662146659330145E-2</v>
      </c>
      <c r="O52" s="2">
        <f t="shared" si="7"/>
        <v>-2.7497650135673981E-2</v>
      </c>
      <c r="P52" s="2">
        <f t="shared" si="7"/>
        <v>-2.7335098446406702E-2</v>
      </c>
      <c r="Q52" s="2">
        <f t="shared" si="7"/>
        <v>-2.6938966448821877E-2</v>
      </c>
      <c r="R52" s="2">
        <f t="shared" si="7"/>
        <v>-2.6782934207589197E-2</v>
      </c>
      <c r="S52" s="2">
        <f t="shared" si="7"/>
        <v>-2.6180176027970417E-2</v>
      </c>
      <c r="T52" s="2">
        <f t="shared" si="7"/>
        <v>-2.6032785874399857E-2</v>
      </c>
      <c r="U52" s="2">
        <f t="shared" si="7"/>
        <v>-2.5887045995466901E-2</v>
      </c>
      <c r="V52" s="2">
        <f t="shared" si="7"/>
        <v>-1.5670973183057223E-2</v>
      </c>
    </row>
    <row r="53" spans="2:22" x14ac:dyDescent="0.3">
      <c r="B53" t="s">
        <v>206</v>
      </c>
      <c r="E53" s="1">
        <f>'Statements Summary 2023'!V52</f>
        <v>-45063</v>
      </c>
      <c r="F53" s="1">
        <f>'Statements Summary 2024'!V53</f>
        <v>-45063</v>
      </c>
      <c r="G53" s="1">
        <f>'Statements Summary 2025'!V53</f>
        <v>-45063</v>
      </c>
      <c r="H53" s="1">
        <f>'Statements Summary 2026'!V53</f>
        <v>-45063</v>
      </c>
      <c r="I53" s="1">
        <f t="shared" si="1"/>
        <v>-45063</v>
      </c>
      <c r="K53" s="1">
        <f>'IS 2027'!F38</f>
        <v>-45063</v>
      </c>
      <c r="L53" s="1">
        <f>'IS 2027'!G38</f>
        <v>-45063</v>
      </c>
      <c r="M53" s="1">
        <f>'IS 2027'!H38</f>
        <v>-45063</v>
      </c>
      <c r="N53" s="1">
        <f>'IS 2027'!I38</f>
        <v>-45063</v>
      </c>
      <c r="O53" s="1">
        <f>'IS 2027'!J38</f>
        <v>-45063</v>
      </c>
      <c r="P53" s="1">
        <f>'IS 2027'!K38</f>
        <v>-45063</v>
      </c>
      <c r="Q53" s="1">
        <f>'IS 2027'!L38</f>
        <v>-45063</v>
      </c>
      <c r="R53" s="1">
        <f>'IS 2027'!M38</f>
        <v>-45063</v>
      </c>
      <c r="S53" s="1">
        <f>'IS 2027'!N38</f>
        <v>-45063</v>
      </c>
      <c r="T53" s="1">
        <f>'IS 2027'!O38</f>
        <v>-45063</v>
      </c>
      <c r="U53" s="1">
        <f>'IS 2027'!P38</f>
        <v>-45063</v>
      </c>
      <c r="V53" s="1">
        <f>'IS 2027'!Q38</f>
        <v>-45063</v>
      </c>
    </row>
    <row r="54" spans="2:22" x14ac:dyDescent="0.3">
      <c r="B54" t="s">
        <v>29</v>
      </c>
      <c r="E54" s="2">
        <f>'Statements Summary 2023'!V53</f>
        <v>-5.6752338958805805E-2</v>
      </c>
      <c r="F54" s="2">
        <f>'Statements Summary 2024'!V54</f>
        <v>-5.2358311085059638E-2</v>
      </c>
      <c r="G54" s="2">
        <f>'Statements Summary 2025'!V54</f>
        <v>-5.1201360232086039E-2</v>
      </c>
      <c r="H54" s="2">
        <f>'Statements Summary 2026'!V54</f>
        <v>-4.5304114215499319E-2</v>
      </c>
      <c r="I54" s="2">
        <f t="shared" si="1"/>
        <v>-4.040168571131688E-2</v>
      </c>
      <c r="K54" s="2">
        <f>K53/K45</f>
        <v>-4.5023049528625327E-2</v>
      </c>
      <c r="L54" s="2">
        <f t="shared" ref="L54:V54" si="8">L53/L45</f>
        <v>-4.4745450764672345E-2</v>
      </c>
      <c r="M54" s="2">
        <f t="shared" si="8"/>
        <v>-4.3675033752472996E-2</v>
      </c>
      <c r="N54" s="2">
        <f t="shared" si="8"/>
        <v>-4.3413760836882052E-2</v>
      </c>
      <c r="O54" s="2">
        <f t="shared" si="8"/>
        <v>-4.3155595307487082E-2</v>
      </c>
      <c r="P54" s="2">
        <f t="shared" si="8"/>
        <v>-4.2900482056574554E-2</v>
      </c>
      <c r="Q54" s="2">
        <f t="shared" si="8"/>
        <v>-4.2278781216983953E-2</v>
      </c>
      <c r="R54" s="2">
        <f t="shared" si="8"/>
        <v>-4.2033899773503011E-2</v>
      </c>
      <c r="S54" s="2">
        <f t="shared" si="8"/>
        <v>-4.1087913918727785E-2</v>
      </c>
      <c r="T54" s="2">
        <f t="shared" si="8"/>
        <v>-4.0856595613766616E-2</v>
      </c>
      <c r="U54" s="2">
        <f t="shared" si="8"/>
        <v>-4.0627867296824605E-2</v>
      </c>
      <c r="V54" s="2">
        <f t="shared" si="8"/>
        <v>-4.040168571131688E-2</v>
      </c>
    </row>
    <row r="55" spans="2:22" x14ac:dyDescent="0.3">
      <c r="B55" t="s">
        <v>31</v>
      </c>
      <c r="E55" s="1">
        <f>'Statements Summary 2023'!V54</f>
        <v>-8250</v>
      </c>
      <c r="F55" s="1">
        <f>'Statements Summary 2024'!V55</f>
        <v>-8250</v>
      </c>
      <c r="G55" s="1">
        <f>'Statements Summary 2025'!V55</f>
        <v>-8250</v>
      </c>
      <c r="H55" s="1">
        <f>'Statements Summary 2026'!V55</f>
        <v>-8250</v>
      </c>
      <c r="I55" s="1">
        <f t="shared" si="1"/>
        <v>-8250</v>
      </c>
      <c r="K55" s="1">
        <f>'IS 2027'!F56</f>
        <v>-8250</v>
      </c>
      <c r="L55" s="1">
        <f>'IS 2027'!G56</f>
        <v>-8250</v>
      </c>
      <c r="M55" s="1">
        <f>'IS 2027'!H56</f>
        <v>-8250</v>
      </c>
      <c r="N55" s="1">
        <f>'IS 2027'!I56</f>
        <v>-8250</v>
      </c>
      <c r="O55" s="1">
        <f>'IS 2027'!J56</f>
        <v>-8250</v>
      </c>
      <c r="P55" s="1">
        <f>'IS 2027'!K56</f>
        <v>-8250</v>
      </c>
      <c r="Q55" s="1">
        <f>'IS 2027'!L56</f>
        <v>-8250</v>
      </c>
      <c r="R55" s="1">
        <f>'IS 2027'!M56</f>
        <v>-8250</v>
      </c>
      <c r="S55" s="1">
        <f>'IS 2027'!N56</f>
        <v>-8250</v>
      </c>
      <c r="T55" s="1">
        <f>'IS 2027'!O56</f>
        <v>-8250</v>
      </c>
      <c r="U55" s="1">
        <f>'IS 2027'!P56</f>
        <v>-8250</v>
      </c>
      <c r="V55" s="1">
        <f>'IS 2027'!Q56</f>
        <v>-8250</v>
      </c>
    </row>
    <row r="56" spans="2:22" x14ac:dyDescent="0.3">
      <c r="B56" t="s">
        <v>29</v>
      </c>
      <c r="E56" s="2">
        <f>'Statements Summary 2023'!V55</f>
        <v>-1.0390049406611807E-2</v>
      </c>
      <c r="F56" s="2">
        <f>'Statements Summary 2024'!V56</f>
        <v>-9.5856038535326541E-3</v>
      </c>
      <c r="G56" s="2">
        <f>'Statements Summary 2025'!V56</f>
        <v>-9.3737927327232941E-3</v>
      </c>
      <c r="H56" s="2">
        <f>'Statements Summary 2026'!V56</f>
        <v>-8.294142473378811E-3</v>
      </c>
      <c r="I56" s="2">
        <f t="shared" si="1"/>
        <v>-7.3966204451182621E-3</v>
      </c>
      <c r="K56" s="2">
        <f>K55/K45</f>
        <v>-8.2426859865334951E-3</v>
      </c>
      <c r="L56" s="2">
        <f t="shared" ref="L56:V56" si="9">L55/L45</f>
        <v>-8.1918640305471638E-3</v>
      </c>
      <c r="M56" s="2">
        <f t="shared" si="9"/>
        <v>-7.9958952679116402E-3</v>
      </c>
      <c r="N56" s="2">
        <f t="shared" si="9"/>
        <v>-7.948062199682155E-3</v>
      </c>
      <c r="O56" s="2">
        <f t="shared" si="9"/>
        <v>-7.9007980224745002E-3</v>
      </c>
      <c r="P56" s="2">
        <f t="shared" si="9"/>
        <v>-7.854092647332403E-3</v>
      </c>
      <c r="Q56" s="2">
        <f t="shared" si="9"/>
        <v>-7.7402735068707726E-3</v>
      </c>
      <c r="R56" s="2">
        <f t="shared" si="9"/>
        <v>-7.6954413405987132E-3</v>
      </c>
      <c r="S56" s="2">
        <f t="shared" si="9"/>
        <v>-7.5222530641436258E-3</v>
      </c>
      <c r="T56" s="2">
        <f t="shared" si="9"/>
        <v>-7.4799039969281802E-3</v>
      </c>
      <c r="U56" s="2">
        <f t="shared" si="9"/>
        <v>-7.4380290970153563E-3</v>
      </c>
      <c r="V56" s="2">
        <f t="shared" si="9"/>
        <v>-7.3966204451182621E-3</v>
      </c>
    </row>
    <row r="57" spans="2:22" x14ac:dyDescent="0.3">
      <c r="B57" s="23" t="s">
        <v>10</v>
      </c>
      <c r="C57" s="23"/>
      <c r="D57" s="23"/>
      <c r="E57" s="203">
        <f>'Statements Summary 2023'!V56</f>
        <v>735755.94800000021</v>
      </c>
      <c r="F57" s="203">
        <f>'Statements Summary 2024'!V57</f>
        <v>802392.65300000017</v>
      </c>
      <c r="G57" s="203">
        <f>'Statements Summary 2025'!V57</f>
        <v>821840.33675000002</v>
      </c>
      <c r="H57" s="203">
        <f>'Statements Summary 2026'!V57</f>
        <v>936404.8737499998</v>
      </c>
      <c r="I57" s="203">
        <f t="shared" si="1"/>
        <v>1051201.2525000002</v>
      </c>
      <c r="K57" s="203">
        <f>'IS 2027'!F57</f>
        <v>931380.33375000011</v>
      </c>
      <c r="L57" s="203">
        <f>'IS 2027'!G57</f>
        <v>937589.79374999995</v>
      </c>
      <c r="M57" s="203">
        <f>'IS 2027'!H57</f>
        <v>956372.39725000015</v>
      </c>
      <c r="N57" s="203">
        <f>'IS 2027'!I57</f>
        <v>962581.85724999988</v>
      </c>
      <c r="O57" s="203">
        <f>'IS 2027'!J57</f>
        <v>968791.31724999985</v>
      </c>
      <c r="P57" s="203">
        <f>'IS 2027'!K57</f>
        <v>975000.77725000028</v>
      </c>
      <c r="Q57" s="203">
        <f>'IS 2027'!L57</f>
        <v>990446.80899999989</v>
      </c>
      <c r="R57" s="203">
        <f>'IS 2027'!M57</f>
        <v>996656.26900000009</v>
      </c>
      <c r="S57" s="203">
        <f>'IS 2027'!N57</f>
        <v>1021338.8725000001</v>
      </c>
      <c r="T57" s="203">
        <f>'IS 2027'!O57</f>
        <v>1027548.3325</v>
      </c>
      <c r="U57" s="203">
        <f>'IS 2027'!P57</f>
        <v>1033757.7925</v>
      </c>
      <c r="V57" s="203">
        <f>'IS 2027'!Q57</f>
        <v>1051201.2525000002</v>
      </c>
    </row>
    <row r="58" spans="2:22" x14ac:dyDescent="0.3">
      <c r="B58" t="s">
        <v>22</v>
      </c>
      <c r="E58" s="2">
        <f>'Statements Summary 2023'!V57</f>
        <v>0.92661098799133457</v>
      </c>
      <c r="F58" s="2">
        <f>'Statements Summary 2024'!V58</f>
        <v>0.93229310383552622</v>
      </c>
      <c r="G58" s="2">
        <f>'Statements Summary 2025'!V58</f>
        <v>0.93378920922254738</v>
      </c>
      <c r="H58" s="2">
        <f>'Statements Summary 2026'!V58</f>
        <v>0.94141520432106629</v>
      </c>
      <c r="I58" s="2">
        <f t="shared" si="1"/>
        <v>0.9424650516576274</v>
      </c>
      <c r="K58" s="2">
        <f>K57/K45</f>
        <v>0.93055462122836563</v>
      </c>
      <c r="L58" s="2">
        <f t="shared" ref="L58:V58" si="10">L57/L45</f>
        <v>0.93098280082772833</v>
      </c>
      <c r="M58" s="2">
        <f t="shared" si="10"/>
        <v>0.92691557885243481</v>
      </c>
      <c r="N58" s="2">
        <f t="shared" si="10"/>
        <v>0.9273527846919476</v>
      </c>
      <c r="O58" s="2">
        <f t="shared" si="10"/>
        <v>0.92778479072960796</v>
      </c>
      <c r="P58" s="2">
        <f t="shared" si="10"/>
        <v>0.9282116891809219</v>
      </c>
      <c r="Q58" s="2">
        <f t="shared" si="10"/>
        <v>0.92925202371726012</v>
      </c>
      <c r="R58" s="2">
        <f t="shared" si="10"/>
        <v>0.92966180058539061</v>
      </c>
      <c r="S58" s="2">
        <f t="shared" si="10"/>
        <v>0.93124478341722683</v>
      </c>
      <c r="T58" s="2">
        <f t="shared" si="10"/>
        <v>0.93163186415801658</v>
      </c>
      <c r="U58" s="2">
        <f t="shared" si="10"/>
        <v>0.93201461089471072</v>
      </c>
      <c r="V58" s="2">
        <f t="shared" si="10"/>
        <v>0.9424650516576274</v>
      </c>
    </row>
    <row r="59" spans="2:22" x14ac:dyDescent="0.3">
      <c r="B59" t="s">
        <v>11</v>
      </c>
      <c r="E59" s="1">
        <f>'Statements Summary 2023'!V58</f>
        <v>-1711</v>
      </c>
      <c r="F59" s="1">
        <f>'Statements Summary 2024'!V59</f>
        <v>-1850</v>
      </c>
      <c r="G59" s="1">
        <f>'Statements Summary 2025'!V59</f>
        <v>-1911</v>
      </c>
      <c r="H59" s="1">
        <f>'Statements Summary 2026'!V59</f>
        <v>-1756</v>
      </c>
      <c r="I59" s="1">
        <f t="shared" si="1"/>
        <v>-1800</v>
      </c>
      <c r="K59">
        <f>'IS 2027'!F58</f>
        <v>-1756</v>
      </c>
      <c r="L59">
        <f>'IS 2027'!G58</f>
        <v>-1756</v>
      </c>
      <c r="M59">
        <f>'IS 2027'!H58</f>
        <v>-1756</v>
      </c>
      <c r="N59">
        <f>'IS 2027'!I58</f>
        <v>-1756</v>
      </c>
      <c r="O59">
        <f>'IS 2027'!J58</f>
        <v>-1756</v>
      </c>
      <c r="P59">
        <f>'IS 2027'!K58</f>
        <v>-1756</v>
      </c>
      <c r="Q59">
        <f>'IS 2027'!L58</f>
        <v>-1756</v>
      </c>
      <c r="R59">
        <f>'IS 2027'!M58</f>
        <v>-1800</v>
      </c>
      <c r="S59">
        <f>'IS 2027'!N58</f>
        <v>-1800</v>
      </c>
      <c r="T59">
        <f>'IS 2027'!O58</f>
        <v>-1800</v>
      </c>
      <c r="U59">
        <f>'IS 2027'!P58</f>
        <v>-1800</v>
      </c>
      <c r="V59">
        <f>'IS 2027'!Q58</f>
        <v>-1800</v>
      </c>
    </row>
    <row r="60" spans="2:22" x14ac:dyDescent="0.3">
      <c r="B60" t="s">
        <v>12</v>
      </c>
      <c r="E60" s="1">
        <f>'Statements Summary 2023'!V59</f>
        <v>734044.94800000021</v>
      </c>
      <c r="F60" s="1">
        <f>'Statements Summary 2024'!V60</f>
        <v>800542.65300000017</v>
      </c>
      <c r="G60" s="1">
        <f>'Statements Summary 2025'!V60</f>
        <v>823751.33675000002</v>
      </c>
      <c r="H60" s="1">
        <f>'Statements Summary 2026'!V60</f>
        <v>934648.8737499998</v>
      </c>
      <c r="I60" s="1">
        <f t="shared" si="1"/>
        <v>1049401.2525000002</v>
      </c>
      <c r="K60" s="1">
        <f>'IS 2027'!F59</f>
        <v>929624.33375000011</v>
      </c>
      <c r="L60" s="1">
        <f>'IS 2027'!G59</f>
        <v>935833.79374999995</v>
      </c>
      <c r="M60" s="1">
        <f>'IS 2027'!H59</f>
        <v>954616.39725000015</v>
      </c>
      <c r="N60" s="1">
        <f>'IS 2027'!I59</f>
        <v>960825.85724999988</v>
      </c>
      <c r="O60" s="1">
        <f>'IS 2027'!J59</f>
        <v>967035.31724999985</v>
      </c>
      <c r="P60" s="1">
        <f>'IS 2027'!K59</f>
        <v>973244.77725000028</v>
      </c>
      <c r="Q60" s="1">
        <f>'IS 2027'!L59</f>
        <v>988690.80899999989</v>
      </c>
      <c r="R60" s="1">
        <f>'IS 2027'!M59</f>
        <v>994856.26900000009</v>
      </c>
      <c r="S60" s="1">
        <f>'IS 2027'!N59</f>
        <v>1019538.8725000001</v>
      </c>
      <c r="T60" s="1">
        <f>'IS 2027'!O59</f>
        <v>1025748.3325</v>
      </c>
      <c r="U60" s="1">
        <f>'IS 2027'!P59</f>
        <v>1031957.7925</v>
      </c>
      <c r="V60" s="1">
        <f>'IS 2027'!Q59</f>
        <v>1049401.2525000002</v>
      </c>
    </row>
    <row r="61" spans="2:22" x14ac:dyDescent="0.3">
      <c r="B61" t="s">
        <v>13</v>
      </c>
      <c r="E61" s="1">
        <f>'Statements Summary 2023'!V60</f>
        <v>-53000.4</v>
      </c>
      <c r="F61" s="1">
        <f>'Statements Summary 2024'!V61</f>
        <v>-12637.2</v>
      </c>
      <c r="G61" s="1">
        <f>'Statements Summary 2025'!V61</f>
        <v>0</v>
      </c>
      <c r="H61" s="1">
        <f>'Statements Summary 2026'!V61</f>
        <v>0</v>
      </c>
      <c r="I61" s="1">
        <f t="shared" si="1"/>
        <v>0</v>
      </c>
      <c r="K61" s="1">
        <f>'IS 2027'!F60</f>
        <v>0</v>
      </c>
      <c r="L61" s="1">
        <f>'IS 2027'!G60</f>
        <v>0</v>
      </c>
      <c r="M61" s="1">
        <f>'IS 2027'!H60</f>
        <v>0</v>
      </c>
      <c r="N61" s="1">
        <f>'IS 2027'!I60</f>
        <v>0</v>
      </c>
      <c r="O61" s="1">
        <f>'IS 2027'!J60</f>
        <v>0</v>
      </c>
      <c r="P61" s="1">
        <f>'IS 2027'!K60</f>
        <v>0</v>
      </c>
      <c r="Q61" s="1">
        <f>'IS 2027'!L60</f>
        <v>0</v>
      </c>
      <c r="R61" s="1">
        <f>'IS 2027'!M60</f>
        <v>0</v>
      </c>
      <c r="S61" s="1">
        <f>'IS 2027'!N60</f>
        <v>0</v>
      </c>
      <c r="T61" s="1">
        <f>'IS 2027'!O60</f>
        <v>0</v>
      </c>
      <c r="U61" s="1">
        <f>'IS 2027'!P60</f>
        <v>0</v>
      </c>
      <c r="V61" s="1">
        <f>'IS 2027'!Q60</f>
        <v>0</v>
      </c>
    </row>
    <row r="62" spans="2:22" x14ac:dyDescent="0.3">
      <c r="B62" t="s">
        <v>14</v>
      </c>
      <c r="E62" s="1">
        <f>'Statements Summary 2023'!V61</f>
        <v>735755.94800000021</v>
      </c>
      <c r="F62" s="1">
        <f>'Statements Summary 2024'!V62</f>
        <v>802392.65300000017</v>
      </c>
      <c r="G62" s="1">
        <f>'Statements Summary 2025'!V62</f>
        <v>821840.33675000002</v>
      </c>
      <c r="H62" s="1">
        <f>'Statements Summary 2026'!V62</f>
        <v>936404.8737499998</v>
      </c>
      <c r="I62" s="1">
        <f t="shared" si="1"/>
        <v>1051201.2525000002</v>
      </c>
      <c r="K62" s="1">
        <f>'IS 2027'!F61</f>
        <v>931380.33375000011</v>
      </c>
      <c r="L62" s="1">
        <f>'IS 2027'!G61</f>
        <v>937589.79374999995</v>
      </c>
      <c r="M62" s="1">
        <f>'IS 2027'!H61</f>
        <v>956372.39725000015</v>
      </c>
      <c r="N62" s="1">
        <f>'IS 2027'!I61</f>
        <v>962581.85724999988</v>
      </c>
      <c r="O62" s="1">
        <f>'IS 2027'!J61</f>
        <v>968791.31724999985</v>
      </c>
      <c r="P62" s="1">
        <f>'IS 2027'!K61</f>
        <v>975000.77725000028</v>
      </c>
      <c r="Q62" s="1">
        <f>'IS 2027'!L61</f>
        <v>990446.80899999989</v>
      </c>
      <c r="R62" s="1">
        <f>'IS 2027'!M61</f>
        <v>996656.26900000009</v>
      </c>
      <c r="S62" s="1">
        <f>'IS 2027'!N61</f>
        <v>1021338.8725000001</v>
      </c>
      <c r="T62" s="1">
        <f>'IS 2027'!O61</f>
        <v>1027548.3325</v>
      </c>
      <c r="U62" s="1">
        <f>'IS 2027'!P61</f>
        <v>1033757.7925</v>
      </c>
      <c r="V62" s="1">
        <f>'IS 2027'!Q61</f>
        <v>1051201.2525000002</v>
      </c>
    </row>
    <row r="63" spans="2:22" x14ac:dyDescent="0.3">
      <c r="B63" t="s">
        <v>15</v>
      </c>
      <c r="E63" s="1">
        <f>'Statements Summary 2023'!V62</f>
        <v>-147151.18960000004</v>
      </c>
      <c r="F63" s="1">
        <f>'Statements Summary 2024'!V63</f>
        <v>-160478.53060000006</v>
      </c>
      <c r="G63" s="1">
        <f>'Statements Summary 2025'!V63</f>
        <v>-164368.06735000003</v>
      </c>
      <c r="H63" s="1">
        <f>'Statements Summary 2026'!V63</f>
        <v>-187280.97474999996</v>
      </c>
      <c r="I63" s="1">
        <f t="shared" si="1"/>
        <v>-187280.97474999996</v>
      </c>
      <c r="K63" s="1">
        <f>'IS 2027'!F62</f>
        <v>-186276.06675000003</v>
      </c>
      <c r="L63" s="1">
        <f>'IS 2026'!G62</f>
        <v>-167073.31170000002</v>
      </c>
      <c r="M63" s="1">
        <f>'IS 2026'!H62</f>
        <v>-168315.20369999998</v>
      </c>
      <c r="N63" s="1">
        <f>'IS 2026'!I62</f>
        <v>-169557.09570000006</v>
      </c>
      <c r="O63" s="1">
        <f>'IS 2026'!J62</f>
        <v>-170798.98769999997</v>
      </c>
      <c r="P63" s="1">
        <f>'IS 2026'!K62</f>
        <v>-172040.87970000005</v>
      </c>
      <c r="Q63" s="1">
        <f>'IS 2026'!L62</f>
        <v>-173282.77170000004</v>
      </c>
      <c r="R63" s="1">
        <f>'IS 2026'!M62</f>
        <v>-178219.29239999998</v>
      </c>
      <c r="S63" s="1">
        <f>'IS 2026'!N62</f>
        <v>-179461.18440000003</v>
      </c>
      <c r="T63" s="1">
        <f>'IS 2026'!O62</f>
        <v>-180703.07640000002</v>
      </c>
      <c r="U63" s="1">
        <f>'IS 2026'!P62</f>
        <v>-183792.28275000004</v>
      </c>
      <c r="V63" s="1">
        <f>'IS 2026'!Q62</f>
        <v>-187280.97474999996</v>
      </c>
    </row>
    <row r="64" spans="2:22" x14ac:dyDescent="0.3">
      <c r="B64" s="23" t="s">
        <v>16</v>
      </c>
      <c r="C64" s="23"/>
      <c r="D64" s="23"/>
      <c r="E64" s="203">
        <f>'Statements Summary 2023'!V63</f>
        <v>588604.75840000017</v>
      </c>
      <c r="F64" s="203">
        <f>'Statements Summary 2024'!V64</f>
        <v>641914.12240000011</v>
      </c>
      <c r="G64" s="203">
        <f>'Statements Summary 2025'!V64</f>
        <v>657472.26939999999</v>
      </c>
      <c r="H64" s="203">
        <f>'Statements Summary 2026'!V64</f>
        <v>749123.89899999986</v>
      </c>
      <c r="I64" s="203">
        <f t="shared" si="1"/>
        <v>840961.00200000009</v>
      </c>
      <c r="K64" s="203">
        <f>'IS 2027'!F63</f>
        <v>745104.26700000011</v>
      </c>
      <c r="L64" s="203">
        <f>'IS 2027'!G63</f>
        <v>750071.83499999996</v>
      </c>
      <c r="M64" s="203">
        <f>'IS 2027'!H63</f>
        <v>765097.91780000017</v>
      </c>
      <c r="N64" s="203">
        <f>'IS 2027'!I63</f>
        <v>770065.48579999991</v>
      </c>
      <c r="O64" s="203">
        <f>'IS 2027'!J63</f>
        <v>775033.05379999988</v>
      </c>
      <c r="P64" s="203">
        <f>'IS 2027'!K63</f>
        <v>780000.6218000002</v>
      </c>
      <c r="Q64" s="203">
        <f>'IS 2027'!L63</f>
        <v>792357.44719999994</v>
      </c>
      <c r="R64" s="203">
        <f>'IS 2027'!M63</f>
        <v>797325.01520000002</v>
      </c>
      <c r="S64" s="203">
        <f>'IS 2027'!N63</f>
        <v>817071.098</v>
      </c>
      <c r="T64" s="203">
        <f>'IS 2027'!O63</f>
        <v>822038.66599999997</v>
      </c>
      <c r="U64" s="203">
        <f>'IS 2027'!P63</f>
        <v>827006.23399999994</v>
      </c>
      <c r="V64" s="203">
        <f>'IS 2027'!Q63</f>
        <v>840961.00200000009</v>
      </c>
    </row>
    <row r="65" spans="2:22" x14ac:dyDescent="0.3">
      <c r="B65" t="s">
        <v>17</v>
      </c>
      <c r="E65" s="2">
        <f>'Statements Summary 2023'!V64</f>
        <v>0.74128879039306761</v>
      </c>
      <c r="F65" s="2">
        <f>'Statements Summary 2024'!V65</f>
        <v>0.74583448306842093</v>
      </c>
      <c r="G65" s="2">
        <f>'Statements Summary 2025'!V65</f>
        <v>0.74703136737803788</v>
      </c>
      <c r="H65" s="2">
        <f>'Statements Summary 2026'!V65</f>
        <v>0.75313216345685308</v>
      </c>
      <c r="I65" s="2">
        <f t="shared" si="1"/>
        <v>0.75397204132610185</v>
      </c>
      <c r="K65" s="2">
        <f>K64/K45</f>
        <v>0.74444369698269253</v>
      </c>
      <c r="L65" s="2">
        <f t="shared" ref="L65:V65" si="11">L64/L45</f>
        <v>0.74478624066218257</v>
      </c>
      <c r="M65" s="2">
        <f t="shared" si="11"/>
        <v>0.74153246308194787</v>
      </c>
      <c r="N65" s="2">
        <f t="shared" si="11"/>
        <v>0.74188222775355805</v>
      </c>
      <c r="O65" s="2">
        <f t="shared" si="11"/>
        <v>0.7422278325836863</v>
      </c>
      <c r="P65" s="2">
        <f t="shared" si="11"/>
        <v>0.74256935134473745</v>
      </c>
      <c r="Q65" s="2">
        <f t="shared" si="11"/>
        <v>0.74340161897380808</v>
      </c>
      <c r="R65" s="2">
        <f t="shared" si="11"/>
        <v>0.74372944046831246</v>
      </c>
      <c r="S65" s="2">
        <f t="shared" si="11"/>
        <v>0.7449958267337814</v>
      </c>
      <c r="T65" s="2">
        <f t="shared" si="11"/>
        <v>0.74530549132641322</v>
      </c>
      <c r="U65" s="2">
        <f t="shared" si="11"/>
        <v>0.74561168871576844</v>
      </c>
      <c r="V65" s="2">
        <f t="shared" si="11"/>
        <v>0.75397204132610185</v>
      </c>
    </row>
    <row r="67" spans="2:22" x14ac:dyDescent="0.3">
      <c r="B67" s="183" t="s">
        <v>276</v>
      </c>
      <c r="C67" s="156"/>
      <c r="D67" s="156"/>
      <c r="E67" s="156"/>
      <c r="F67" s="156"/>
      <c r="G67" s="156"/>
      <c r="H67" s="156"/>
      <c r="I67" s="156"/>
      <c r="K67" s="387" t="s">
        <v>278</v>
      </c>
      <c r="L67" s="387"/>
      <c r="M67" s="387"/>
      <c r="N67" s="387"/>
      <c r="O67" s="387"/>
      <c r="P67" s="387"/>
      <c r="Q67" s="387"/>
      <c r="R67" s="387"/>
      <c r="S67" s="387"/>
      <c r="T67" s="387"/>
      <c r="U67" s="387"/>
      <c r="V67" s="387"/>
    </row>
    <row r="85" spans="2:22" x14ac:dyDescent="0.3">
      <c r="B85" s="183" t="s">
        <v>277</v>
      </c>
      <c r="C85" s="183"/>
      <c r="D85" s="183"/>
      <c r="E85" s="183"/>
      <c r="F85" s="156"/>
      <c r="G85" s="156"/>
      <c r="H85" s="156"/>
      <c r="I85" s="156"/>
      <c r="J85" s="156"/>
      <c r="K85" s="387" t="s">
        <v>287</v>
      </c>
      <c r="L85" s="387"/>
      <c r="M85" s="387"/>
      <c r="N85" s="387"/>
      <c r="O85" s="387"/>
      <c r="P85" s="387"/>
      <c r="Q85" s="387"/>
      <c r="R85" s="387"/>
      <c r="S85" s="387"/>
      <c r="T85" s="387"/>
      <c r="U85" s="387"/>
      <c r="V85" s="387"/>
    </row>
    <row r="87" spans="2:22" x14ac:dyDescent="0.3">
      <c r="B87" s="201" t="s">
        <v>27</v>
      </c>
      <c r="C87" s="201"/>
      <c r="D87" s="201"/>
      <c r="E87" s="202">
        <v>2023</v>
      </c>
      <c r="F87" s="202">
        <v>2024</v>
      </c>
      <c r="G87" s="202">
        <v>2025</v>
      </c>
      <c r="H87" s="202">
        <v>2026</v>
      </c>
      <c r="I87" s="202">
        <v>2027</v>
      </c>
      <c r="J87" s="201"/>
      <c r="K87" s="202" t="s">
        <v>32</v>
      </c>
      <c r="L87" s="202" t="s">
        <v>33</v>
      </c>
      <c r="M87" s="202" t="s">
        <v>34</v>
      </c>
      <c r="N87" s="202" t="s">
        <v>35</v>
      </c>
      <c r="O87" s="202" t="s">
        <v>36</v>
      </c>
      <c r="P87" s="202" t="s">
        <v>37</v>
      </c>
      <c r="Q87" s="202" t="s">
        <v>38</v>
      </c>
      <c r="R87" s="202" t="s">
        <v>39</v>
      </c>
      <c r="S87" s="202" t="s">
        <v>40</v>
      </c>
      <c r="T87" s="202" t="s">
        <v>41</v>
      </c>
      <c r="U87" s="202" t="s">
        <v>42</v>
      </c>
      <c r="V87" s="202" t="s">
        <v>43</v>
      </c>
    </row>
    <row r="88" spans="2:22" x14ac:dyDescent="0.3">
      <c r="B88" t="s">
        <v>55</v>
      </c>
      <c r="E88" s="213">
        <f>'Statements Summary 2023'!V86</f>
        <v>5300048.053568</v>
      </c>
      <c r="F88" s="213">
        <f>'Statements Summary 2024'!V88</f>
        <v>12937033.168768</v>
      </c>
      <c r="G88" s="213">
        <f>'Statements Summary 2025'!V88</f>
        <v>21347934.268282287</v>
      </c>
      <c r="H88" s="213">
        <f>'Statements Summary 2026'!V88</f>
        <v>29790310.365282293</v>
      </c>
      <c r="I88" s="213">
        <f t="shared" ref="I88:I99" si="12">V88</f>
        <v>40151893.008882284</v>
      </c>
      <c r="K88" s="213">
        <f>'BS 2027'!F14</f>
        <v>30604721.632282294</v>
      </c>
      <c r="L88" s="213">
        <f>'BS 2027'!G14</f>
        <v>31424100.467282295</v>
      </c>
      <c r="M88" s="213">
        <f>'BS 2027'!H14</f>
        <v>32264405.385082297</v>
      </c>
      <c r="N88" s="213">
        <f>'BS 2027'!I14</f>
        <v>33109677.870882295</v>
      </c>
      <c r="O88" s="213">
        <f>'BS 2027'!J14</f>
        <v>33959917.924682297</v>
      </c>
      <c r="P88" s="213">
        <f>'BS 2027'!K14</f>
        <v>34815125.546482295</v>
      </c>
      <c r="Q88" s="213">
        <f>'BS 2027'!L14</f>
        <v>35682689.993682295</v>
      </c>
      <c r="R88" s="213">
        <f>'BS 2027'!M14</f>
        <v>36555222.008882292</v>
      </c>
      <c r="S88" s="213">
        <f>'BS 2027'!N14</f>
        <v>37447500.106882289</v>
      </c>
      <c r="T88" s="213">
        <f>'BS 2027'!O14</f>
        <v>38344745.77288229</v>
      </c>
      <c r="U88" s="213">
        <f>'BS 2027'!P14</f>
        <v>39246959.006882288</v>
      </c>
      <c r="V88" s="213">
        <f>'BS 2027'!Q14</f>
        <v>40151893.008882284</v>
      </c>
    </row>
    <row r="89" spans="2:22" x14ac:dyDescent="0.3">
      <c r="B89" t="s">
        <v>56</v>
      </c>
      <c r="E89" s="213">
        <f>'Statements Summary 2023'!V87</f>
        <v>470532</v>
      </c>
      <c r="F89" s="213">
        <f>'Statements Summary 2024'!V89</f>
        <v>488332</v>
      </c>
      <c r="G89" s="213">
        <f>'Statements Summary 2025'!V89</f>
        <v>509481</v>
      </c>
      <c r="H89" s="213">
        <f>'Statements Summary 2026'!V89</f>
        <v>531018</v>
      </c>
      <c r="I89" s="213">
        <f t="shared" si="12"/>
        <v>552400</v>
      </c>
      <c r="K89" s="213">
        <f>'BS 2027'!F19</f>
        <v>532774</v>
      </c>
      <c r="L89" s="213">
        <f>'BS 2027'!G19</f>
        <v>534685</v>
      </c>
      <c r="M89" s="213">
        <f>'BS 2027'!H19</f>
        <v>536596</v>
      </c>
      <c r="N89" s="213">
        <f>'BS 2027'!I19</f>
        <v>538352</v>
      </c>
      <c r="O89" s="213">
        <f>'BS 2027'!J19</f>
        <v>540108</v>
      </c>
      <c r="P89" s="213">
        <f>'BS 2027'!K19</f>
        <v>541864</v>
      </c>
      <c r="Q89" s="213">
        <f>'BS 2027'!L19</f>
        <v>543620</v>
      </c>
      <c r="R89" s="213">
        <f>'BS 2027'!M19</f>
        <v>545376</v>
      </c>
      <c r="S89" s="213">
        <f>'BS 2027'!N19</f>
        <v>547132</v>
      </c>
      <c r="T89" s="213">
        <f>'BS 2027'!O19</f>
        <v>548888</v>
      </c>
      <c r="U89" s="213">
        <f>'BS 2027'!P19</f>
        <v>550644</v>
      </c>
      <c r="V89" s="213">
        <f>'BS 2027'!Q19</f>
        <v>552400</v>
      </c>
    </row>
    <row r="90" spans="2:22" x14ac:dyDescent="0.3">
      <c r="B90" t="s">
        <v>57</v>
      </c>
      <c r="E90" s="213">
        <f>'Statements Summary 2023'!V88</f>
        <v>5770580.053568</v>
      </c>
      <c r="F90" s="213">
        <f>'Statements Summary 2024'!V90</f>
        <v>13425365.168768</v>
      </c>
      <c r="G90" s="213">
        <f>'Statements Summary 2025'!V90</f>
        <v>21857415.268282287</v>
      </c>
      <c r="H90" s="213">
        <f>'Statements Summary 2026'!V90</f>
        <v>30321328.365282293</v>
      </c>
      <c r="I90" s="213">
        <f t="shared" si="12"/>
        <v>40704293.008882284</v>
      </c>
      <c r="K90" s="213">
        <f>'BS 2027'!F20</f>
        <v>31137495.632282294</v>
      </c>
      <c r="L90" s="213">
        <f>'BS 2027'!G20</f>
        <v>31958785.467282295</v>
      </c>
      <c r="M90" s="213">
        <f>'BS 2027'!H20</f>
        <v>32801001.385082297</v>
      </c>
      <c r="N90" s="213">
        <f>'BS 2027'!I20</f>
        <v>33648029.870882295</v>
      </c>
      <c r="O90" s="213">
        <f>'BS 2027'!J20</f>
        <v>34500025.924682297</v>
      </c>
      <c r="P90" s="213">
        <f>'BS 2027'!K20</f>
        <v>35356989.546482295</v>
      </c>
      <c r="Q90" s="213">
        <f>'BS 2027'!L20</f>
        <v>36226309.993682295</v>
      </c>
      <c r="R90" s="213">
        <f>'BS 2027'!M20</f>
        <v>37100598.008882292</v>
      </c>
      <c r="S90" s="213">
        <f>'BS 2027'!N20</f>
        <v>37994632.106882289</v>
      </c>
      <c r="T90" s="213">
        <f>'BS 2027'!O20</f>
        <v>38893633.77288229</v>
      </c>
      <c r="U90" s="213">
        <f>'BS 2027'!P20</f>
        <v>39797603.006882288</v>
      </c>
      <c r="V90" s="213">
        <f>'BS 2027'!Q20</f>
        <v>40704293.008882284</v>
      </c>
    </row>
    <row r="91" spans="2:22" x14ac:dyDescent="0.3">
      <c r="B91" t="s">
        <v>58</v>
      </c>
      <c r="E91" s="213">
        <f>'Statements Summary 2023'!V89</f>
        <v>-147151.18960000004</v>
      </c>
      <c r="F91" s="213">
        <f>'Statements Summary 2024'!V91</f>
        <v>-160478.53060000006</v>
      </c>
      <c r="G91" s="213">
        <f>'Statements Summary 2025'!V91</f>
        <v>-164368.06735000003</v>
      </c>
      <c r="H91" s="213">
        <f>'Statements Summary 2026'!V91</f>
        <v>-187280.97474999996</v>
      </c>
      <c r="I91" s="213">
        <f t="shared" si="12"/>
        <v>-210240.25050000005</v>
      </c>
      <c r="K91" s="213">
        <f>'BS 2027'!F25</f>
        <v>-186276.06675000003</v>
      </c>
      <c r="L91" s="213">
        <f>'BS 2027'!G25</f>
        <v>-187517.95874999999</v>
      </c>
      <c r="M91" s="213">
        <f>'BS 2027'!H25</f>
        <v>-191274.47945000004</v>
      </c>
      <c r="N91" s="213">
        <f>'BS 2027'!I25</f>
        <v>-192516.37144999998</v>
      </c>
      <c r="O91" s="213">
        <f>'BS 2027'!J25</f>
        <v>-193758.26344999997</v>
      </c>
      <c r="P91" s="213">
        <f>'BS 2027'!K25</f>
        <v>-195000.15545000008</v>
      </c>
      <c r="Q91" s="213">
        <f>'BS 2027'!L25</f>
        <v>-198089.36179999998</v>
      </c>
      <c r="R91" s="213">
        <f>'BS 2027'!M25</f>
        <v>-199331.25380000003</v>
      </c>
      <c r="S91" s="213">
        <f>'BS 2027'!N25</f>
        <v>-204267.77450000003</v>
      </c>
      <c r="T91" s="213">
        <f>'BS 2027'!O25</f>
        <v>-205509.66650000002</v>
      </c>
      <c r="U91" s="213">
        <f>'BS 2027'!P25</f>
        <v>-206751.55850000001</v>
      </c>
      <c r="V91" s="213">
        <f>'BS 2027'!Q25</f>
        <v>-210240.25050000005</v>
      </c>
    </row>
    <row r="92" spans="2:22" x14ac:dyDescent="0.3">
      <c r="B92" t="s">
        <v>211</v>
      </c>
      <c r="E92" s="213">
        <f>'Statements Summary 2023'!V90</f>
        <v>-265002</v>
      </c>
      <c r="F92" s="213">
        <f>'Statements Summary 2024'!V92</f>
        <v>-63186</v>
      </c>
      <c r="G92" s="213">
        <f>'Statements Summary 2025'!V92</f>
        <v>0</v>
      </c>
      <c r="H92" s="213">
        <f>'Statements Summary 2026'!V92</f>
        <v>0</v>
      </c>
      <c r="I92" s="213">
        <f t="shared" si="12"/>
        <v>0</v>
      </c>
      <c r="K92" s="213">
        <f>'BS 2027'!F27</f>
        <v>0</v>
      </c>
      <c r="L92" s="213">
        <f>'BS 2027'!G27</f>
        <v>0</v>
      </c>
      <c r="M92" s="213">
        <f>'BS 2027'!H27</f>
        <v>0</v>
      </c>
      <c r="N92" s="213">
        <f>'BS 2027'!I27</f>
        <v>0</v>
      </c>
      <c r="O92" s="213">
        <f>'BS 2027'!J27</f>
        <v>0</v>
      </c>
      <c r="P92" s="213">
        <f>'BS 2027'!K27</f>
        <v>0</v>
      </c>
      <c r="Q92" s="213">
        <f>'BS 2027'!L27</f>
        <v>0</v>
      </c>
      <c r="R92" s="213">
        <f>'BS 2027'!M27</f>
        <v>0</v>
      </c>
      <c r="S92" s="213">
        <f>'BS 2027'!N27</f>
        <v>0</v>
      </c>
      <c r="T92" s="213">
        <f>'BS 2027'!O27</f>
        <v>0</v>
      </c>
      <c r="U92" s="213">
        <f>'BS 2027'!P27</f>
        <v>0</v>
      </c>
      <c r="V92" s="213">
        <f>'BS 2027'!Q27</f>
        <v>0</v>
      </c>
    </row>
    <row r="93" spans="2:22" x14ac:dyDescent="0.3">
      <c r="B93" t="s">
        <v>60</v>
      </c>
      <c r="E93" s="213">
        <f>'Statements Summary 2023'!V91</f>
        <v>-412153.18960000004</v>
      </c>
      <c r="F93" s="213">
        <f>'Statements Summary 2024'!V93</f>
        <v>-223664.53060000006</v>
      </c>
      <c r="G93" s="213">
        <f>'Statements Summary 2025'!V93</f>
        <v>-164368.06735000003</v>
      </c>
      <c r="H93" s="213">
        <f>'Statements Summary 2026'!V93</f>
        <v>-187280.97474999996</v>
      </c>
      <c r="I93" s="213">
        <f t="shared" si="12"/>
        <v>-210240.25050000005</v>
      </c>
      <c r="K93" s="213">
        <f>'BS 2027'!F32</f>
        <v>-186276.06675000003</v>
      </c>
      <c r="L93" s="213">
        <f>'BS 2027'!G32</f>
        <v>-187517.95874999999</v>
      </c>
      <c r="M93" s="213">
        <f>'BS 2027'!H32</f>
        <v>-191274.47945000004</v>
      </c>
      <c r="N93" s="213">
        <f>'BS 2027'!I32</f>
        <v>-192516.37144999998</v>
      </c>
      <c r="O93" s="213">
        <f>'BS 2027'!J32</f>
        <v>-193758.26344999997</v>
      </c>
      <c r="P93" s="213">
        <f>'BS 2027'!K32</f>
        <v>-195000.15545000008</v>
      </c>
      <c r="Q93" s="213">
        <f>'BS 2027'!L32</f>
        <v>-198089.36179999998</v>
      </c>
      <c r="R93" s="213">
        <f>'BS 2027'!M32</f>
        <v>-199331.25380000003</v>
      </c>
      <c r="S93" s="213">
        <f>'BS 2027'!N32</f>
        <v>-204267.77450000003</v>
      </c>
      <c r="T93" s="213">
        <f>'BS 2027'!O32</f>
        <v>-205509.66650000002</v>
      </c>
      <c r="U93" s="213">
        <f>'BS 2027'!P32</f>
        <v>-206751.55850000001</v>
      </c>
      <c r="V93" s="213">
        <f>'BS 2027'!Q32</f>
        <v>-210240.25050000005</v>
      </c>
    </row>
    <row r="94" spans="2:22" x14ac:dyDescent="0.3">
      <c r="B94" t="s">
        <v>61</v>
      </c>
      <c r="E94" s="213">
        <f>'Statements Summary 2023'!V92</f>
        <v>5358426.8639679998</v>
      </c>
      <c r="F94" s="213">
        <f>'Statements Summary 2024'!V94</f>
        <v>13201700.638168</v>
      </c>
      <c r="G94" s="213">
        <f>'Statements Summary 2025'!V94</f>
        <v>21693047.200932287</v>
      </c>
      <c r="H94" s="213">
        <f>'Statements Summary 2026'!V94</f>
        <v>30134047.390532292</v>
      </c>
      <c r="I94" s="213">
        <f t="shared" si="12"/>
        <v>40494052.758382283</v>
      </c>
      <c r="K94" s="213">
        <f>'BS 2027'!F33</f>
        <v>30951219.565532293</v>
      </c>
      <c r="L94" s="213">
        <f>'BS 2027'!G33</f>
        <v>31771267.508532297</v>
      </c>
      <c r="M94" s="213">
        <f>'BS 2027'!H33</f>
        <v>32609726.905632298</v>
      </c>
      <c r="N94" s="213">
        <f>'BS 2027'!I33</f>
        <v>33455513.499432296</v>
      </c>
      <c r="O94" s="213">
        <f>'BS 2027'!J33</f>
        <v>34306267.6612323</v>
      </c>
      <c r="P94" s="213">
        <f>'BS 2027'!K33</f>
        <v>35161989.391032293</v>
      </c>
      <c r="Q94" s="213">
        <f>'BS 2027'!L33</f>
        <v>36028220.631882295</v>
      </c>
      <c r="R94" s="213">
        <f>'BS 2027'!M33</f>
        <v>36901266.755082294</v>
      </c>
      <c r="S94" s="213">
        <f>'BS 2027'!N33</f>
        <v>37790364.332382292</v>
      </c>
      <c r="T94" s="213">
        <f>'BS 2027'!O33</f>
        <v>38688124.106382288</v>
      </c>
      <c r="U94" s="213">
        <f>'BS 2027'!P33</f>
        <v>39590851.448382288</v>
      </c>
      <c r="V94" s="213">
        <f>'BS 2027'!Q33</f>
        <v>40494052.758382283</v>
      </c>
    </row>
    <row r="95" spans="2:22" x14ac:dyDescent="0.3">
      <c r="B95" t="s">
        <v>62</v>
      </c>
      <c r="E95" s="213">
        <f>'Statements Summary 2023'!V93</f>
        <v>5300048.053568</v>
      </c>
      <c r="F95" s="213">
        <f>'Statements Summary 2024'!V95</f>
        <v>12937033.168768</v>
      </c>
      <c r="G95" s="213">
        <f>'Statements Summary 2025'!V95</f>
        <v>21347934.268282287</v>
      </c>
      <c r="H95" s="213">
        <f>'Statements Summary 2026'!V95</f>
        <v>29790310.365282293</v>
      </c>
      <c r="I95" s="213">
        <f t="shared" si="12"/>
        <v>40151893.008882284</v>
      </c>
      <c r="K95" s="213">
        <f>'BS 2027'!F14</f>
        <v>30604721.632282294</v>
      </c>
      <c r="L95" s="213">
        <f>'BS 2027'!G14</f>
        <v>31424100.467282295</v>
      </c>
      <c r="M95" s="213">
        <f>'BS 2027'!H14</f>
        <v>32264405.385082297</v>
      </c>
      <c r="N95" s="213">
        <f>'BS 2027'!I14</f>
        <v>33109677.870882295</v>
      </c>
      <c r="O95" s="213">
        <f>'BS 2027'!J14</f>
        <v>33959917.924682297</v>
      </c>
      <c r="P95" s="213">
        <f>'BS 2027'!K14</f>
        <v>34815125.546482295</v>
      </c>
      <c r="Q95" s="213">
        <f>'BS 2027'!L14</f>
        <v>35682689.993682295</v>
      </c>
      <c r="R95" s="213">
        <f>'BS 2027'!M14</f>
        <v>36555222.008882292</v>
      </c>
      <c r="S95" s="213">
        <f>'BS 2027'!N14</f>
        <v>37447500.106882289</v>
      </c>
      <c r="T95" s="213">
        <f>'BS 2027'!O14</f>
        <v>38344745.77288229</v>
      </c>
      <c r="U95" s="213">
        <f>'BS 2027'!P14</f>
        <v>39246959.006882288</v>
      </c>
      <c r="V95" s="213">
        <f>'BS 2027'!Q14</f>
        <v>40151893.008882284</v>
      </c>
    </row>
    <row r="96" spans="2:22" x14ac:dyDescent="0.3">
      <c r="B96" t="s">
        <v>63</v>
      </c>
      <c r="E96" s="213" t="str">
        <f>'Statements Summary 2023'!V94</f>
        <v>-</v>
      </c>
      <c r="F96" s="213" t="str">
        <f>'Statements Summary 2024'!V96</f>
        <v>-</v>
      </c>
      <c r="G96" s="213" t="str">
        <f>'Statements Summary 2025'!V96</f>
        <v>-</v>
      </c>
      <c r="H96" s="213" t="str">
        <f>'Statements Summary 2026'!V96</f>
        <v>-</v>
      </c>
      <c r="I96" s="213" t="str">
        <f t="shared" si="12"/>
        <v>-</v>
      </c>
      <c r="K96" s="213" t="s">
        <v>205</v>
      </c>
      <c r="L96" s="213" t="s">
        <v>205</v>
      </c>
      <c r="M96" s="213" t="s">
        <v>205</v>
      </c>
      <c r="N96" s="213" t="s">
        <v>205</v>
      </c>
      <c r="O96" s="213" t="s">
        <v>205</v>
      </c>
      <c r="P96" s="213" t="s">
        <v>205</v>
      </c>
      <c r="Q96" s="213" t="s">
        <v>205</v>
      </c>
      <c r="R96" s="213" t="s">
        <v>205</v>
      </c>
      <c r="S96" s="213" t="s">
        <v>205</v>
      </c>
      <c r="T96" s="213" t="s">
        <v>205</v>
      </c>
      <c r="U96" s="213" t="s">
        <v>205</v>
      </c>
      <c r="V96" s="213" t="s">
        <v>205</v>
      </c>
    </row>
    <row r="97" spans="2:22" x14ac:dyDescent="0.3">
      <c r="B97" t="s">
        <v>64</v>
      </c>
      <c r="E97" s="213">
        <f>'Statements Summary 2023'!V95</f>
        <v>0</v>
      </c>
      <c r="F97" s="213">
        <f>'Statements Summary 2024'!V97</f>
        <v>0</v>
      </c>
      <c r="G97" s="213">
        <f>'Statements Summary 2025'!V97</f>
        <v>0</v>
      </c>
      <c r="H97" s="213">
        <f>'Statements Summary 2026'!V97</f>
        <v>0</v>
      </c>
      <c r="I97" s="213">
        <f t="shared" si="12"/>
        <v>0</v>
      </c>
      <c r="K97" s="213" t="s">
        <v>205</v>
      </c>
      <c r="L97" s="213" t="s">
        <v>205</v>
      </c>
      <c r="M97" s="213" t="s">
        <v>205</v>
      </c>
      <c r="N97" s="213" t="s">
        <v>205</v>
      </c>
      <c r="O97" s="213" t="s">
        <v>205</v>
      </c>
      <c r="P97" s="213" t="s">
        <v>205</v>
      </c>
      <c r="Q97" s="213" t="s">
        <v>205</v>
      </c>
      <c r="R97" s="213" t="s">
        <v>205</v>
      </c>
      <c r="S97" s="213" t="s">
        <v>205</v>
      </c>
      <c r="T97" s="213" t="s">
        <v>205</v>
      </c>
      <c r="U97" s="213" t="s">
        <v>205</v>
      </c>
      <c r="V97" s="213"/>
    </row>
    <row r="98" spans="2:22" x14ac:dyDescent="0.3">
      <c r="B98" t="s">
        <v>65</v>
      </c>
      <c r="E98" s="213">
        <f>'Statements Summary 2023'!V96</f>
        <v>5358426.8639679998</v>
      </c>
      <c r="F98" s="213">
        <f>'Statements Summary 2024'!V98</f>
        <v>13201700.638168</v>
      </c>
      <c r="G98" s="213">
        <f>'Statements Summary 2025'!V98</f>
        <v>21693047.200932287</v>
      </c>
      <c r="H98" s="213">
        <f>'Statements Summary 2026'!V98</f>
        <v>30134047.390532292</v>
      </c>
      <c r="I98" s="213">
        <f t="shared" si="12"/>
        <v>40494052.758382283</v>
      </c>
      <c r="K98" s="213">
        <f>K94</f>
        <v>30951219.565532293</v>
      </c>
      <c r="L98" s="213">
        <f t="shared" ref="L98:V98" si="13">L94</f>
        <v>31771267.508532297</v>
      </c>
      <c r="M98" s="213">
        <f t="shared" si="13"/>
        <v>32609726.905632298</v>
      </c>
      <c r="N98" s="213">
        <f t="shared" si="13"/>
        <v>33455513.499432296</v>
      </c>
      <c r="O98" s="213">
        <f t="shared" si="13"/>
        <v>34306267.6612323</v>
      </c>
      <c r="P98" s="213">
        <f t="shared" si="13"/>
        <v>35161989.391032293</v>
      </c>
      <c r="Q98" s="213">
        <f t="shared" si="13"/>
        <v>36028220.631882295</v>
      </c>
      <c r="R98" s="213">
        <f t="shared" si="13"/>
        <v>36901266.755082294</v>
      </c>
      <c r="S98" s="213">
        <f t="shared" si="13"/>
        <v>37790364.332382292</v>
      </c>
      <c r="T98" s="213">
        <f t="shared" si="13"/>
        <v>38688124.106382288</v>
      </c>
      <c r="U98" s="213">
        <f t="shared" si="13"/>
        <v>39590851.448382288</v>
      </c>
      <c r="V98" s="213">
        <f t="shared" si="13"/>
        <v>40494052.758382283</v>
      </c>
    </row>
    <row r="99" spans="2:22" x14ac:dyDescent="0.3">
      <c r="B99" t="s">
        <v>66</v>
      </c>
      <c r="E99" s="213">
        <f>'Statements Summary 2023'!V97</f>
        <v>5358426.8639679998</v>
      </c>
      <c r="F99" s="213">
        <f>'Statements Summary 2024'!V99</f>
        <v>13201700.638168</v>
      </c>
      <c r="G99" s="213">
        <f>'Statements Summary 2025'!V99</f>
        <v>21693047.200932287</v>
      </c>
      <c r="H99" s="213">
        <f>'Statements Summary 2026'!V99</f>
        <v>30134047.390532292</v>
      </c>
      <c r="I99" s="213">
        <f t="shared" si="12"/>
        <v>40494052.758382283</v>
      </c>
      <c r="K99" s="213">
        <f>K98</f>
        <v>30951219.565532293</v>
      </c>
      <c r="L99" s="213">
        <f t="shared" ref="L99:V99" si="14">L98</f>
        <v>31771267.508532297</v>
      </c>
      <c r="M99" s="213">
        <f t="shared" si="14"/>
        <v>32609726.905632298</v>
      </c>
      <c r="N99" s="213">
        <f t="shared" si="14"/>
        <v>33455513.499432296</v>
      </c>
      <c r="O99" s="213">
        <f t="shared" si="14"/>
        <v>34306267.6612323</v>
      </c>
      <c r="P99" s="213">
        <f t="shared" si="14"/>
        <v>35161989.391032293</v>
      </c>
      <c r="Q99" s="213">
        <f t="shared" si="14"/>
        <v>36028220.631882295</v>
      </c>
      <c r="R99" s="213">
        <f t="shared" si="14"/>
        <v>36901266.755082294</v>
      </c>
      <c r="S99" s="213">
        <f t="shared" si="14"/>
        <v>37790364.332382292</v>
      </c>
      <c r="T99" s="213">
        <f t="shared" si="14"/>
        <v>38688124.106382288</v>
      </c>
      <c r="U99" s="213">
        <f t="shared" si="14"/>
        <v>39590851.448382288</v>
      </c>
      <c r="V99" s="213">
        <f t="shared" si="14"/>
        <v>40494052.758382283</v>
      </c>
    </row>
    <row r="101" spans="2:22" x14ac:dyDescent="0.3">
      <c r="B101" s="183" t="s">
        <v>277</v>
      </c>
      <c r="C101" s="156"/>
      <c r="D101" s="156"/>
      <c r="E101" s="156"/>
      <c r="F101" s="156"/>
      <c r="G101" s="156"/>
      <c r="H101" s="156"/>
      <c r="I101" s="156"/>
      <c r="K101" s="387" t="s">
        <v>287</v>
      </c>
      <c r="L101" s="387"/>
      <c r="M101" s="387"/>
      <c r="N101" s="387"/>
      <c r="O101" s="387"/>
      <c r="P101" s="387"/>
      <c r="Q101" s="387"/>
      <c r="R101" s="387"/>
      <c r="S101" s="387"/>
      <c r="T101" s="387"/>
      <c r="U101" s="387"/>
      <c r="V101" s="387"/>
    </row>
  </sheetData>
  <mergeCells count="6">
    <mergeCell ref="K101:V101"/>
    <mergeCell ref="K2:V2"/>
    <mergeCell ref="K19:V19"/>
    <mergeCell ref="K42:V42"/>
    <mergeCell ref="K67:V67"/>
    <mergeCell ref="K85:V85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C6D5D-78D2-4595-8983-B326ABF9A1C6}">
  <dimension ref="A1"/>
  <sheetViews>
    <sheetView showGridLines="0" workbookViewId="0">
      <selection activeCell="C64" sqref="C64"/>
    </sheetView>
  </sheetViews>
  <sheetFormatPr defaultRowHeight="14.4" x14ac:dyDescent="0.3"/>
  <cols>
    <col min="1" max="1" width="1.6640625" customWidth="1"/>
  </cols>
  <sheetData/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5DB25-5D1D-45A8-82DA-CE97478132E3}">
  <sheetPr codeName="Sheet3"/>
  <dimension ref="E1:S35"/>
  <sheetViews>
    <sheetView showGridLines="0" workbookViewId="0">
      <selection activeCell="P48" sqref="P48"/>
    </sheetView>
  </sheetViews>
  <sheetFormatPr defaultRowHeight="14.4" x14ac:dyDescent="0.3"/>
  <sheetData>
    <row r="1" spans="5:19" ht="21" x14ac:dyDescent="0.4">
      <c r="E1" s="400" t="s">
        <v>23</v>
      </c>
      <c r="F1" s="400"/>
      <c r="G1" s="400"/>
      <c r="H1" s="400"/>
      <c r="I1" s="400"/>
    </row>
    <row r="5" spans="5:19" ht="18" x14ac:dyDescent="0.35">
      <c r="E5" s="397" t="s">
        <v>24</v>
      </c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9"/>
      <c r="R5" s="11"/>
      <c r="S5" s="11"/>
    </row>
    <row r="22" spans="5:17" ht="21" x14ac:dyDescent="0.4">
      <c r="E22" s="401" t="s">
        <v>223</v>
      </c>
      <c r="F22" s="402"/>
      <c r="G22" s="402"/>
      <c r="H22" s="402"/>
      <c r="I22" s="402"/>
      <c r="J22" s="402"/>
      <c r="K22" s="402"/>
      <c r="L22" s="402"/>
      <c r="M22" s="402"/>
      <c r="N22" s="402"/>
      <c r="O22" s="402"/>
      <c r="P22" s="402"/>
      <c r="Q22" s="403"/>
    </row>
    <row r="24" spans="5:17" x14ac:dyDescent="0.3">
      <c r="E24" s="395" t="s">
        <v>0</v>
      </c>
      <c r="F24" s="395"/>
      <c r="H24" s="393">
        <v>2023</v>
      </c>
      <c r="I24" s="393"/>
      <c r="J24" s="393">
        <v>2024</v>
      </c>
      <c r="K24" s="393"/>
      <c r="L24" s="393">
        <v>2025</v>
      </c>
      <c r="M24" s="393"/>
      <c r="N24" s="393">
        <v>2026</v>
      </c>
      <c r="O24" s="393"/>
      <c r="P24" s="393">
        <v>2027</v>
      </c>
      <c r="Q24" s="393"/>
    </row>
    <row r="27" spans="5:17" x14ac:dyDescent="0.3">
      <c r="E27" t="s">
        <v>2</v>
      </c>
      <c r="H27" s="391">
        <f>'IS 2023'!U17</f>
        <v>7726098.0669600004</v>
      </c>
      <c r="I27" s="391"/>
      <c r="J27" s="391">
        <f>'IS 2024'!U17</f>
        <v>10062843.894000001</v>
      </c>
      <c r="K27" s="391"/>
      <c r="L27" s="391">
        <f>'IS 2025'!U17</f>
        <v>10310913.874392858</v>
      </c>
      <c r="M27" s="391"/>
      <c r="N27" s="391">
        <f>'IS 2026'!U17</f>
        <v>11289186.37125</v>
      </c>
      <c r="O27" s="391"/>
      <c r="P27" s="391">
        <f>'IS 2027'!U17</f>
        <v>12734515.804499999</v>
      </c>
      <c r="Q27" s="391"/>
    </row>
    <row r="28" spans="5:17" x14ac:dyDescent="0.3">
      <c r="E28" t="s">
        <v>3</v>
      </c>
      <c r="H28" s="392">
        <f>'IS 2023'!U18</f>
        <v>-390528</v>
      </c>
      <c r="I28" s="393"/>
      <c r="J28" s="392">
        <f>'IS 2024'!U18</f>
        <v>-390528</v>
      </c>
      <c r="K28" s="393"/>
      <c r="L28" s="392">
        <f>'IS 2025'!U18</f>
        <v>-390528</v>
      </c>
      <c r="M28" s="393"/>
      <c r="N28" s="392">
        <f>'IS 2026'!U18</f>
        <v>-390528</v>
      </c>
      <c r="O28" s="393"/>
      <c r="P28" s="392">
        <f>'IS 2027'!U18</f>
        <v>-449528</v>
      </c>
      <c r="Q28" s="393"/>
    </row>
    <row r="29" spans="5:17" x14ac:dyDescent="0.3">
      <c r="E29" s="23" t="s">
        <v>25</v>
      </c>
      <c r="H29" s="391">
        <f>'IS 2023'!U26</f>
        <v>7335570.0669600004</v>
      </c>
      <c r="I29" s="391"/>
      <c r="J29" s="391">
        <f>'IS 2024'!U27</f>
        <v>9672315.8940000013</v>
      </c>
      <c r="K29" s="391"/>
      <c r="L29" s="391">
        <f>'IS 2025'!U26</f>
        <v>9920385.8743928578</v>
      </c>
      <c r="M29" s="391"/>
      <c r="N29" s="391">
        <f>'IS 2026'!U26</f>
        <v>10898658.37125</v>
      </c>
      <c r="O29" s="391"/>
      <c r="P29" s="391">
        <f>'IS 2027'!U26</f>
        <v>12284987.804499999</v>
      </c>
      <c r="Q29" s="391"/>
    </row>
    <row r="30" spans="5:17" x14ac:dyDescent="0.3">
      <c r="E30" t="s">
        <v>6</v>
      </c>
      <c r="H30" s="392">
        <f>'IS 2023'!U38</f>
        <v>-333322</v>
      </c>
      <c r="I30" s="393"/>
      <c r="J30" s="392">
        <f>'IS 2024'!U39</f>
        <v>-333322</v>
      </c>
      <c r="K30" s="393"/>
      <c r="L30" s="392">
        <f>'IS 2025'!U38</f>
        <v>-333322</v>
      </c>
      <c r="M30" s="393"/>
      <c r="N30" s="392">
        <f>'IS 2026'!U37</f>
        <v>-333322</v>
      </c>
      <c r="O30" s="393"/>
      <c r="P30" s="392">
        <f>'IS 2027'!U37</f>
        <v>-333322</v>
      </c>
      <c r="Q30" s="393"/>
    </row>
    <row r="31" spans="5:17" x14ac:dyDescent="0.3">
      <c r="E31" t="s">
        <v>10</v>
      </c>
      <c r="H31" s="392">
        <f>'IS 2023'!U59</f>
        <v>6903248.0669600004</v>
      </c>
      <c r="I31" s="393"/>
      <c r="J31" s="392">
        <f>'IS 2024'!U60</f>
        <v>9239993.8940000013</v>
      </c>
      <c r="K31" s="393"/>
      <c r="L31" s="392">
        <f>'IS 2025'!U59</f>
        <v>9488063.8743928578</v>
      </c>
      <c r="M31" s="392"/>
      <c r="N31" s="392">
        <f>'IS 2026'!U57</f>
        <v>10466336.371249998</v>
      </c>
      <c r="O31" s="392"/>
      <c r="P31" s="392">
        <f>'IS 2027'!U57</f>
        <v>11852665.804499999</v>
      </c>
      <c r="Q31" s="392"/>
    </row>
    <row r="32" spans="5:17" x14ac:dyDescent="0.3">
      <c r="E32" t="s">
        <v>26</v>
      </c>
      <c r="H32" s="391">
        <f>ABS('IS 2023'!U18)+ABS('IS 2023'!U38)+ABS('IS 2023'!U39)+ABS('IS 2023'!U58)+ABS('IS 2023'!U60)+ABS('IS 2023'!U62)+ABS('IS 2023'!U64)</f>
        <v>3622790.013392</v>
      </c>
      <c r="I32" s="395"/>
      <c r="J32" s="391">
        <f>ABS('IS 2024'!U18)+ABS('IS 2024'!U39)+ABS('IS 2024'!U40)+ABS('IS 2024'!U59)+ABS('IS 2024'!U61)+ABS('IS 2024'!U63)+ABS('IS 2024'!U65)</f>
        <v>3603048.7788000004</v>
      </c>
      <c r="K32" s="395"/>
      <c r="L32" s="391">
        <f>ABS('IS 2025'!U18)+ABS('IS 2025'!U38)+ABS('IS 2025'!U39)+ABS('IS 2025'!U58)+ABS('IS 2025'!U60)+ABS('IS 2025'!U62)+ABS('IS 2025'!U64)</f>
        <v>3282367.7748785717</v>
      </c>
      <c r="M32" s="395"/>
      <c r="N32" s="391">
        <f>ABS('IS 2026'!U18)+ABS('IS 2026'!U37)+ABS('IS 2026'!U38)+ABS('IS 2026'!U56)+ABS('IS 2026'!U58)+ABS('IS 2026'!U60)+ABS('IS 2026'!U62)</f>
        <v>3478410.2742499998</v>
      </c>
      <c r="O32" s="395"/>
      <c r="P32" s="391">
        <f>ABS('IS 2027'!U18)+ABS('IS 2027'!U37)+ABS('IS 2027'!U38)+ABS('IS 2027'!U56)+ABS('IS 2027'!U58)+ABS('IS 2027'!U60)+ABS('IS 2027'!U62)</f>
        <v>3814431.1609</v>
      </c>
      <c r="Q32" s="391"/>
    </row>
    <row r="33" spans="5:17" x14ac:dyDescent="0.3">
      <c r="E33" t="s">
        <v>14</v>
      </c>
      <c r="H33" s="391">
        <f>'IS 2023'!U63</f>
        <v>6903248.0669600004</v>
      </c>
      <c r="I33" s="395"/>
      <c r="J33" s="391">
        <f>'IS 2024'!U64</f>
        <v>9239993.8940000013</v>
      </c>
      <c r="K33" s="391"/>
      <c r="L33" s="391">
        <f>'IS 2025'!U63</f>
        <v>9488063.8743928578</v>
      </c>
      <c r="M33" s="391"/>
      <c r="N33" s="391">
        <f>'IS 2026'!U61</f>
        <v>10466336.371249998</v>
      </c>
      <c r="O33" s="391"/>
      <c r="P33" s="391">
        <f>'IS 2027'!U61</f>
        <v>11852665.804499999</v>
      </c>
      <c r="Q33" s="391"/>
    </row>
    <row r="34" spans="5:17" x14ac:dyDescent="0.3">
      <c r="E34" t="s">
        <v>16</v>
      </c>
      <c r="H34" s="394">
        <f>'IS 2023'!U65</f>
        <v>5522598.4535680003</v>
      </c>
      <c r="I34" s="396"/>
      <c r="J34" s="394">
        <f>'IS 2024'!U66</f>
        <v>7391995.1152000008</v>
      </c>
      <c r="K34" s="394"/>
      <c r="L34" s="394">
        <f>'IS 2025'!U65</f>
        <v>7590451.099514286</v>
      </c>
      <c r="M34" s="394"/>
      <c r="N34" s="394">
        <f>'IS 2026'!U63</f>
        <v>8373069.0969999991</v>
      </c>
      <c r="O34" s="394"/>
      <c r="P34" s="394">
        <f>'IS 2027'!U63</f>
        <v>9482132.6436000001</v>
      </c>
      <c r="Q34" s="394"/>
    </row>
    <row r="35" spans="5:17" x14ac:dyDescent="0.3">
      <c r="J35" s="2"/>
    </row>
  </sheetData>
  <mergeCells count="49">
    <mergeCell ref="N24:O24"/>
    <mergeCell ref="P24:Q24"/>
    <mergeCell ref="E5:Q5"/>
    <mergeCell ref="E1:I1"/>
    <mergeCell ref="E24:F24"/>
    <mergeCell ref="H24:I24"/>
    <mergeCell ref="J24:K24"/>
    <mergeCell ref="L24:M24"/>
    <mergeCell ref="E22:Q22"/>
    <mergeCell ref="H30:I30"/>
    <mergeCell ref="J27:K27"/>
    <mergeCell ref="J28:K28"/>
    <mergeCell ref="J29:K29"/>
    <mergeCell ref="J30:K30"/>
    <mergeCell ref="H27:I27"/>
    <mergeCell ref="H28:I28"/>
    <mergeCell ref="H29:I29"/>
    <mergeCell ref="H34:I34"/>
    <mergeCell ref="J32:K32"/>
    <mergeCell ref="J33:K33"/>
    <mergeCell ref="J34:K34"/>
    <mergeCell ref="H31:I31"/>
    <mergeCell ref="H32:I32"/>
    <mergeCell ref="H33:I33"/>
    <mergeCell ref="J31:K31"/>
    <mergeCell ref="P34:Q34"/>
    <mergeCell ref="L31:M31"/>
    <mergeCell ref="N34:O34"/>
    <mergeCell ref="L32:M32"/>
    <mergeCell ref="L33:M33"/>
    <mergeCell ref="L34:M34"/>
    <mergeCell ref="P31:Q31"/>
    <mergeCell ref="N31:O31"/>
    <mergeCell ref="N32:O32"/>
    <mergeCell ref="N33:O33"/>
    <mergeCell ref="P32:Q32"/>
    <mergeCell ref="P33:Q33"/>
    <mergeCell ref="L27:M27"/>
    <mergeCell ref="L28:M28"/>
    <mergeCell ref="L29:M29"/>
    <mergeCell ref="L30:M30"/>
    <mergeCell ref="P30:Q30"/>
    <mergeCell ref="N30:O30"/>
    <mergeCell ref="P27:Q27"/>
    <mergeCell ref="P28:Q28"/>
    <mergeCell ref="P29:Q29"/>
    <mergeCell ref="N27:O27"/>
    <mergeCell ref="N28:O28"/>
    <mergeCell ref="N29:O29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994AA-C7A6-43C5-A8DC-7ED6875E5A9D}">
  <sheetPr codeName="Sheet17"/>
  <dimension ref="B2:T15"/>
  <sheetViews>
    <sheetView showGridLines="0" workbookViewId="0">
      <selection activeCell="V18" sqref="V18"/>
    </sheetView>
  </sheetViews>
  <sheetFormatPr defaultRowHeight="14.4" x14ac:dyDescent="0.3"/>
  <cols>
    <col min="4" max="4" width="11.44140625" bestFit="1" customWidth="1"/>
    <col min="5" max="8" width="9" bestFit="1" customWidth="1"/>
  </cols>
  <sheetData>
    <row r="2" spans="2:20" ht="21" x14ac:dyDescent="0.4">
      <c r="B2" s="405" t="s">
        <v>70</v>
      </c>
      <c r="C2" s="405"/>
      <c r="D2" s="405"/>
    </row>
    <row r="5" spans="2:20" ht="18" x14ac:dyDescent="0.35">
      <c r="B5" s="404" t="s">
        <v>224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</row>
    <row r="7" spans="2:20" x14ac:dyDescent="0.3">
      <c r="D7" s="12">
        <v>2023</v>
      </c>
      <c r="E7" s="12">
        <v>2024</v>
      </c>
      <c r="F7" s="12">
        <v>2025</v>
      </c>
      <c r="G7" s="12">
        <v>2026</v>
      </c>
      <c r="H7" s="12">
        <v>2027</v>
      </c>
      <c r="K7" s="12">
        <v>2023</v>
      </c>
      <c r="L7" s="12">
        <v>2024</v>
      </c>
      <c r="M7" s="12">
        <v>2025</v>
      </c>
      <c r="N7" s="12">
        <v>2026</v>
      </c>
      <c r="O7" s="12">
        <v>2027</v>
      </c>
    </row>
    <row r="9" spans="2:20" x14ac:dyDescent="0.3">
      <c r="B9" s="406" t="s">
        <v>336</v>
      </c>
      <c r="C9" s="407"/>
      <c r="D9" s="33">
        <f>ABS('IS 2023'!U44)</f>
        <v>8400</v>
      </c>
      <c r="E9" s="30">
        <f>ABS('IS 2024'!U45)</f>
        <v>8400</v>
      </c>
      <c r="F9" s="30">
        <f>ABS('IS 2025'!U44)</f>
        <v>8400</v>
      </c>
      <c r="G9" s="30">
        <f>ABS('IS 2026'!U43)</f>
        <v>8400</v>
      </c>
      <c r="H9" s="27">
        <f>ABS('IS 2027'!U43)</f>
        <v>8400</v>
      </c>
      <c r="K9" s="34">
        <f>D9/D13</f>
        <v>7.542290701433035E-3</v>
      </c>
      <c r="L9" s="35">
        <f t="shared" ref="L9:O9" si="0">E9/E13</f>
        <v>7.542290701433035E-3</v>
      </c>
      <c r="M9" s="35">
        <f t="shared" si="0"/>
        <v>7.542290701433035E-3</v>
      </c>
      <c r="N9" s="35">
        <f t="shared" si="0"/>
        <v>7.542290701433035E-3</v>
      </c>
      <c r="O9" s="36">
        <f t="shared" si="0"/>
        <v>7.404939094375949E-3</v>
      </c>
    </row>
    <row r="10" spans="2:20" x14ac:dyDescent="0.3">
      <c r="B10" s="408" t="s">
        <v>67</v>
      </c>
      <c r="C10" s="409"/>
      <c r="D10" s="29">
        <f>ABS('IS 2023'!U19)+ABS('IS 2023'!U39)</f>
        <v>920604</v>
      </c>
      <c r="E10" s="26">
        <f>ABS('IS 2024'!U19)+ABS('IS 2024'!U40)</f>
        <v>920604</v>
      </c>
      <c r="F10" s="26">
        <f>ABS('IS 2025'!U19)+ABS('IS 2025'!U39)</f>
        <v>920604</v>
      </c>
      <c r="G10" s="26">
        <f>ABS('IS 2026'!U19)+ABS('IS 2026'!U38)</f>
        <v>920604</v>
      </c>
      <c r="H10" s="28">
        <f>ABS('IS 2027'!U19)+ABS('IS 2027'!U38)</f>
        <v>979604</v>
      </c>
      <c r="K10" s="37">
        <f>D10/D13</f>
        <v>0.82660273677405449</v>
      </c>
      <c r="L10" s="16">
        <f t="shared" ref="L10:O10" si="1">E10/E13</f>
        <v>0.82660273677405449</v>
      </c>
      <c r="M10" s="16">
        <f t="shared" si="1"/>
        <v>0.82660273677405449</v>
      </c>
      <c r="N10" s="16">
        <f t="shared" si="1"/>
        <v>0.82660273677405449</v>
      </c>
      <c r="O10" s="38">
        <f t="shared" si="1"/>
        <v>0.86356047102464961</v>
      </c>
    </row>
    <row r="11" spans="2:20" x14ac:dyDescent="0.3">
      <c r="B11" s="408" t="s">
        <v>137</v>
      </c>
      <c r="C11" s="409"/>
      <c r="D11" s="29">
        <f>ABS('IS 2023'!U46)</f>
        <v>22800</v>
      </c>
      <c r="E11" s="26">
        <f>ABS('IS 2024'!U47)</f>
        <v>22800</v>
      </c>
      <c r="F11" s="26">
        <f>ABS('IS 2025'!U46)</f>
        <v>22800</v>
      </c>
      <c r="G11" s="26">
        <f>ABS('IS 2026'!U45)</f>
        <v>22800</v>
      </c>
      <c r="H11" s="28">
        <f>ABS('IS 2027'!U45)</f>
        <v>22800</v>
      </c>
      <c r="K11" s="37">
        <f>D11/D13</f>
        <v>2.0471931903889667E-2</v>
      </c>
      <c r="L11" s="16">
        <f t="shared" ref="L11:O11" si="2">E11/E13</f>
        <v>2.0471931903889667E-2</v>
      </c>
      <c r="M11" s="16">
        <f t="shared" si="2"/>
        <v>2.0471931903889667E-2</v>
      </c>
      <c r="N11" s="16">
        <f t="shared" si="2"/>
        <v>2.0471931903889667E-2</v>
      </c>
      <c r="O11" s="38">
        <f t="shared" si="2"/>
        <v>2.0099120399020433E-2</v>
      </c>
    </row>
    <row r="12" spans="2:20" x14ac:dyDescent="0.3">
      <c r="B12" s="408" t="s">
        <v>68</v>
      </c>
      <c r="C12" s="409"/>
      <c r="D12" s="29">
        <f>ABS('IS 2023'!U30)</f>
        <v>161916</v>
      </c>
      <c r="E12" s="26">
        <f>ABS('IS 2024'!U31)</f>
        <v>161916</v>
      </c>
      <c r="F12" s="26">
        <f>ABS('IS 2025'!U30)</f>
        <v>161916</v>
      </c>
      <c r="G12" s="26">
        <f>ABS('IS 2026'!U30)</f>
        <v>161916</v>
      </c>
      <c r="H12" s="28">
        <f>ABS('IS 2027'!U32)</f>
        <v>123574</v>
      </c>
      <c r="K12" s="37">
        <f>D12/D13</f>
        <v>0.14538304062062277</v>
      </c>
      <c r="L12" s="16">
        <f t="shared" ref="L12:O12" si="3">E12/E13</f>
        <v>0.14538304062062277</v>
      </c>
      <c r="M12" s="16">
        <f t="shared" si="3"/>
        <v>0.14538304062062277</v>
      </c>
      <c r="N12" s="16">
        <f t="shared" si="3"/>
        <v>0.14538304062062277</v>
      </c>
      <c r="O12" s="38">
        <f t="shared" si="3"/>
        <v>0.10893546948195398</v>
      </c>
    </row>
    <row r="13" spans="2:20" x14ac:dyDescent="0.3">
      <c r="B13" s="410"/>
      <c r="C13" s="411"/>
      <c r="D13" s="227">
        <f>SUM(D9:D12)</f>
        <v>1113720</v>
      </c>
      <c r="E13" s="31">
        <f t="shared" ref="E13:H13" si="4">SUM(E9:E12)</f>
        <v>1113720</v>
      </c>
      <c r="F13" s="31">
        <f t="shared" si="4"/>
        <v>1113720</v>
      </c>
      <c r="G13" s="31">
        <f t="shared" si="4"/>
        <v>1113720</v>
      </c>
      <c r="H13" s="32">
        <f t="shared" si="4"/>
        <v>1134378</v>
      </c>
      <c r="K13" s="39">
        <v>1</v>
      </c>
      <c r="L13" s="40">
        <v>1</v>
      </c>
      <c r="M13" s="40">
        <v>1</v>
      </c>
      <c r="N13" s="40">
        <v>1</v>
      </c>
      <c r="O13" s="41">
        <v>1</v>
      </c>
    </row>
    <row r="15" spans="2:20" ht="18" x14ac:dyDescent="0.35">
      <c r="B15" s="404" t="s">
        <v>69</v>
      </c>
      <c r="C15" s="404"/>
      <c r="D15" s="404"/>
      <c r="E15" s="404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  <c r="Q15" s="404"/>
      <c r="R15" s="404"/>
      <c r="S15" s="404"/>
      <c r="T15" s="404"/>
    </row>
  </sheetData>
  <mergeCells count="8">
    <mergeCell ref="B15:T15"/>
    <mergeCell ref="B2:D2"/>
    <mergeCell ref="B5:T5"/>
    <mergeCell ref="B9:C9"/>
    <mergeCell ref="B10:C10"/>
    <mergeCell ref="B11:C11"/>
    <mergeCell ref="B12:C12"/>
    <mergeCell ref="B13:C13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19B7F-5C35-48E4-8BB0-61B004BCE33D}">
  <sheetPr codeName="Sheet19"/>
  <dimension ref="C2:Q49"/>
  <sheetViews>
    <sheetView showGridLines="0" workbookViewId="0">
      <selection activeCell="H47" sqref="H47"/>
    </sheetView>
  </sheetViews>
  <sheetFormatPr defaultRowHeight="14.4" x14ac:dyDescent="0.3"/>
  <cols>
    <col min="1" max="1" width="5.44140625" customWidth="1"/>
    <col min="2" max="2" width="5.5546875" customWidth="1"/>
    <col min="8" max="8" width="6.77734375" customWidth="1"/>
    <col min="9" max="9" width="12.44140625" customWidth="1"/>
    <col min="10" max="10" width="10.77734375" customWidth="1"/>
    <col min="11" max="11" width="14.44140625" customWidth="1"/>
    <col min="12" max="12" width="14.33203125" customWidth="1"/>
    <col min="13" max="13" width="14.5546875" customWidth="1"/>
    <col min="14" max="14" width="12.88671875" customWidth="1"/>
    <col min="15" max="15" width="15.109375" customWidth="1"/>
    <col min="16" max="16" width="13.109375" customWidth="1"/>
    <col min="17" max="17" width="13.33203125" customWidth="1"/>
  </cols>
  <sheetData>
    <row r="2" spans="3:17" x14ac:dyDescent="0.3">
      <c r="C2" s="414" t="s">
        <v>76</v>
      </c>
      <c r="D2" s="415"/>
      <c r="E2" s="415"/>
      <c r="F2" s="415"/>
      <c r="G2" s="415"/>
      <c r="H2" s="415"/>
      <c r="I2" s="416"/>
    </row>
    <row r="5" spans="3:17" x14ac:dyDescent="0.3">
      <c r="C5" s="420" t="s">
        <v>225</v>
      </c>
      <c r="D5" s="420"/>
      <c r="E5" s="420"/>
      <c r="F5" s="420"/>
      <c r="G5" s="420"/>
      <c r="H5" s="420"/>
      <c r="I5" s="420"/>
    </row>
    <row r="7" spans="3:17" x14ac:dyDescent="0.3">
      <c r="H7" s="414" t="s">
        <v>79</v>
      </c>
      <c r="I7" s="415"/>
      <c r="J7" s="415"/>
      <c r="K7" s="415"/>
      <c r="L7" s="415"/>
      <c r="M7" s="415"/>
      <c r="N7" s="415"/>
      <c r="O7" s="415"/>
      <c r="P7" s="415"/>
      <c r="Q7" s="416"/>
    </row>
    <row r="8" spans="3:17" x14ac:dyDescent="0.3">
      <c r="C8" s="417" t="s">
        <v>77</v>
      </c>
      <c r="D8" s="418"/>
      <c r="E8" s="418"/>
      <c r="F8" s="419"/>
      <c r="H8" s="412">
        <v>2023</v>
      </c>
      <c r="I8" s="413"/>
      <c r="J8" s="412">
        <v>2024</v>
      </c>
      <c r="K8" s="413"/>
      <c r="L8" s="412">
        <v>2025</v>
      </c>
      <c r="M8" s="413"/>
      <c r="N8" s="412">
        <v>2026</v>
      </c>
      <c r="O8" s="413"/>
      <c r="P8" s="412">
        <v>2027</v>
      </c>
      <c r="Q8" s="413"/>
    </row>
    <row r="9" spans="3:17" x14ac:dyDescent="0.3">
      <c r="C9" s="427" t="s">
        <v>78</v>
      </c>
      <c r="D9" s="428"/>
      <c r="E9" s="428"/>
      <c r="F9" s="429"/>
      <c r="H9" s="231">
        <v>2</v>
      </c>
      <c r="I9" s="232">
        <v>50000</v>
      </c>
      <c r="J9" s="231">
        <v>2</v>
      </c>
      <c r="K9" s="233">
        <v>50000</v>
      </c>
      <c r="L9" s="232">
        <v>2</v>
      </c>
      <c r="M9" s="232">
        <v>50000</v>
      </c>
      <c r="N9" s="231">
        <v>3</v>
      </c>
      <c r="O9" s="233">
        <v>50000</v>
      </c>
      <c r="P9" s="232">
        <v>3</v>
      </c>
      <c r="Q9" s="233">
        <v>50000</v>
      </c>
    </row>
    <row r="10" spans="3:17" x14ac:dyDescent="0.3">
      <c r="C10" s="421" t="s">
        <v>295</v>
      </c>
      <c r="D10" s="422"/>
      <c r="E10" s="422"/>
      <c r="F10" s="423"/>
      <c r="H10" s="234">
        <v>9</v>
      </c>
      <c r="I10" s="235">
        <v>65000</v>
      </c>
      <c r="J10" s="234">
        <v>27</v>
      </c>
      <c r="K10" s="236">
        <v>65500</v>
      </c>
      <c r="L10" s="235">
        <v>29</v>
      </c>
      <c r="M10" s="235">
        <v>70000</v>
      </c>
      <c r="N10" s="234">
        <v>30</v>
      </c>
      <c r="O10" s="236">
        <v>73000</v>
      </c>
      <c r="P10" s="235">
        <v>45</v>
      </c>
      <c r="Q10" s="236">
        <v>75000</v>
      </c>
    </row>
    <row r="11" spans="3:17" x14ac:dyDescent="0.3">
      <c r="C11" s="421" t="s">
        <v>296</v>
      </c>
      <c r="D11" s="422"/>
      <c r="E11" s="422"/>
      <c r="F11" s="423"/>
      <c r="H11" s="234">
        <v>6</v>
      </c>
      <c r="I11" s="235">
        <v>25000</v>
      </c>
      <c r="J11" s="234">
        <v>6</v>
      </c>
      <c r="K11" s="236">
        <v>25000</v>
      </c>
      <c r="L11" s="235">
        <v>6</v>
      </c>
      <c r="M11" s="235">
        <v>25000</v>
      </c>
      <c r="N11" s="234">
        <v>7</v>
      </c>
      <c r="O11" s="236">
        <v>25000</v>
      </c>
      <c r="P11" s="235">
        <v>8</v>
      </c>
      <c r="Q11" s="236">
        <v>25000</v>
      </c>
    </row>
    <row r="12" spans="3:17" x14ac:dyDescent="0.3">
      <c r="C12" s="350" t="s">
        <v>297</v>
      </c>
      <c r="D12" s="351"/>
      <c r="E12" s="351"/>
      <c r="F12" s="352"/>
      <c r="H12" s="234">
        <v>1</v>
      </c>
      <c r="I12" s="235">
        <v>45000</v>
      </c>
      <c r="J12" s="234">
        <v>1</v>
      </c>
      <c r="K12" s="236">
        <v>46000</v>
      </c>
      <c r="L12" s="235">
        <v>1</v>
      </c>
      <c r="M12" s="235">
        <v>46500</v>
      </c>
      <c r="N12" s="234">
        <v>1</v>
      </c>
      <c r="O12" s="236">
        <v>46750</v>
      </c>
      <c r="P12" s="235">
        <v>1</v>
      </c>
      <c r="Q12" s="236">
        <v>47000</v>
      </c>
    </row>
    <row r="13" spans="3:17" x14ac:dyDescent="0.3">
      <c r="C13" s="350" t="s">
        <v>298</v>
      </c>
      <c r="D13" s="351"/>
      <c r="E13" s="351"/>
      <c r="F13" s="352"/>
      <c r="H13" s="234">
        <v>1</v>
      </c>
      <c r="I13" s="235">
        <v>45000</v>
      </c>
      <c r="J13" s="234">
        <v>1</v>
      </c>
      <c r="K13" s="236">
        <v>45000</v>
      </c>
      <c r="L13" s="234">
        <v>1</v>
      </c>
      <c r="M13" s="236">
        <v>45000</v>
      </c>
      <c r="N13" s="234">
        <v>1</v>
      </c>
      <c r="O13" s="236">
        <v>45500</v>
      </c>
      <c r="P13" s="234">
        <v>1</v>
      </c>
      <c r="Q13" s="236">
        <v>45500</v>
      </c>
    </row>
    <row r="14" spans="3:17" x14ac:dyDescent="0.3">
      <c r="C14" s="350" t="s">
        <v>299</v>
      </c>
      <c r="D14" s="351"/>
      <c r="E14" s="351"/>
      <c r="F14" s="352"/>
      <c r="H14" s="234">
        <v>1</v>
      </c>
      <c r="I14" s="235">
        <v>40000</v>
      </c>
      <c r="J14" s="234">
        <v>1</v>
      </c>
      <c r="K14" s="236">
        <v>40000</v>
      </c>
      <c r="L14" s="234">
        <v>1</v>
      </c>
      <c r="M14" s="236">
        <v>40000</v>
      </c>
      <c r="N14" s="234">
        <v>1</v>
      </c>
      <c r="O14" s="236">
        <v>40100</v>
      </c>
      <c r="P14" s="234">
        <v>1</v>
      </c>
      <c r="Q14" s="236">
        <v>40100</v>
      </c>
    </row>
    <row r="15" spans="3:17" x14ac:dyDescent="0.3">
      <c r="C15" s="350" t="s">
        <v>300</v>
      </c>
      <c r="D15" s="351"/>
      <c r="E15" s="351"/>
      <c r="F15" s="352"/>
      <c r="H15" s="234">
        <v>1</v>
      </c>
      <c r="I15" s="235">
        <v>37000</v>
      </c>
      <c r="J15" s="234">
        <v>1</v>
      </c>
      <c r="K15" s="236">
        <v>37000</v>
      </c>
      <c r="L15" s="234">
        <v>1</v>
      </c>
      <c r="M15" s="236">
        <v>37000</v>
      </c>
      <c r="N15" s="234">
        <v>1</v>
      </c>
      <c r="O15" s="236">
        <v>37200</v>
      </c>
      <c r="P15" s="234">
        <v>1</v>
      </c>
      <c r="Q15" s="236">
        <v>37200</v>
      </c>
    </row>
    <row r="16" spans="3:17" x14ac:dyDescent="0.3">
      <c r="C16" s="350" t="s">
        <v>301</v>
      </c>
      <c r="D16" s="351"/>
      <c r="E16" s="351"/>
      <c r="F16" s="352"/>
      <c r="H16" s="234">
        <v>1</v>
      </c>
      <c r="I16" s="235">
        <v>37000</v>
      </c>
      <c r="J16" s="234">
        <v>1</v>
      </c>
      <c r="K16" s="236">
        <v>37000</v>
      </c>
      <c r="L16" s="234">
        <v>1</v>
      </c>
      <c r="M16" s="236">
        <v>37000</v>
      </c>
      <c r="N16" s="234">
        <v>1</v>
      </c>
      <c r="O16" s="236">
        <v>37000</v>
      </c>
      <c r="P16" s="234">
        <v>1</v>
      </c>
      <c r="Q16" s="236">
        <v>37000</v>
      </c>
    </row>
    <row r="17" spans="3:17" x14ac:dyDescent="0.3">
      <c r="C17" s="350" t="s">
        <v>302</v>
      </c>
      <c r="D17" s="351"/>
      <c r="E17" s="351"/>
      <c r="F17" s="352"/>
      <c r="H17" s="234">
        <v>1</v>
      </c>
      <c r="I17" s="235">
        <v>36000</v>
      </c>
      <c r="J17" s="234">
        <v>1</v>
      </c>
      <c r="K17" s="236">
        <v>36000</v>
      </c>
      <c r="L17" s="234">
        <v>1</v>
      </c>
      <c r="M17" s="236">
        <v>36000</v>
      </c>
      <c r="N17" s="234">
        <v>1</v>
      </c>
      <c r="O17" s="236">
        <v>36000</v>
      </c>
      <c r="P17" s="234">
        <v>1</v>
      </c>
      <c r="Q17" s="236">
        <v>36000</v>
      </c>
    </row>
    <row r="18" spans="3:17" x14ac:dyDescent="0.3">
      <c r="C18" s="350" t="s">
        <v>303</v>
      </c>
      <c r="D18" s="351"/>
      <c r="E18" s="351"/>
      <c r="F18" s="352"/>
      <c r="H18" s="234">
        <v>1</v>
      </c>
      <c r="I18" s="235">
        <v>43000</v>
      </c>
      <c r="J18" s="234">
        <v>1</v>
      </c>
      <c r="K18" s="236">
        <v>43000</v>
      </c>
      <c r="L18" s="234">
        <v>1</v>
      </c>
      <c r="M18" s="236">
        <v>43000</v>
      </c>
      <c r="N18" s="234">
        <v>1</v>
      </c>
      <c r="O18" s="236">
        <v>43500</v>
      </c>
      <c r="P18" s="234">
        <v>1</v>
      </c>
      <c r="Q18" s="236">
        <v>43500</v>
      </c>
    </row>
    <row r="19" spans="3:17" x14ac:dyDescent="0.3">
      <c r="C19" s="350" t="s">
        <v>304</v>
      </c>
      <c r="D19" s="351"/>
      <c r="E19" s="351"/>
      <c r="F19" s="352"/>
      <c r="H19" s="234">
        <v>1</v>
      </c>
      <c r="I19" s="235">
        <v>41000</v>
      </c>
      <c r="J19" s="234">
        <v>1</v>
      </c>
      <c r="K19" s="236">
        <v>41000</v>
      </c>
      <c r="L19" s="234">
        <v>1</v>
      </c>
      <c r="M19" s="236">
        <v>41000</v>
      </c>
      <c r="N19" s="234">
        <v>1</v>
      </c>
      <c r="O19" s="236">
        <v>41000</v>
      </c>
      <c r="P19" s="234">
        <v>1</v>
      </c>
      <c r="Q19" s="236">
        <v>41000</v>
      </c>
    </row>
    <row r="20" spans="3:17" x14ac:dyDescent="0.3">
      <c r="C20" s="350"/>
      <c r="D20" s="351"/>
      <c r="E20" s="351"/>
      <c r="F20" s="352"/>
      <c r="H20" s="234"/>
      <c r="I20" s="235"/>
      <c r="J20" s="234"/>
      <c r="K20" s="236"/>
      <c r="L20" s="235"/>
      <c r="M20" s="235"/>
      <c r="N20" s="234"/>
      <c r="O20" s="236"/>
      <c r="P20" s="235"/>
      <c r="Q20" s="236"/>
    </row>
    <row r="21" spans="3:17" x14ac:dyDescent="0.3">
      <c r="C21" s="350"/>
      <c r="D21" s="351"/>
      <c r="E21" s="351"/>
      <c r="F21" s="352"/>
      <c r="H21" s="234"/>
      <c r="I21" s="235"/>
      <c r="J21" s="234"/>
      <c r="K21" s="236"/>
      <c r="L21" s="235"/>
      <c r="M21" s="235"/>
      <c r="N21" s="234"/>
      <c r="O21" s="236"/>
      <c r="P21" s="235"/>
      <c r="Q21" s="236"/>
    </row>
    <row r="22" spans="3:17" x14ac:dyDescent="0.3">
      <c r="C22" s="350"/>
      <c r="D22" s="351"/>
      <c r="E22" s="351"/>
      <c r="F22" s="352"/>
      <c r="H22" s="234"/>
      <c r="I22" s="235"/>
      <c r="J22" s="234"/>
      <c r="K22" s="236"/>
      <c r="L22" s="235"/>
      <c r="M22" s="235"/>
      <c r="N22" s="234"/>
      <c r="O22" s="236"/>
      <c r="P22" s="235"/>
      <c r="Q22" s="236"/>
    </row>
    <row r="23" spans="3:17" x14ac:dyDescent="0.3">
      <c r="C23" s="421"/>
      <c r="D23" s="422"/>
      <c r="E23" s="422"/>
      <c r="F23" s="423"/>
      <c r="H23" s="234"/>
      <c r="I23" s="235"/>
      <c r="J23" s="234"/>
      <c r="K23" s="236"/>
      <c r="L23" s="235"/>
      <c r="M23" s="235"/>
      <c r="N23" s="234"/>
      <c r="O23" s="236"/>
      <c r="P23" s="235"/>
      <c r="Q23" s="236"/>
    </row>
    <row r="24" spans="3:17" x14ac:dyDescent="0.3">
      <c r="C24" s="421"/>
      <c r="D24" s="422"/>
      <c r="E24" s="422"/>
      <c r="F24" s="423"/>
      <c r="H24" s="234"/>
      <c r="I24" s="235"/>
      <c r="J24" s="234"/>
      <c r="K24" s="236"/>
      <c r="L24" s="235"/>
      <c r="M24" s="235"/>
      <c r="N24" s="234"/>
      <c r="O24" s="236"/>
      <c r="P24" s="235"/>
      <c r="Q24" s="236"/>
    </row>
    <row r="25" spans="3:17" x14ac:dyDescent="0.3">
      <c r="C25" s="421"/>
      <c r="D25" s="422"/>
      <c r="E25" s="422"/>
      <c r="F25" s="423"/>
      <c r="H25" s="234"/>
      <c r="I25" s="235"/>
      <c r="J25" s="234"/>
      <c r="K25" s="236"/>
      <c r="L25" s="235"/>
      <c r="M25" s="235"/>
      <c r="N25" s="234"/>
      <c r="O25" s="236"/>
      <c r="P25" s="235"/>
      <c r="Q25" s="236"/>
    </row>
    <row r="26" spans="3:17" x14ac:dyDescent="0.3">
      <c r="C26" s="421"/>
      <c r="D26" s="422"/>
      <c r="E26" s="422"/>
      <c r="F26" s="423"/>
      <c r="H26" s="234"/>
      <c r="I26" s="235"/>
      <c r="J26" s="234"/>
      <c r="K26" s="236"/>
      <c r="L26" s="235"/>
      <c r="M26" s="235"/>
      <c r="N26" s="234"/>
      <c r="O26" s="236"/>
      <c r="P26" s="235"/>
      <c r="Q26" s="236"/>
    </row>
    <row r="27" spans="3:17" x14ac:dyDescent="0.3">
      <c r="C27" s="421"/>
      <c r="D27" s="422"/>
      <c r="E27" s="422"/>
      <c r="F27" s="423"/>
      <c r="H27" s="234"/>
      <c r="I27" s="235"/>
      <c r="J27" s="234"/>
      <c r="K27" s="236"/>
      <c r="L27" s="235"/>
      <c r="M27" s="235"/>
      <c r="N27" s="234"/>
      <c r="O27" s="236"/>
      <c r="P27" s="235"/>
      <c r="Q27" s="236"/>
    </row>
    <row r="28" spans="3:17" x14ac:dyDescent="0.3">
      <c r="C28" s="424"/>
      <c r="D28" s="425"/>
      <c r="E28" s="425"/>
      <c r="F28" s="426"/>
      <c r="H28" s="257"/>
      <c r="I28" s="258"/>
      <c r="J28" s="257"/>
      <c r="K28" s="259"/>
      <c r="L28" s="258"/>
      <c r="M28" s="258"/>
      <c r="N28" s="257"/>
      <c r="O28" s="259"/>
      <c r="P28" s="258"/>
      <c r="Q28" s="259"/>
    </row>
    <row r="29" spans="3:17" x14ac:dyDescent="0.3">
      <c r="C29" s="417" t="s">
        <v>80</v>
      </c>
      <c r="D29" s="418"/>
      <c r="E29" s="418"/>
      <c r="F29" s="419"/>
      <c r="H29" s="412">
        <v>2023</v>
      </c>
      <c r="I29" s="413"/>
      <c r="J29" s="412">
        <v>2024</v>
      </c>
      <c r="K29" s="413"/>
      <c r="L29" s="412">
        <v>2025</v>
      </c>
      <c r="M29" s="413"/>
      <c r="N29" s="412">
        <v>2026</v>
      </c>
      <c r="O29" s="413"/>
      <c r="P29" s="412">
        <v>2027</v>
      </c>
      <c r="Q29" s="413"/>
    </row>
    <row r="30" spans="3:17" x14ac:dyDescent="0.3">
      <c r="C30" s="427" t="s">
        <v>78</v>
      </c>
      <c r="D30" s="428"/>
      <c r="E30" s="428"/>
      <c r="F30" s="429"/>
      <c r="H30" s="231">
        <f>H9</f>
        <v>2</v>
      </c>
      <c r="I30" s="233">
        <f>SUM(H9*I9)</f>
        <v>100000</v>
      </c>
      <c r="J30" s="231">
        <f>J9</f>
        <v>2</v>
      </c>
      <c r="K30" s="233">
        <f>SUM(J9*K9)</f>
        <v>100000</v>
      </c>
      <c r="L30" s="231">
        <f>L9</f>
        <v>2</v>
      </c>
      <c r="M30" s="233">
        <f>SUM(L9*M9)</f>
        <v>100000</v>
      </c>
      <c r="N30" s="231">
        <f>N9</f>
        <v>3</v>
      </c>
      <c r="O30" s="233">
        <f>SUM(N9*O9)</f>
        <v>150000</v>
      </c>
      <c r="P30" s="231">
        <f>P9</f>
        <v>3</v>
      </c>
      <c r="Q30" s="233">
        <f>SUM(P9*Q9)</f>
        <v>150000</v>
      </c>
    </row>
    <row r="31" spans="3:17" x14ac:dyDescent="0.3">
      <c r="C31" s="421" t="s">
        <v>295</v>
      </c>
      <c r="D31" s="422"/>
      <c r="E31" s="422"/>
      <c r="F31" s="423"/>
      <c r="H31" s="234">
        <f>H10</f>
        <v>9</v>
      </c>
      <c r="I31" s="236">
        <f>SUM(H10*I10)</f>
        <v>585000</v>
      </c>
      <c r="J31" s="234">
        <f>J10</f>
        <v>27</v>
      </c>
      <c r="K31" s="236">
        <f>SUM(J10*K10)</f>
        <v>1768500</v>
      </c>
      <c r="L31" s="234">
        <f>L10</f>
        <v>29</v>
      </c>
      <c r="M31" s="236">
        <f>SUM(L10*M10)</f>
        <v>2030000</v>
      </c>
      <c r="N31" s="234">
        <f>N10</f>
        <v>30</v>
      </c>
      <c r="O31" s="236">
        <f>SUM(N10*O10)</f>
        <v>2190000</v>
      </c>
      <c r="P31" s="234">
        <f>P10</f>
        <v>45</v>
      </c>
      <c r="Q31" s="236">
        <f>SUM(P10*Q10)</f>
        <v>3375000</v>
      </c>
    </row>
    <row r="32" spans="3:17" x14ac:dyDescent="0.3">
      <c r="C32" s="421" t="s">
        <v>296</v>
      </c>
      <c r="D32" s="422"/>
      <c r="E32" s="422"/>
      <c r="F32" s="423"/>
      <c r="H32" s="234">
        <f>H11</f>
        <v>6</v>
      </c>
      <c r="I32" s="236">
        <f>SUM(H11*I11)</f>
        <v>150000</v>
      </c>
      <c r="J32" s="234">
        <f>J11</f>
        <v>6</v>
      </c>
      <c r="K32" s="236">
        <f>SUM(J11*K11)</f>
        <v>150000</v>
      </c>
      <c r="L32" s="234">
        <f>L11</f>
        <v>6</v>
      </c>
      <c r="M32" s="236">
        <f>SUM(L11*M11)</f>
        <v>150000</v>
      </c>
      <c r="N32" s="234">
        <f>N11</f>
        <v>7</v>
      </c>
      <c r="O32" s="236">
        <f>SUM(N11*O11)</f>
        <v>175000</v>
      </c>
      <c r="P32" s="234">
        <f>P11</f>
        <v>8</v>
      </c>
      <c r="Q32" s="236">
        <f>SUM(P11*Q11)</f>
        <v>200000</v>
      </c>
    </row>
    <row r="33" spans="3:17" x14ac:dyDescent="0.3">
      <c r="C33" s="350" t="s">
        <v>297</v>
      </c>
      <c r="D33" s="351"/>
      <c r="E33" s="351"/>
      <c r="F33" s="352"/>
      <c r="H33" s="234">
        <f>H12</f>
        <v>1</v>
      </c>
      <c r="I33" s="236">
        <f>SUM(H12*I12)</f>
        <v>45000</v>
      </c>
      <c r="J33" s="234">
        <f>J12</f>
        <v>1</v>
      </c>
      <c r="K33" s="236">
        <f>SUM(J12*K12)</f>
        <v>46000</v>
      </c>
      <c r="L33" s="234">
        <f>L12</f>
        <v>1</v>
      </c>
      <c r="M33" s="236">
        <f>SUM(L12*M12)</f>
        <v>46500</v>
      </c>
      <c r="N33" s="234">
        <f>N12</f>
        <v>1</v>
      </c>
      <c r="O33" s="236">
        <f>SUM(N12*O12)</f>
        <v>46750</v>
      </c>
      <c r="P33" s="234">
        <f>P12</f>
        <v>1</v>
      </c>
      <c r="Q33" s="236">
        <f>SUM(P12*Q12)</f>
        <v>47000</v>
      </c>
    </row>
    <row r="34" spans="3:17" x14ac:dyDescent="0.3">
      <c r="C34" s="350" t="s">
        <v>298</v>
      </c>
      <c r="D34" s="351"/>
      <c r="E34" s="351"/>
      <c r="F34" s="352"/>
      <c r="G34" s="260"/>
      <c r="H34" s="234">
        <f t="shared" ref="H34:H40" si="0">H13</f>
        <v>1</v>
      </c>
      <c r="I34" s="236">
        <f t="shared" ref="I34:I40" si="1">SUM(H13*I13)</f>
        <v>45000</v>
      </c>
      <c r="J34" s="234">
        <f t="shared" ref="J34:J40" si="2">J13</f>
        <v>1</v>
      </c>
      <c r="K34" s="236">
        <f t="shared" ref="K34:K40" si="3">SUM(J13*K13)</f>
        <v>45000</v>
      </c>
      <c r="L34" s="234">
        <f t="shared" ref="L34:L40" si="4">L13</f>
        <v>1</v>
      </c>
      <c r="M34" s="236">
        <f t="shared" ref="M34:M40" si="5">SUM(L13*M13)</f>
        <v>45000</v>
      </c>
      <c r="N34" s="234">
        <f t="shared" ref="N34:N40" si="6">N13</f>
        <v>1</v>
      </c>
      <c r="O34" s="236">
        <f t="shared" ref="O34:O40" si="7">SUM(N13*O13)</f>
        <v>45500</v>
      </c>
      <c r="P34" s="234">
        <f t="shared" ref="P34:P40" si="8">P13</f>
        <v>1</v>
      </c>
      <c r="Q34" s="236">
        <f t="shared" ref="Q34:Q40" si="9">SUM(P13*Q13)</f>
        <v>45500</v>
      </c>
    </row>
    <row r="35" spans="3:17" x14ac:dyDescent="0.3">
      <c r="C35" s="350" t="s">
        <v>299</v>
      </c>
      <c r="D35" s="351"/>
      <c r="E35" s="351"/>
      <c r="F35" s="352"/>
      <c r="H35" s="234">
        <f t="shared" si="0"/>
        <v>1</v>
      </c>
      <c r="I35" s="236">
        <f t="shared" si="1"/>
        <v>40000</v>
      </c>
      <c r="J35" s="234">
        <f t="shared" si="2"/>
        <v>1</v>
      </c>
      <c r="K35" s="236">
        <f t="shared" si="3"/>
        <v>40000</v>
      </c>
      <c r="L35" s="234">
        <f t="shared" si="4"/>
        <v>1</v>
      </c>
      <c r="M35" s="236">
        <f t="shared" si="5"/>
        <v>40000</v>
      </c>
      <c r="N35" s="234">
        <f t="shared" si="6"/>
        <v>1</v>
      </c>
      <c r="O35" s="236">
        <f t="shared" si="7"/>
        <v>40100</v>
      </c>
      <c r="P35" s="234">
        <f t="shared" si="8"/>
        <v>1</v>
      </c>
      <c r="Q35" s="236">
        <f t="shared" si="9"/>
        <v>40100</v>
      </c>
    </row>
    <row r="36" spans="3:17" x14ac:dyDescent="0.3">
      <c r="C36" s="350" t="s">
        <v>300</v>
      </c>
      <c r="D36" s="351"/>
      <c r="E36" s="351"/>
      <c r="F36" s="352"/>
      <c r="H36" s="234">
        <f t="shared" si="0"/>
        <v>1</v>
      </c>
      <c r="I36" s="236">
        <f t="shared" si="1"/>
        <v>37000</v>
      </c>
      <c r="J36" s="234">
        <f t="shared" si="2"/>
        <v>1</v>
      </c>
      <c r="K36" s="236">
        <f t="shared" si="3"/>
        <v>37000</v>
      </c>
      <c r="L36" s="234">
        <f t="shared" si="4"/>
        <v>1</v>
      </c>
      <c r="M36" s="236">
        <f t="shared" si="5"/>
        <v>37000</v>
      </c>
      <c r="N36" s="234">
        <f t="shared" si="6"/>
        <v>1</v>
      </c>
      <c r="O36" s="236">
        <f t="shared" si="7"/>
        <v>37200</v>
      </c>
      <c r="P36" s="234">
        <f t="shared" si="8"/>
        <v>1</v>
      </c>
      <c r="Q36" s="236">
        <f t="shared" si="9"/>
        <v>37200</v>
      </c>
    </row>
    <row r="37" spans="3:17" x14ac:dyDescent="0.3">
      <c r="C37" s="350" t="s">
        <v>301</v>
      </c>
      <c r="D37" s="351"/>
      <c r="E37" s="351"/>
      <c r="F37" s="352"/>
      <c r="H37" s="234">
        <f t="shared" si="0"/>
        <v>1</v>
      </c>
      <c r="I37" s="236">
        <f t="shared" si="1"/>
        <v>37000</v>
      </c>
      <c r="J37" s="234">
        <f t="shared" si="2"/>
        <v>1</v>
      </c>
      <c r="K37" s="236">
        <f t="shared" si="3"/>
        <v>37000</v>
      </c>
      <c r="L37" s="234">
        <f t="shared" si="4"/>
        <v>1</v>
      </c>
      <c r="M37" s="236">
        <f t="shared" si="5"/>
        <v>37000</v>
      </c>
      <c r="N37" s="234">
        <f t="shared" si="6"/>
        <v>1</v>
      </c>
      <c r="O37" s="236">
        <f t="shared" si="7"/>
        <v>37000</v>
      </c>
      <c r="P37" s="234">
        <f t="shared" si="8"/>
        <v>1</v>
      </c>
      <c r="Q37" s="236">
        <f t="shared" si="9"/>
        <v>37000</v>
      </c>
    </row>
    <row r="38" spans="3:17" x14ac:dyDescent="0.3">
      <c r="C38" s="350" t="s">
        <v>302</v>
      </c>
      <c r="D38" s="351"/>
      <c r="E38" s="351"/>
      <c r="F38" s="352"/>
      <c r="H38" s="234">
        <f t="shared" si="0"/>
        <v>1</v>
      </c>
      <c r="I38" s="236">
        <f t="shared" si="1"/>
        <v>36000</v>
      </c>
      <c r="J38" s="234">
        <f t="shared" si="2"/>
        <v>1</v>
      </c>
      <c r="K38" s="236">
        <f t="shared" si="3"/>
        <v>36000</v>
      </c>
      <c r="L38" s="234">
        <f t="shared" si="4"/>
        <v>1</v>
      </c>
      <c r="M38" s="236">
        <f t="shared" si="5"/>
        <v>36000</v>
      </c>
      <c r="N38" s="234">
        <f t="shared" si="6"/>
        <v>1</v>
      </c>
      <c r="O38" s="236">
        <f t="shared" si="7"/>
        <v>36000</v>
      </c>
      <c r="P38" s="234">
        <f t="shared" si="8"/>
        <v>1</v>
      </c>
      <c r="Q38" s="236">
        <f t="shared" si="9"/>
        <v>36000</v>
      </c>
    </row>
    <row r="39" spans="3:17" x14ac:dyDescent="0.3">
      <c r="C39" s="350" t="s">
        <v>303</v>
      </c>
      <c r="D39" s="351"/>
      <c r="E39" s="351"/>
      <c r="F39" s="352"/>
      <c r="H39" s="234">
        <f t="shared" si="0"/>
        <v>1</v>
      </c>
      <c r="I39" s="236">
        <f t="shared" si="1"/>
        <v>43000</v>
      </c>
      <c r="J39" s="234">
        <f t="shared" si="2"/>
        <v>1</v>
      </c>
      <c r="K39" s="236">
        <f t="shared" si="3"/>
        <v>43000</v>
      </c>
      <c r="L39" s="234">
        <f t="shared" si="4"/>
        <v>1</v>
      </c>
      <c r="M39" s="236">
        <f t="shared" si="5"/>
        <v>43000</v>
      </c>
      <c r="N39" s="234">
        <f t="shared" si="6"/>
        <v>1</v>
      </c>
      <c r="O39" s="236">
        <f t="shared" si="7"/>
        <v>43500</v>
      </c>
      <c r="P39" s="234">
        <f t="shared" si="8"/>
        <v>1</v>
      </c>
      <c r="Q39" s="236">
        <f t="shared" si="9"/>
        <v>43500</v>
      </c>
    </row>
    <row r="40" spans="3:17" x14ac:dyDescent="0.3">
      <c r="C40" s="350" t="s">
        <v>304</v>
      </c>
      <c r="D40" s="351"/>
      <c r="E40" s="351"/>
      <c r="F40" s="352"/>
      <c r="H40" s="234">
        <f t="shared" si="0"/>
        <v>1</v>
      </c>
      <c r="I40" s="236">
        <f t="shared" si="1"/>
        <v>41000</v>
      </c>
      <c r="J40" s="234">
        <f t="shared" si="2"/>
        <v>1</v>
      </c>
      <c r="K40" s="236">
        <f t="shared" si="3"/>
        <v>41000</v>
      </c>
      <c r="L40" s="234">
        <f t="shared" si="4"/>
        <v>1</v>
      </c>
      <c r="M40" s="236">
        <f t="shared" si="5"/>
        <v>41000</v>
      </c>
      <c r="N40" s="234">
        <f t="shared" si="6"/>
        <v>1</v>
      </c>
      <c r="O40" s="236">
        <f t="shared" si="7"/>
        <v>41000</v>
      </c>
      <c r="P40" s="234">
        <f t="shared" si="8"/>
        <v>1</v>
      </c>
      <c r="Q40" s="236">
        <f t="shared" si="9"/>
        <v>41000</v>
      </c>
    </row>
    <row r="41" spans="3:17" x14ac:dyDescent="0.3">
      <c r="C41" s="421"/>
      <c r="D41" s="422"/>
      <c r="E41" s="422"/>
      <c r="F41" s="423"/>
      <c r="H41" s="234"/>
      <c r="I41" s="235"/>
      <c r="J41" s="234"/>
      <c r="K41" s="236"/>
      <c r="L41" s="235"/>
      <c r="M41" s="235"/>
      <c r="N41" s="234"/>
      <c r="O41" s="236"/>
      <c r="P41" s="235"/>
      <c r="Q41" s="236"/>
    </row>
    <row r="42" spans="3:17" x14ac:dyDescent="0.3">
      <c r="C42" s="421"/>
      <c r="D42" s="422"/>
      <c r="E42" s="422"/>
      <c r="F42" s="423"/>
      <c r="H42" s="234"/>
      <c r="I42" s="235"/>
      <c r="J42" s="234"/>
      <c r="K42" s="236"/>
      <c r="L42" s="235"/>
      <c r="M42" s="235"/>
      <c r="N42" s="234"/>
      <c r="O42" s="236"/>
      <c r="P42" s="235"/>
      <c r="Q42" s="236"/>
    </row>
    <row r="43" spans="3:17" x14ac:dyDescent="0.3">
      <c r="C43" s="421"/>
      <c r="D43" s="422"/>
      <c r="E43" s="422"/>
      <c r="F43" s="423"/>
      <c r="H43" s="234"/>
      <c r="I43" s="235"/>
      <c r="J43" s="234"/>
      <c r="K43" s="236"/>
      <c r="L43" s="235"/>
      <c r="M43" s="235"/>
      <c r="N43" s="234"/>
      <c r="O43" s="236"/>
      <c r="P43" s="235"/>
      <c r="Q43" s="236"/>
    </row>
    <row r="44" spans="3:17" x14ac:dyDescent="0.3">
      <c r="C44" s="421"/>
      <c r="D44" s="422"/>
      <c r="E44" s="422"/>
      <c r="F44" s="423"/>
      <c r="H44" s="234"/>
      <c r="I44" s="235"/>
      <c r="J44" s="234"/>
      <c r="K44" s="236"/>
      <c r="L44" s="235"/>
      <c r="M44" s="235"/>
      <c r="N44" s="234"/>
      <c r="O44" s="236"/>
      <c r="P44" s="235"/>
      <c r="Q44" s="236"/>
    </row>
    <row r="45" spans="3:17" x14ac:dyDescent="0.3">
      <c r="C45" s="421"/>
      <c r="D45" s="422"/>
      <c r="E45" s="422"/>
      <c r="F45" s="423"/>
      <c r="H45" s="234"/>
      <c r="I45" s="235"/>
      <c r="J45" s="234"/>
      <c r="K45" s="236"/>
      <c r="L45" s="235"/>
      <c r="M45" s="235"/>
      <c r="N45" s="234"/>
      <c r="O45" s="236"/>
      <c r="P45" s="235"/>
      <c r="Q45" s="236"/>
    </row>
    <row r="46" spans="3:17" x14ac:dyDescent="0.3">
      <c r="C46" s="421"/>
      <c r="D46" s="422"/>
      <c r="E46" s="422"/>
      <c r="F46" s="423"/>
      <c r="H46" s="234"/>
      <c r="I46" s="235"/>
      <c r="J46" s="234"/>
      <c r="K46" s="236"/>
      <c r="L46" s="235"/>
      <c r="M46" s="235"/>
      <c r="N46" s="234"/>
      <c r="O46" s="236"/>
      <c r="P46" s="235"/>
      <c r="Q46" s="236"/>
    </row>
    <row r="47" spans="3:17" x14ac:dyDescent="0.3">
      <c r="C47" s="421"/>
      <c r="D47" s="422"/>
      <c r="E47" s="422"/>
      <c r="F47" s="423"/>
      <c r="H47" s="234"/>
      <c r="I47" s="235"/>
      <c r="J47" s="234"/>
      <c r="K47" s="236"/>
      <c r="L47" s="235"/>
      <c r="M47" s="235"/>
      <c r="N47" s="234"/>
      <c r="O47" s="236"/>
      <c r="P47" s="235"/>
      <c r="Q47" s="236"/>
    </row>
    <row r="48" spans="3:17" x14ac:dyDescent="0.3">
      <c r="C48" s="421"/>
      <c r="D48" s="422"/>
      <c r="E48" s="422"/>
      <c r="F48" s="423"/>
      <c r="H48" s="234"/>
      <c r="I48" s="235"/>
      <c r="J48" s="234"/>
      <c r="K48" s="236"/>
      <c r="L48" s="235"/>
      <c r="M48" s="235"/>
      <c r="N48" s="234"/>
      <c r="O48" s="236"/>
      <c r="P48" s="235"/>
      <c r="Q48" s="236"/>
    </row>
    <row r="49" spans="3:17" x14ac:dyDescent="0.3">
      <c r="C49" s="424"/>
      <c r="D49" s="425"/>
      <c r="E49" s="425"/>
      <c r="F49" s="426"/>
      <c r="H49" s="234"/>
      <c r="I49" s="235"/>
      <c r="J49" s="234"/>
      <c r="K49" s="236"/>
      <c r="L49" s="235"/>
      <c r="M49" s="235"/>
      <c r="N49" s="234"/>
      <c r="O49" s="236"/>
      <c r="P49" s="235"/>
      <c r="Q49" s="236"/>
    </row>
  </sheetData>
  <mergeCells count="36">
    <mergeCell ref="C49:F49"/>
    <mergeCell ref="C30:F30"/>
    <mergeCell ref="C31:F31"/>
    <mergeCell ref="C32:F32"/>
    <mergeCell ref="C46:F46"/>
    <mergeCell ref="C44:F44"/>
    <mergeCell ref="C45:F45"/>
    <mergeCell ref="C47:F47"/>
    <mergeCell ref="C48:F48"/>
    <mergeCell ref="C41:F41"/>
    <mergeCell ref="C42:F42"/>
    <mergeCell ref="C43:F43"/>
    <mergeCell ref="C10:F10"/>
    <mergeCell ref="J29:K29"/>
    <mergeCell ref="N8:O8"/>
    <mergeCell ref="L8:M8"/>
    <mergeCell ref="J8:K8"/>
    <mergeCell ref="H8:I8"/>
    <mergeCell ref="L29:M29"/>
    <mergeCell ref="N29:O29"/>
    <mergeCell ref="P29:Q29"/>
    <mergeCell ref="C2:I2"/>
    <mergeCell ref="C29:F29"/>
    <mergeCell ref="C5:I5"/>
    <mergeCell ref="C24:F24"/>
    <mergeCell ref="C25:F25"/>
    <mergeCell ref="C26:F26"/>
    <mergeCell ref="C27:F27"/>
    <mergeCell ref="C28:F28"/>
    <mergeCell ref="H7:Q7"/>
    <mergeCell ref="P8:Q8"/>
    <mergeCell ref="C9:F9"/>
    <mergeCell ref="C23:F23"/>
    <mergeCell ref="C8:F8"/>
    <mergeCell ref="C11:F11"/>
    <mergeCell ref="H29:I29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45A0F-C2A6-4DF8-816A-CC39E2F00761}">
  <sheetPr codeName="Sheet22"/>
  <dimension ref="A2:V61"/>
  <sheetViews>
    <sheetView showGridLines="0" workbookViewId="0">
      <selection activeCell="E40" sqref="E40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5" max="15" width="9.88671875" customWidth="1"/>
    <col min="19" max="19" width="9.5546875" customWidth="1"/>
    <col min="22" max="22" width="9.88671875" bestFit="1" customWidth="1"/>
  </cols>
  <sheetData>
    <row r="2" spans="1:22" ht="18" x14ac:dyDescent="0.35">
      <c r="A2" s="139" t="s">
        <v>157</v>
      </c>
      <c r="C2" s="138"/>
      <c r="D2" s="13"/>
    </row>
    <row r="3" spans="1:22" x14ac:dyDescent="0.3">
      <c r="A3" s="137" t="s">
        <v>158</v>
      </c>
      <c r="C3" s="23"/>
    </row>
    <row r="4" spans="1:22" x14ac:dyDescent="0.3">
      <c r="A4" s="137" t="s">
        <v>159</v>
      </c>
      <c r="C4" s="23"/>
    </row>
    <row r="6" spans="1:22" x14ac:dyDescent="0.3">
      <c r="B6" s="23" t="s">
        <v>207</v>
      </c>
    </row>
    <row r="7" spans="1:22" x14ac:dyDescent="0.3">
      <c r="A7" s="151"/>
      <c r="B7" s="183" t="s">
        <v>71</v>
      </c>
      <c r="C7" s="156"/>
      <c r="D7" s="156"/>
      <c r="E7" s="156"/>
      <c r="F7" s="156"/>
      <c r="G7" s="185">
        <v>44927</v>
      </c>
      <c r="H7" s="185">
        <v>44958</v>
      </c>
      <c r="I7" s="185">
        <v>44986</v>
      </c>
      <c r="J7" s="185">
        <v>45017</v>
      </c>
      <c r="K7" s="185">
        <v>45047</v>
      </c>
      <c r="L7" s="185">
        <v>45078</v>
      </c>
      <c r="M7" s="185">
        <v>45108</v>
      </c>
      <c r="N7" s="185">
        <v>45139</v>
      </c>
      <c r="O7" s="185">
        <v>45170</v>
      </c>
      <c r="P7" s="185">
        <v>45200</v>
      </c>
      <c r="Q7" s="185">
        <v>45231</v>
      </c>
      <c r="R7" s="185">
        <v>45261</v>
      </c>
      <c r="S7" s="185">
        <v>45292</v>
      </c>
      <c r="T7" s="185">
        <v>45323</v>
      </c>
      <c r="U7" s="185">
        <v>45352</v>
      </c>
      <c r="V7" s="185" t="s">
        <v>80</v>
      </c>
    </row>
    <row r="8" spans="1:22" x14ac:dyDescent="0.3"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x14ac:dyDescent="0.3">
      <c r="B9" s="23" t="s">
        <v>157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x14ac:dyDescent="0.3">
      <c r="A10" s="156"/>
      <c r="B10" s="183" t="s">
        <v>160</v>
      </c>
      <c r="C10" s="156"/>
      <c r="D10" s="156"/>
      <c r="E10" s="156"/>
      <c r="F10" s="156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</row>
    <row r="11" spans="1:22" x14ac:dyDescent="0.3">
      <c r="B11" s="360" t="s">
        <v>44</v>
      </c>
      <c r="C11" s="358"/>
      <c r="D11" s="358"/>
      <c r="E11" s="358"/>
      <c r="F11" s="358"/>
      <c r="G11" s="356">
        <f>SUM(G12:G18)</f>
        <v>541510.90799999982</v>
      </c>
      <c r="H11" s="356">
        <f t="shared" ref="H11:R11" si="0">SUM(H12:H18)</f>
        <v>552733.93200000003</v>
      </c>
      <c r="I11" s="356">
        <f t="shared" si="0"/>
        <v>566650.48176000011</v>
      </c>
      <c r="J11" s="356">
        <f t="shared" si="0"/>
        <v>579388.61399999983</v>
      </c>
      <c r="K11" s="356">
        <f t="shared" si="0"/>
        <v>607305.88620000007</v>
      </c>
      <c r="L11" s="356">
        <f t="shared" si="0"/>
        <v>629751.93420000002</v>
      </c>
      <c r="M11" s="356">
        <f t="shared" si="0"/>
        <v>641956.97279999999</v>
      </c>
      <c r="N11" s="356">
        <f t="shared" si="0"/>
        <v>662859.85499999998</v>
      </c>
      <c r="O11" s="356">
        <f t="shared" si="0"/>
        <v>684604.46399999992</v>
      </c>
      <c r="P11" s="356">
        <f t="shared" si="0"/>
        <v>723885.04800000018</v>
      </c>
      <c r="Q11" s="356">
        <f t="shared" si="0"/>
        <v>741421.02300000004</v>
      </c>
      <c r="R11" s="356">
        <f t="shared" si="0"/>
        <v>794028.94800000021</v>
      </c>
      <c r="S11" s="356">
        <f>'CF 2024'!G11</f>
        <v>794028.94800000021</v>
      </c>
      <c r="T11" s="356">
        <f>'CF 2024'!H11</f>
        <v>805251.97199999995</v>
      </c>
      <c r="U11" s="356">
        <f>'CF 2024'!I11</f>
        <v>816474.99600000004</v>
      </c>
      <c r="V11" s="356">
        <f>SUM(G11:R11)</f>
        <v>7726098.0669600004</v>
      </c>
    </row>
    <row r="12" spans="1:22" x14ac:dyDescent="0.3">
      <c r="B12" s="361" t="s">
        <v>290</v>
      </c>
      <c r="C12" s="358"/>
      <c r="D12" s="358"/>
      <c r="E12" s="358"/>
      <c r="F12" s="358"/>
      <c r="G12" s="356">
        <f>'IS 2023'!F12</f>
        <v>11443.355999999996</v>
      </c>
      <c r="H12" s="356">
        <f>'IS 2023'!G12</f>
        <v>11680.524000000001</v>
      </c>
      <c r="I12" s="356">
        <f>'IS 2023'!H12</f>
        <v>11974.61232</v>
      </c>
      <c r="J12" s="356">
        <f>'IS 2023'!I12</f>
        <v>12243.797999999997</v>
      </c>
      <c r="K12" s="356">
        <f>'IS 2023'!J12</f>
        <v>12833.753399999998</v>
      </c>
      <c r="L12" s="356">
        <f>'IS 2023'!K12</f>
        <v>13308.089400000001</v>
      </c>
      <c r="M12" s="356">
        <f>'IS 2023'!L12</f>
        <v>13566.009599999999</v>
      </c>
      <c r="N12" s="356">
        <f>'IS 2023'!M12</f>
        <v>14007.735000000001</v>
      </c>
      <c r="O12" s="356">
        <f>'IS 2023'!N12</f>
        <v>14467.247999999996</v>
      </c>
      <c r="P12" s="356">
        <f>'IS 2023'!O12</f>
        <v>15297.336000000001</v>
      </c>
      <c r="Q12" s="356">
        <f>'IS 2023'!P12</f>
        <v>15667.911000000002</v>
      </c>
      <c r="R12" s="356">
        <f>'IS 2023'!Q12</f>
        <v>16779.636000000002</v>
      </c>
      <c r="S12" s="356">
        <f>'CF 2024'!G12</f>
        <v>16779.636000000002</v>
      </c>
      <c r="T12" s="356">
        <f>'CF 2024'!H12</f>
        <v>17016.803999999996</v>
      </c>
      <c r="U12" s="356">
        <f>'CF 2024'!I12</f>
        <v>17253.971999999998</v>
      </c>
      <c r="V12" s="357"/>
    </row>
    <row r="13" spans="1:22" x14ac:dyDescent="0.3">
      <c r="B13" s="361" t="s">
        <v>291</v>
      </c>
      <c r="C13" s="358"/>
      <c r="D13" s="358"/>
      <c r="E13" s="358"/>
      <c r="F13" s="358"/>
      <c r="G13" s="356">
        <f>'IS 2023'!F13</f>
        <v>16105.463999999996</v>
      </c>
      <c r="H13" s="356">
        <f>'IS 2023'!G13</f>
        <v>16439.256000000001</v>
      </c>
      <c r="I13" s="356">
        <f>'IS 2023'!H13</f>
        <v>16853.158080000001</v>
      </c>
      <c r="J13" s="356">
        <f>'IS 2023'!I13</f>
        <v>17232.011999999995</v>
      </c>
      <c r="K13" s="356">
        <f>'IS 2023'!J13</f>
        <v>18062.319599999999</v>
      </c>
      <c r="L13" s="356">
        <f>'IS 2023'!K13</f>
        <v>18729.903600000001</v>
      </c>
      <c r="M13" s="356">
        <f>'IS 2023'!L13</f>
        <v>19092.902399999999</v>
      </c>
      <c r="N13" s="356">
        <f>'IS 2023'!M13</f>
        <v>19714.59</v>
      </c>
      <c r="O13" s="356">
        <f>'IS 2023'!N13</f>
        <v>20361.311999999994</v>
      </c>
      <c r="P13" s="356">
        <f>'IS 2023'!O13</f>
        <v>21529.584000000003</v>
      </c>
      <c r="Q13" s="356">
        <f>'IS 2023'!P13</f>
        <v>22051.134000000002</v>
      </c>
      <c r="R13" s="356">
        <f>'IS 2023'!Q13</f>
        <v>23615.784000000003</v>
      </c>
      <c r="S13" s="356">
        <f>'CF 2024'!G13</f>
        <v>23615.784000000003</v>
      </c>
      <c r="T13" s="356">
        <f>'CF 2024'!H13</f>
        <v>23949.575999999997</v>
      </c>
      <c r="U13" s="356">
        <f>'CF 2024'!I13</f>
        <v>24283.367999999999</v>
      </c>
      <c r="V13" s="357"/>
    </row>
    <row r="14" spans="1:22" x14ac:dyDescent="0.3">
      <c r="B14" s="361" t="s">
        <v>292</v>
      </c>
      <c r="C14" s="358"/>
      <c r="D14" s="358"/>
      <c r="E14" s="358"/>
      <c r="F14" s="358"/>
      <c r="G14" s="356">
        <f>'IS 2023'!F14</f>
        <v>44925.767999999989</v>
      </c>
      <c r="H14" s="356">
        <f>'IS 2023'!G14</f>
        <v>45856.872000000003</v>
      </c>
      <c r="I14" s="356">
        <f>'IS 2023'!H14</f>
        <v>47011.44096</v>
      </c>
      <c r="J14" s="356">
        <f>'IS 2023'!I14</f>
        <v>48068.243999999984</v>
      </c>
      <c r="K14" s="356">
        <f>'IS 2023'!J14</f>
        <v>50384.365199999993</v>
      </c>
      <c r="L14" s="356">
        <f>'IS 2023'!K14</f>
        <v>52246.573199999999</v>
      </c>
      <c r="M14" s="356">
        <f>'IS 2023'!L14</f>
        <v>53259.148799999995</v>
      </c>
      <c r="N14" s="356">
        <f>'IS 2023'!M14</f>
        <v>54993.33</v>
      </c>
      <c r="O14" s="356">
        <f>'IS 2023'!N14</f>
        <v>56797.343999999983</v>
      </c>
      <c r="P14" s="356">
        <f>'IS 2023'!O14</f>
        <v>60056.208000000006</v>
      </c>
      <c r="Q14" s="356">
        <f>'IS 2023'!P14</f>
        <v>61511.058000000005</v>
      </c>
      <c r="R14" s="356">
        <f>'IS 2023'!Q14</f>
        <v>65875.608000000007</v>
      </c>
      <c r="S14" s="356">
        <f>'CF 2024'!G14</f>
        <v>65875.608000000007</v>
      </c>
      <c r="T14" s="356">
        <f>'CF 2024'!H14</f>
        <v>66806.711999999985</v>
      </c>
      <c r="U14" s="356">
        <f>'CF 2024'!I14</f>
        <v>67737.815999999992</v>
      </c>
      <c r="V14" s="357"/>
    </row>
    <row r="15" spans="1:22" x14ac:dyDescent="0.3">
      <c r="B15" s="361" t="s">
        <v>294</v>
      </c>
      <c r="C15" s="358"/>
      <c r="D15" s="358"/>
      <c r="E15" s="358"/>
      <c r="F15" s="358"/>
      <c r="G15" s="356">
        <f>'IS 2023'!F15</f>
        <v>150317.66399999999</v>
      </c>
      <c r="H15" s="356">
        <f>'IS 2023'!G15</f>
        <v>153433.05600000004</v>
      </c>
      <c r="I15" s="356">
        <f>'IS 2023'!H15</f>
        <v>157296.14208000005</v>
      </c>
      <c r="J15" s="356">
        <f>'IS 2023'!I15</f>
        <v>160832.11199999999</v>
      </c>
      <c r="K15" s="356">
        <f>'IS 2023'!J15</f>
        <v>168581.64960000003</v>
      </c>
      <c r="L15" s="356">
        <f>'IS 2023'!K15</f>
        <v>174812.43360000005</v>
      </c>
      <c r="M15" s="356">
        <f>'IS 2023'!L15</f>
        <v>178200.42240000004</v>
      </c>
      <c r="N15" s="356">
        <f>'IS 2023'!M15</f>
        <v>184002.84000000003</v>
      </c>
      <c r="O15" s="356">
        <f>'IS 2023'!N15</f>
        <v>190038.91199999998</v>
      </c>
      <c r="P15" s="356">
        <f>'IS 2023'!O15</f>
        <v>200942.78400000004</v>
      </c>
      <c r="Q15" s="356">
        <f>'IS 2023'!P15</f>
        <v>205810.58400000006</v>
      </c>
      <c r="R15" s="356">
        <f>'IS 2023'!Q15</f>
        <v>220413.98400000008</v>
      </c>
      <c r="S15" s="356">
        <f>'CF 2024'!G15</f>
        <v>220413.98400000008</v>
      </c>
      <c r="T15" s="356">
        <f>'CF 2024'!H15</f>
        <v>223529.37599999999</v>
      </c>
      <c r="U15" s="356">
        <f>'CF 2024'!I15</f>
        <v>226644.76800000004</v>
      </c>
      <c r="V15" s="357"/>
    </row>
    <row r="16" spans="1:22" x14ac:dyDescent="0.3">
      <c r="B16" s="361" t="s">
        <v>293</v>
      </c>
      <c r="C16" s="358"/>
      <c r="D16" s="358"/>
      <c r="E16" s="358"/>
      <c r="F16" s="358"/>
      <c r="G16" s="356">
        <f>'IS 2023'!F16</f>
        <v>318718.6559999999</v>
      </c>
      <c r="H16" s="356">
        <f>'IS 2023'!G16</f>
        <v>325324.22400000005</v>
      </c>
      <c r="I16" s="356">
        <f>'IS 2023'!H16</f>
        <v>333515.12832000002</v>
      </c>
      <c r="J16" s="356">
        <f>'IS 2023'!I16</f>
        <v>341012.44799999992</v>
      </c>
      <c r="K16" s="356">
        <f>'IS 2023'!J16</f>
        <v>357443.79839999997</v>
      </c>
      <c r="L16" s="356">
        <f>'IS 2023'!K16</f>
        <v>370654.93440000003</v>
      </c>
      <c r="M16" s="356">
        <f>'IS 2023'!L16</f>
        <v>377838.48959999997</v>
      </c>
      <c r="N16" s="356">
        <f>'IS 2023'!M16</f>
        <v>390141.36000000004</v>
      </c>
      <c r="O16" s="356">
        <f>'IS 2023'!N16</f>
        <v>402939.64799999987</v>
      </c>
      <c r="P16" s="356">
        <f>'IS 2023'!O16</f>
        <v>426059.13600000006</v>
      </c>
      <c r="Q16" s="356">
        <f>'IS 2023'!P16</f>
        <v>436380.33600000007</v>
      </c>
      <c r="R16" s="356">
        <f>'IS 2023'!Q16</f>
        <v>467343.9360000001</v>
      </c>
      <c r="S16" s="356">
        <f>'CF 2024'!G16</f>
        <v>467343.9360000001</v>
      </c>
      <c r="T16" s="356">
        <f>'CF 2024'!H16</f>
        <v>473949.50399999996</v>
      </c>
      <c r="U16" s="356">
        <f>'CF 2024'!I16</f>
        <v>480555.07199999999</v>
      </c>
      <c r="V16" s="357"/>
    </row>
    <row r="17" spans="1:22" x14ac:dyDescent="0.3">
      <c r="B17" s="362" t="s">
        <v>132</v>
      </c>
      <c r="C17" s="358"/>
      <c r="D17" s="358"/>
      <c r="E17" s="358"/>
      <c r="F17" s="358"/>
      <c r="G17" s="356"/>
      <c r="H17" s="356"/>
      <c r="I17" s="356"/>
      <c r="J17" s="356"/>
      <c r="K17" s="356"/>
      <c r="L17" s="356"/>
      <c r="M17" s="356"/>
      <c r="N17" s="356"/>
      <c r="O17" s="356"/>
      <c r="P17" s="357"/>
      <c r="Q17" s="356"/>
      <c r="R17" s="356"/>
      <c r="S17" s="356"/>
      <c r="T17" s="356"/>
      <c r="U17" s="356"/>
      <c r="V17" s="357"/>
    </row>
    <row r="18" spans="1:22" x14ac:dyDescent="0.3">
      <c r="B18" s="362"/>
      <c r="C18" s="358"/>
      <c r="D18" s="358"/>
      <c r="E18" s="358"/>
      <c r="F18" s="358"/>
      <c r="G18" s="356"/>
      <c r="H18" s="356"/>
      <c r="I18" s="356"/>
      <c r="J18" s="356"/>
      <c r="K18" s="356"/>
      <c r="L18" s="356"/>
      <c r="M18" s="356"/>
      <c r="N18" s="356"/>
      <c r="O18" s="356"/>
      <c r="P18" s="357"/>
      <c r="Q18" s="356"/>
      <c r="R18" s="356"/>
      <c r="S18" s="356"/>
      <c r="T18" s="356"/>
      <c r="U18" s="356"/>
      <c r="V18" s="357"/>
    </row>
    <row r="19" spans="1:22" x14ac:dyDescent="0.3">
      <c r="B19" s="360" t="s">
        <v>45</v>
      </c>
      <c r="C19" s="358"/>
      <c r="D19" s="358"/>
      <c r="E19" s="358"/>
      <c r="F19" s="358"/>
      <c r="G19" s="356">
        <v>-200</v>
      </c>
      <c r="H19" s="356">
        <v>-200</v>
      </c>
      <c r="I19" s="356">
        <v>-200</v>
      </c>
      <c r="J19" s="356">
        <v>-200</v>
      </c>
      <c r="K19" s="356">
        <v>-200</v>
      </c>
      <c r="L19" s="356">
        <v>-200</v>
      </c>
      <c r="M19" s="356">
        <v>-200</v>
      </c>
      <c r="N19" s="356">
        <v>-200</v>
      </c>
      <c r="O19" s="356">
        <v>-200</v>
      </c>
      <c r="P19" s="356">
        <v>-200</v>
      </c>
      <c r="Q19" s="356">
        <v>-200</v>
      </c>
      <c r="R19" s="356">
        <v>-200</v>
      </c>
      <c r="S19" s="356">
        <v>-200</v>
      </c>
      <c r="T19" s="356">
        <v>-200</v>
      </c>
      <c r="U19" s="356">
        <v>-200</v>
      </c>
      <c r="V19" s="356">
        <f>SUM(G19:R19)</f>
        <v>-2400</v>
      </c>
    </row>
    <row r="20" spans="1:22" x14ac:dyDescent="0.3">
      <c r="B20" s="360" t="s">
        <v>161</v>
      </c>
      <c r="C20" s="358"/>
      <c r="D20" s="358"/>
      <c r="E20" s="358"/>
      <c r="F20" s="358"/>
      <c r="G20" s="356">
        <f>'IS 2023'!F62</f>
        <v>-90000</v>
      </c>
      <c r="H20" s="356">
        <f>'IS 2023'!G62</f>
        <v>-86636.400000000009</v>
      </c>
      <c r="I20" s="356">
        <f>'IS 2023'!H62</f>
        <v>-83272.800000000003</v>
      </c>
      <c r="J20" s="356">
        <f>'IS 2023'!I62</f>
        <v>-79909.200000000012</v>
      </c>
      <c r="K20" s="356">
        <f>'IS 2023'!J62</f>
        <v>-76545.600000000006</v>
      </c>
      <c r="L20" s="356">
        <f>'IS 2023'!K62</f>
        <v>-73182</v>
      </c>
      <c r="M20" s="356">
        <f>'IS 2023'!L62</f>
        <v>-69818.400000000009</v>
      </c>
      <c r="N20" s="356">
        <f>'IS 2023'!M62</f>
        <v>-66454.8</v>
      </c>
      <c r="O20" s="356">
        <f>'IS 2023'!N62</f>
        <v>-63091.200000000004</v>
      </c>
      <c r="P20" s="356">
        <f>'IS 2023'!O62</f>
        <v>-59727.600000000006</v>
      </c>
      <c r="Q20" s="356">
        <f>'IS 2023'!P62</f>
        <v>-56364</v>
      </c>
      <c r="R20" s="356">
        <f>'IS 2023'!Q62</f>
        <v>-53000.4</v>
      </c>
      <c r="S20" s="356">
        <f>'IS 2023'!R62</f>
        <v>-49636.800000000003</v>
      </c>
      <c r="T20" s="356">
        <f>'IS 2023'!S62</f>
        <v>-46273.200000000004</v>
      </c>
      <c r="U20" s="356">
        <f>'IS 2023'!T62</f>
        <v>-42909.600000000006</v>
      </c>
      <c r="V20" s="357"/>
    </row>
    <row r="21" spans="1:22" x14ac:dyDescent="0.3">
      <c r="B21" s="360" t="s">
        <v>162</v>
      </c>
      <c r="C21" s="358"/>
      <c r="D21" s="358"/>
      <c r="E21" s="358"/>
      <c r="F21" s="358"/>
      <c r="G21" s="356">
        <f>'IS 2023'!F64</f>
        <v>-94400.781599999973</v>
      </c>
      <c r="H21" s="356">
        <f>'IS 2023'!G64</f>
        <v>-96645.386400000018</v>
      </c>
      <c r="I21" s="356">
        <f>'IS 2023'!H64</f>
        <v>-99428.696352000028</v>
      </c>
      <c r="J21" s="356">
        <f>'IS 2023'!I64</f>
        <v>-101976.32279999997</v>
      </c>
      <c r="K21" s="356">
        <f>'IS 2023'!J64</f>
        <v>-107559.77724000002</v>
      </c>
      <c r="L21" s="356">
        <f>'IS 2023'!K64</f>
        <v>-112048.98684000001</v>
      </c>
      <c r="M21" s="356">
        <f>'IS 2023'!L64</f>
        <v>-114489.99456000001</v>
      </c>
      <c r="N21" s="356">
        <f>'IS 2023'!M64</f>
        <v>-118670.571</v>
      </c>
      <c r="O21" s="356">
        <f>'IS 2023'!N64</f>
        <v>-123019.49279999999</v>
      </c>
      <c r="P21" s="356">
        <f>'IS 2023'!O64</f>
        <v>-130875.60960000004</v>
      </c>
      <c r="Q21" s="356">
        <f>'IS 2023'!P64</f>
        <v>-134382.8046</v>
      </c>
      <c r="R21" s="356">
        <f>'IS 2023'!Q64</f>
        <v>-147151.18960000004</v>
      </c>
      <c r="S21" s="356">
        <f>'IS 2023'!R64</f>
        <v>-149268.38960000005</v>
      </c>
      <c r="T21" s="356">
        <f>'IS 2023'!S64</f>
        <v>-151512.9944</v>
      </c>
      <c r="U21" s="356">
        <f>'IS 2023'!T64</f>
        <v>-153757.59920000003</v>
      </c>
      <c r="V21" s="357"/>
    </row>
    <row r="22" spans="1:22" x14ac:dyDescent="0.3">
      <c r="A22" s="156"/>
      <c r="B22" s="186" t="s">
        <v>163</v>
      </c>
      <c r="C22" s="156"/>
      <c r="D22" s="156"/>
      <c r="E22" s="156"/>
      <c r="F22" s="156"/>
      <c r="G22" s="219">
        <f>G11</f>
        <v>541510.90799999982</v>
      </c>
      <c r="H22" s="219">
        <f t="shared" ref="H22:R22" si="1">H11</f>
        <v>552733.93200000003</v>
      </c>
      <c r="I22" s="219">
        <f t="shared" si="1"/>
        <v>566650.48176000011</v>
      </c>
      <c r="J22" s="219">
        <f t="shared" si="1"/>
        <v>579388.61399999983</v>
      </c>
      <c r="K22" s="219">
        <f t="shared" si="1"/>
        <v>607305.88620000007</v>
      </c>
      <c r="L22" s="219">
        <f t="shared" si="1"/>
        <v>629751.93420000002</v>
      </c>
      <c r="M22" s="219">
        <f t="shared" si="1"/>
        <v>641956.97279999999</v>
      </c>
      <c r="N22" s="219">
        <f t="shared" si="1"/>
        <v>662859.85499999998</v>
      </c>
      <c r="O22" s="219">
        <f t="shared" si="1"/>
        <v>684604.46399999992</v>
      </c>
      <c r="P22" s="219">
        <f t="shared" si="1"/>
        <v>723885.04800000018</v>
      </c>
      <c r="Q22" s="219">
        <f t="shared" si="1"/>
        <v>741421.02300000004</v>
      </c>
      <c r="R22" s="219">
        <f t="shared" si="1"/>
        <v>794028.94800000021</v>
      </c>
      <c r="S22" s="219">
        <f t="shared" ref="S22:U22" si="2">S11</f>
        <v>794028.94800000021</v>
      </c>
      <c r="T22" s="219">
        <f t="shared" si="2"/>
        <v>805251.97199999995</v>
      </c>
      <c r="U22" s="219">
        <f t="shared" si="2"/>
        <v>816474.99600000004</v>
      </c>
      <c r="V22" s="219">
        <f>SUM(G22:R22)</f>
        <v>7726098.0669600004</v>
      </c>
    </row>
    <row r="23" spans="1:22" x14ac:dyDescent="0.3">
      <c r="A23" s="157"/>
      <c r="B23" s="207" t="s">
        <v>164</v>
      </c>
      <c r="C23" s="208"/>
      <c r="D23" s="208"/>
      <c r="E23" s="208"/>
      <c r="F23" s="208"/>
      <c r="G23" s="220">
        <f>SUM(G19:G21)</f>
        <v>-184600.78159999999</v>
      </c>
      <c r="H23" s="220">
        <f t="shared" ref="H23:R23" si="3">SUM(H19:H21)</f>
        <v>-183481.78640000004</v>
      </c>
      <c r="I23" s="220">
        <f t="shared" si="3"/>
        <v>-182901.49635200005</v>
      </c>
      <c r="J23" s="220">
        <f t="shared" si="3"/>
        <v>-182085.52279999998</v>
      </c>
      <c r="K23" s="220">
        <f t="shared" si="3"/>
        <v>-184305.37724000003</v>
      </c>
      <c r="L23" s="220">
        <f t="shared" si="3"/>
        <v>-185430.98684000003</v>
      </c>
      <c r="M23" s="220">
        <f t="shared" si="3"/>
        <v>-184508.39456000002</v>
      </c>
      <c r="N23" s="220">
        <f t="shared" si="3"/>
        <v>-185325.37099999998</v>
      </c>
      <c r="O23" s="220">
        <f t="shared" si="3"/>
        <v>-186310.69279999999</v>
      </c>
      <c r="P23" s="220">
        <f t="shared" si="3"/>
        <v>-190803.20960000006</v>
      </c>
      <c r="Q23" s="220">
        <f t="shared" si="3"/>
        <v>-190946.8046</v>
      </c>
      <c r="R23" s="220">
        <f t="shared" si="3"/>
        <v>-200351.58960000004</v>
      </c>
      <c r="S23" s="220">
        <f t="shared" ref="S23:U23" si="4">SUM(S19:S21)</f>
        <v>-199105.18960000004</v>
      </c>
      <c r="T23" s="220">
        <f t="shared" si="4"/>
        <v>-197986.19440000001</v>
      </c>
      <c r="U23" s="220">
        <f t="shared" si="4"/>
        <v>-196867.19920000003</v>
      </c>
      <c r="V23" s="221">
        <f>SUM(G23:R23)</f>
        <v>-2241052.0133920005</v>
      </c>
    </row>
    <row r="24" spans="1:22" x14ac:dyDescent="0.3">
      <c r="B24" s="159" t="s">
        <v>165</v>
      </c>
      <c r="C24" s="159"/>
      <c r="D24" s="159"/>
      <c r="E24" s="159"/>
      <c r="F24" s="159"/>
      <c r="G24" s="363">
        <f>'IS 2023'!F65+G35</f>
        <v>377603.12639999983</v>
      </c>
      <c r="H24" s="363">
        <f>'IS 2023'!G65+H35</f>
        <v>369763.54560000001</v>
      </c>
      <c r="I24" s="363">
        <f>'IS 2023'!H65+I35</f>
        <v>380896.78540800011</v>
      </c>
      <c r="J24" s="363">
        <f>'IS 2023'!I65+J35</f>
        <v>391087.29119999986</v>
      </c>
      <c r="K24" s="363">
        <f>'IS 2023'!J65+K35</f>
        <v>413421.10896000004</v>
      </c>
      <c r="L24" s="363">
        <f>'IS 2023'!K65+L35</f>
        <v>431377.94735999999</v>
      </c>
      <c r="M24" s="363">
        <f>'IS 2023'!L65+M35</f>
        <v>441141.97823999997</v>
      </c>
      <c r="N24" s="363">
        <f>'IS 2023'!M65+N35</f>
        <v>457864.28399999999</v>
      </c>
      <c r="O24" s="363">
        <f>'IS 2023'!N65+O35</f>
        <v>475259.97119999991</v>
      </c>
      <c r="P24" s="363">
        <f>'IS 2023'!O65+P35</f>
        <v>506684.43840000016</v>
      </c>
      <c r="Q24" s="363">
        <f>'IS 2023'!P65+Q35</f>
        <v>520713.21840000001</v>
      </c>
      <c r="R24" s="363">
        <f>'IS 2023'!Q65+R35</f>
        <v>571786.75840000017</v>
      </c>
      <c r="S24" s="363">
        <f>'IS 2024'!F66+S35</f>
        <v>562799.55840000021</v>
      </c>
      <c r="T24" s="363">
        <f>'IS 2024'!G66+T35</f>
        <v>571777.97759999998</v>
      </c>
      <c r="U24" s="363">
        <f>'IS 2024'!H66+U35</f>
        <v>580756.39679999999</v>
      </c>
      <c r="V24" s="356">
        <f>SUM(G24:R24)</f>
        <v>5337600.4535680003</v>
      </c>
    </row>
    <row r="25" spans="1:22" x14ac:dyDescent="0.3">
      <c r="B25" s="159" t="s">
        <v>209</v>
      </c>
      <c r="C25" s="159"/>
      <c r="D25" s="159"/>
      <c r="E25" s="159"/>
      <c r="F25" s="159"/>
      <c r="G25" s="363">
        <f>G24-'IS 2023'!F60</f>
        <v>379314.12639999983</v>
      </c>
      <c r="H25" s="363">
        <f>H24-'IS 2023'!G60</f>
        <v>371474.54560000001</v>
      </c>
      <c r="I25" s="363">
        <f>I24-'IS 2023'!H60</f>
        <v>382607.78540800011</v>
      </c>
      <c r="J25" s="363">
        <f>J24-'IS 2023'!I60</f>
        <v>392798.29119999986</v>
      </c>
      <c r="K25" s="363">
        <f>K24-'IS 2023'!J60</f>
        <v>415132.10896000004</v>
      </c>
      <c r="L25" s="363">
        <f>L24-'IS 2023'!K60</f>
        <v>433088.94735999999</v>
      </c>
      <c r="M25" s="363">
        <f>M24-'IS 2023'!L60</f>
        <v>442852.97823999997</v>
      </c>
      <c r="N25" s="363">
        <f>N24-'IS 2023'!M60</f>
        <v>459575.28399999999</v>
      </c>
      <c r="O25" s="363">
        <f>O24-'IS 2023'!N60</f>
        <v>476970.97119999991</v>
      </c>
      <c r="P25" s="363">
        <f>P24-'IS 2023'!O60</f>
        <v>508395.43840000016</v>
      </c>
      <c r="Q25" s="363">
        <f>Q24-'IS 2023'!P60</f>
        <v>522424.21840000001</v>
      </c>
      <c r="R25" s="363">
        <f>R24-'IS 2023'!Q60</f>
        <v>573497.75840000017</v>
      </c>
      <c r="S25" s="363">
        <f>S24-'IS 2024'!F61</f>
        <v>564249.55840000021</v>
      </c>
      <c r="T25" s="363">
        <f>T24-'IS 2024'!G61</f>
        <v>573227.97759999998</v>
      </c>
      <c r="U25" s="363">
        <f>U24-'IS 2024'!H61</f>
        <v>582206.39679999999</v>
      </c>
      <c r="V25" s="357"/>
    </row>
    <row r="26" spans="1:22" x14ac:dyDescent="0.3">
      <c r="B26" s="364" t="s">
        <v>166</v>
      </c>
      <c r="C26" s="159"/>
      <c r="D26" s="159"/>
      <c r="E26" s="159"/>
      <c r="F26" s="159"/>
      <c r="G26" s="365"/>
      <c r="H26" s="365"/>
      <c r="I26" s="365"/>
      <c r="J26" s="365"/>
      <c r="K26" s="365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357"/>
    </row>
    <row r="27" spans="1:22" x14ac:dyDescent="0.3">
      <c r="B27" s="366" t="s">
        <v>167</v>
      </c>
      <c r="C27" s="159"/>
      <c r="D27" s="159"/>
      <c r="E27" s="159"/>
      <c r="F27" s="159"/>
      <c r="G27" s="363">
        <v>450000</v>
      </c>
      <c r="H27" s="365"/>
      <c r="I27" s="365"/>
      <c r="J27" s="365"/>
      <c r="K27" s="365"/>
      <c r="L27" s="365"/>
      <c r="M27" s="365"/>
      <c r="N27" s="365"/>
      <c r="O27" s="365"/>
      <c r="P27" s="365"/>
      <c r="Q27" s="365"/>
      <c r="R27" s="365"/>
      <c r="S27" s="365"/>
      <c r="T27" s="365"/>
      <c r="U27" s="365"/>
      <c r="V27" s="357"/>
    </row>
    <row r="28" spans="1:22" x14ac:dyDescent="0.3">
      <c r="B28" s="367" t="s">
        <v>127</v>
      </c>
      <c r="C28" s="159"/>
      <c r="D28" s="159"/>
      <c r="E28" s="159"/>
      <c r="F28" s="159"/>
      <c r="G28" s="363"/>
      <c r="H28" s="365"/>
      <c r="I28" s="365"/>
      <c r="J28" s="365"/>
      <c r="K28" s="365"/>
      <c r="L28" s="365"/>
      <c r="M28" s="365"/>
      <c r="N28" s="365"/>
      <c r="O28" s="365"/>
      <c r="P28" s="365"/>
      <c r="Q28" s="365"/>
      <c r="R28" s="365"/>
      <c r="S28" s="365"/>
      <c r="T28" s="365"/>
      <c r="U28" s="365"/>
      <c r="V28" s="357"/>
    </row>
    <row r="29" spans="1:22" x14ac:dyDescent="0.3">
      <c r="B29" s="366" t="s">
        <v>168</v>
      </c>
      <c r="C29" s="159"/>
      <c r="D29" s="159"/>
      <c r="E29" s="159"/>
      <c r="F29" s="159"/>
      <c r="G29" s="363">
        <f>SUM(G27:G28)</f>
        <v>450000</v>
      </c>
      <c r="H29" s="363">
        <f t="shared" ref="H29:R29" si="5">SUM(H27:H28)</f>
        <v>0</v>
      </c>
      <c r="I29" s="363">
        <f t="shared" si="5"/>
        <v>0</v>
      </c>
      <c r="J29" s="363">
        <f t="shared" si="5"/>
        <v>0</v>
      </c>
      <c r="K29" s="363">
        <f t="shared" si="5"/>
        <v>0</v>
      </c>
      <c r="L29" s="363">
        <f t="shared" si="5"/>
        <v>0</v>
      </c>
      <c r="M29" s="363">
        <f t="shared" si="5"/>
        <v>0</v>
      </c>
      <c r="N29" s="363">
        <f t="shared" si="5"/>
        <v>0</v>
      </c>
      <c r="O29" s="363">
        <f t="shared" si="5"/>
        <v>0</v>
      </c>
      <c r="P29" s="363">
        <f t="shared" si="5"/>
        <v>0</v>
      </c>
      <c r="Q29" s="363">
        <f t="shared" si="5"/>
        <v>0</v>
      </c>
      <c r="R29" s="363">
        <f t="shared" si="5"/>
        <v>0</v>
      </c>
      <c r="S29" s="363">
        <f t="shared" ref="S29:U29" si="6">SUM(S27:S28)</f>
        <v>0</v>
      </c>
      <c r="T29" s="363">
        <f t="shared" si="6"/>
        <v>0</v>
      </c>
      <c r="U29" s="363">
        <f t="shared" si="6"/>
        <v>0</v>
      </c>
      <c r="V29" s="357"/>
    </row>
    <row r="30" spans="1:22" x14ac:dyDescent="0.3">
      <c r="B30" s="369" t="s">
        <v>169</v>
      </c>
      <c r="C30" s="159"/>
      <c r="D30" s="159"/>
      <c r="E30" s="159"/>
      <c r="F30" s="159"/>
      <c r="G30" s="365"/>
      <c r="H30" s="365"/>
      <c r="I30" s="365"/>
      <c r="J30" s="365"/>
      <c r="K30" s="365"/>
      <c r="L30" s="365"/>
      <c r="M30" s="365"/>
      <c r="N30" s="365"/>
      <c r="O30" s="365"/>
      <c r="P30" s="365"/>
      <c r="Q30" s="365"/>
      <c r="R30" s="365"/>
      <c r="S30" s="365"/>
      <c r="T30" s="365"/>
      <c r="U30" s="365"/>
      <c r="V30" s="357"/>
    </row>
    <row r="31" spans="1:22" x14ac:dyDescent="0.3">
      <c r="B31" s="360" t="s">
        <v>170</v>
      </c>
      <c r="C31" s="358"/>
      <c r="D31" s="358"/>
      <c r="E31" s="358"/>
      <c r="F31" s="358"/>
      <c r="G31" s="356">
        <v>-450000</v>
      </c>
      <c r="H31" s="357"/>
      <c r="I31" s="357"/>
      <c r="J31" s="357"/>
      <c r="K31" s="357"/>
      <c r="L31" s="357"/>
      <c r="M31" s="357"/>
      <c r="N31" s="357"/>
      <c r="O31" s="357"/>
      <c r="P31" s="357"/>
      <c r="Q31" s="357"/>
      <c r="R31" s="357"/>
      <c r="S31" s="357"/>
      <c r="T31" s="357"/>
      <c r="U31" s="357"/>
      <c r="V31" s="357"/>
    </row>
    <row r="32" spans="1:22" x14ac:dyDescent="0.3">
      <c r="B32" s="362" t="s">
        <v>127</v>
      </c>
      <c r="C32" s="358"/>
      <c r="D32" s="358"/>
      <c r="E32" s="358"/>
      <c r="F32" s="358"/>
      <c r="G32" s="356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7"/>
      <c r="V32" s="357"/>
    </row>
    <row r="33" spans="1:22" x14ac:dyDescent="0.3">
      <c r="B33" s="362" t="s">
        <v>128</v>
      </c>
      <c r="C33" s="358"/>
      <c r="D33" s="358"/>
      <c r="E33" s="358"/>
      <c r="F33" s="358"/>
      <c r="G33" s="356"/>
      <c r="H33" s="357"/>
      <c r="I33" s="357"/>
      <c r="J33" s="357"/>
      <c r="K33" s="357"/>
      <c r="L33" s="357"/>
      <c r="M33" s="357"/>
      <c r="N33" s="357"/>
      <c r="O33" s="357"/>
      <c r="P33" s="357"/>
      <c r="Q33" s="357"/>
      <c r="R33" s="357"/>
      <c r="S33" s="357"/>
      <c r="T33" s="357"/>
      <c r="U33" s="357"/>
      <c r="V33" s="357"/>
    </row>
    <row r="34" spans="1:22" x14ac:dyDescent="0.3">
      <c r="B34" s="362" t="s">
        <v>129</v>
      </c>
      <c r="C34" s="358"/>
      <c r="D34" s="358"/>
      <c r="E34" s="358"/>
      <c r="F34" s="358"/>
      <c r="G34" s="356"/>
      <c r="H34" s="357"/>
      <c r="I34" s="357"/>
      <c r="J34" s="357"/>
      <c r="K34" s="357"/>
      <c r="L34" s="357"/>
      <c r="M34" s="357"/>
      <c r="N34" s="357"/>
      <c r="O34" s="357"/>
      <c r="P34" s="357"/>
      <c r="Q34" s="357"/>
      <c r="R34" s="357"/>
      <c r="S34" s="357"/>
      <c r="T34" s="357"/>
      <c r="U34" s="357"/>
      <c r="V34" s="357"/>
    </row>
    <row r="35" spans="1:22" x14ac:dyDescent="0.3">
      <c r="B35" s="360" t="s">
        <v>171</v>
      </c>
      <c r="C35" s="358"/>
      <c r="D35" s="358"/>
      <c r="E35" s="358"/>
      <c r="F35" s="358"/>
      <c r="G35" s="357"/>
      <c r="H35" s="356">
        <v>-16818</v>
      </c>
      <c r="I35" s="356">
        <v>-16818</v>
      </c>
      <c r="J35" s="356">
        <v>-16818</v>
      </c>
      <c r="K35" s="356">
        <v>-16818</v>
      </c>
      <c r="L35" s="356">
        <v>-16818</v>
      </c>
      <c r="M35" s="356">
        <v>-16818</v>
      </c>
      <c r="N35" s="356">
        <v>-16818</v>
      </c>
      <c r="O35" s="356">
        <v>-16818</v>
      </c>
      <c r="P35" s="356">
        <v>-16818</v>
      </c>
      <c r="Q35" s="356">
        <v>-16818</v>
      </c>
      <c r="R35" s="356">
        <v>-16818</v>
      </c>
      <c r="S35" s="356">
        <v>-16818</v>
      </c>
      <c r="T35" s="356">
        <v>-16818</v>
      </c>
      <c r="U35" s="356">
        <v>-16818</v>
      </c>
      <c r="V35" s="356">
        <f>SUM(G31:R35)</f>
        <v>-634998</v>
      </c>
    </row>
    <row r="36" spans="1:22" x14ac:dyDescent="0.3">
      <c r="B36" s="362" t="s">
        <v>127</v>
      </c>
      <c r="C36" s="358"/>
      <c r="D36" s="358"/>
      <c r="E36" s="358"/>
      <c r="F36" s="358"/>
      <c r="G36" s="357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7"/>
    </row>
    <row r="37" spans="1:22" x14ac:dyDescent="0.3">
      <c r="B37" s="360" t="s">
        <v>172</v>
      </c>
      <c r="C37" s="358"/>
      <c r="D37" s="358"/>
      <c r="E37" s="358"/>
      <c r="F37" s="358"/>
      <c r="G37" s="356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  <c r="S37" s="357"/>
      <c r="T37" s="357"/>
      <c r="U37" s="357"/>
      <c r="V37" s="357"/>
    </row>
    <row r="38" spans="1:22" x14ac:dyDescent="0.3">
      <c r="B38" s="362" t="s">
        <v>127</v>
      </c>
      <c r="C38" s="358"/>
      <c r="D38" s="358"/>
      <c r="E38" s="358"/>
      <c r="F38" s="358"/>
      <c r="G38" s="356"/>
      <c r="H38" s="357"/>
      <c r="I38" s="357"/>
      <c r="J38" s="357"/>
      <c r="K38" s="357"/>
      <c r="L38" s="357"/>
      <c r="M38" s="357"/>
      <c r="N38" s="357"/>
      <c r="O38" s="357"/>
      <c r="P38" s="357"/>
      <c r="Q38" s="357"/>
      <c r="R38" s="357"/>
      <c r="S38" s="357"/>
      <c r="T38" s="357"/>
      <c r="U38" s="357"/>
      <c r="V38" s="357"/>
    </row>
    <row r="39" spans="1:22" x14ac:dyDescent="0.3">
      <c r="B39" s="360" t="s">
        <v>173</v>
      </c>
      <c r="C39" s="358"/>
      <c r="D39" s="358"/>
      <c r="E39" s="358"/>
      <c r="F39" s="358"/>
      <c r="G39" s="357"/>
      <c r="H39" s="357"/>
      <c r="I39" s="357"/>
      <c r="J39" s="357"/>
      <c r="K39" s="357"/>
      <c r="L39" s="357"/>
      <c r="M39" s="357"/>
      <c r="N39" s="357"/>
      <c r="O39" s="357"/>
      <c r="P39" s="357"/>
      <c r="Q39" s="357"/>
      <c r="R39" s="357"/>
      <c r="S39" s="357"/>
      <c r="T39" s="357"/>
      <c r="U39" s="357"/>
      <c r="V39" s="357"/>
    </row>
    <row r="40" spans="1:22" x14ac:dyDescent="0.3">
      <c r="B40" s="362" t="s">
        <v>127</v>
      </c>
      <c r="C40" s="358"/>
      <c r="D40" s="358"/>
      <c r="E40" s="358"/>
      <c r="F40" s="358"/>
      <c r="G40" s="357"/>
      <c r="H40" s="357"/>
      <c r="I40" s="357"/>
      <c r="J40" s="357"/>
      <c r="K40" s="357"/>
      <c r="L40" s="357"/>
      <c r="M40" s="357"/>
      <c r="N40" s="357"/>
      <c r="O40" s="357"/>
      <c r="P40" s="357"/>
      <c r="Q40" s="357"/>
      <c r="R40" s="357"/>
      <c r="S40" s="357"/>
      <c r="T40" s="357"/>
      <c r="U40" s="357"/>
      <c r="V40" s="357"/>
    </row>
    <row r="41" spans="1:22" x14ac:dyDescent="0.3">
      <c r="B41" s="360" t="s">
        <v>174</v>
      </c>
      <c r="C41" s="358"/>
      <c r="D41" s="358"/>
      <c r="E41" s="358"/>
      <c r="F41" s="358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/>
    </row>
    <row r="42" spans="1:22" x14ac:dyDescent="0.3">
      <c r="B42" s="362" t="s">
        <v>127</v>
      </c>
      <c r="C42" s="358"/>
      <c r="D42" s="358"/>
      <c r="E42" s="358"/>
      <c r="F42" s="358"/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Q42" s="357"/>
      <c r="R42" s="357"/>
      <c r="S42" s="357"/>
      <c r="T42" s="357"/>
      <c r="U42" s="357"/>
      <c r="V42" s="357"/>
    </row>
    <row r="43" spans="1:22" x14ac:dyDescent="0.3">
      <c r="B43" s="360" t="s">
        <v>52</v>
      </c>
      <c r="C43" s="358"/>
      <c r="D43" s="358"/>
      <c r="E43" s="358"/>
      <c r="F43" s="358"/>
      <c r="G43" s="357"/>
      <c r="H43" s="357"/>
      <c r="I43" s="357"/>
      <c r="J43" s="357"/>
      <c r="K43" s="357"/>
      <c r="L43" s="357"/>
      <c r="M43" s="357"/>
      <c r="N43" s="357"/>
      <c r="O43" s="357"/>
      <c r="P43" s="357"/>
      <c r="Q43" s="357"/>
      <c r="R43" s="357"/>
      <c r="S43" s="357"/>
      <c r="T43" s="357"/>
      <c r="U43" s="357"/>
      <c r="V43" s="357"/>
    </row>
    <row r="44" spans="1:22" x14ac:dyDescent="0.3">
      <c r="B44" s="360" t="s">
        <v>175</v>
      </c>
      <c r="C44" s="358"/>
      <c r="D44" s="358"/>
      <c r="E44" s="358"/>
      <c r="F44" s="358"/>
      <c r="G44" s="356">
        <f>SUM(G31:G43)</f>
        <v>-450000</v>
      </c>
      <c r="H44" s="356">
        <f t="shared" ref="H44:R44" si="7">SUM(H31:H43)</f>
        <v>-16818</v>
      </c>
      <c r="I44" s="356">
        <f t="shared" si="7"/>
        <v>-16818</v>
      </c>
      <c r="J44" s="356">
        <f t="shared" si="7"/>
        <v>-16818</v>
      </c>
      <c r="K44" s="356">
        <f t="shared" si="7"/>
        <v>-16818</v>
      </c>
      <c r="L44" s="356">
        <f t="shared" si="7"/>
        <v>-16818</v>
      </c>
      <c r="M44" s="356">
        <f t="shared" si="7"/>
        <v>-16818</v>
      </c>
      <c r="N44" s="356">
        <f t="shared" si="7"/>
        <v>-16818</v>
      </c>
      <c r="O44" s="356">
        <f t="shared" si="7"/>
        <v>-16818</v>
      </c>
      <c r="P44" s="356">
        <f t="shared" si="7"/>
        <v>-16818</v>
      </c>
      <c r="Q44" s="356">
        <f t="shared" si="7"/>
        <v>-16818</v>
      </c>
      <c r="R44" s="356">
        <f t="shared" si="7"/>
        <v>-16818</v>
      </c>
      <c r="S44" s="356">
        <f t="shared" ref="S44:U44" si="8">SUM(S31:S43)</f>
        <v>-16818</v>
      </c>
      <c r="T44" s="356">
        <f t="shared" si="8"/>
        <v>-16818</v>
      </c>
      <c r="U44" s="356">
        <f t="shared" si="8"/>
        <v>-16818</v>
      </c>
      <c r="V44" s="357"/>
    </row>
    <row r="45" spans="1:22" x14ac:dyDescent="0.3">
      <c r="A45" s="216"/>
      <c r="B45" s="370" t="s">
        <v>176</v>
      </c>
      <c r="C45" s="371"/>
      <c r="D45" s="371"/>
      <c r="E45" s="371"/>
      <c r="F45" s="371"/>
      <c r="G45" s="372">
        <f>G54</f>
        <v>356910.12639999983</v>
      </c>
      <c r="H45" s="372">
        <f>H24+H44</f>
        <v>352945.54560000001</v>
      </c>
      <c r="I45" s="372">
        <f>I24+I44</f>
        <v>364078.78540800011</v>
      </c>
      <c r="J45" s="372">
        <f>J24+J44</f>
        <v>374269.29119999986</v>
      </c>
      <c r="K45" s="372">
        <f t="shared" ref="K45:R45" si="9">K24+K44</f>
        <v>396603.10896000004</v>
      </c>
      <c r="L45" s="372">
        <f t="shared" si="9"/>
        <v>414559.94735999999</v>
      </c>
      <c r="M45" s="372">
        <f t="shared" si="9"/>
        <v>424323.97823999997</v>
      </c>
      <c r="N45" s="372">
        <f t="shared" si="9"/>
        <v>441046.28399999999</v>
      </c>
      <c r="O45" s="372">
        <f t="shared" si="9"/>
        <v>458441.97119999991</v>
      </c>
      <c r="P45" s="372">
        <f t="shared" si="9"/>
        <v>489866.43840000016</v>
      </c>
      <c r="Q45" s="372">
        <f t="shared" si="9"/>
        <v>503895.21840000001</v>
      </c>
      <c r="R45" s="372">
        <f t="shared" si="9"/>
        <v>554968.75840000017</v>
      </c>
      <c r="S45" s="372">
        <f t="shared" ref="S45:U45" si="10">S24+S44</f>
        <v>545981.55840000021</v>
      </c>
      <c r="T45" s="372">
        <f t="shared" si="10"/>
        <v>554959.97759999998</v>
      </c>
      <c r="U45" s="372">
        <f t="shared" si="10"/>
        <v>563938.39679999999</v>
      </c>
      <c r="V45" s="372">
        <f>SUM(G45:R45)</f>
        <v>5131909.4535680003</v>
      </c>
    </row>
    <row r="46" spans="1:22" x14ac:dyDescent="0.3">
      <c r="A46" s="156"/>
      <c r="B46" s="183" t="s">
        <v>177</v>
      </c>
      <c r="C46" s="156"/>
      <c r="D46" s="156"/>
      <c r="E46" s="156"/>
      <c r="F46" s="156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</row>
    <row r="47" spans="1:22" x14ac:dyDescent="0.3">
      <c r="B47" s="374" t="s">
        <v>168</v>
      </c>
      <c r="C47" s="374"/>
      <c r="D47" s="374"/>
      <c r="E47" s="374"/>
      <c r="F47" s="374"/>
      <c r="G47" s="375">
        <f>G29</f>
        <v>450000</v>
      </c>
      <c r="H47" s="375">
        <f t="shared" ref="H47:R47" si="11">H29</f>
        <v>0</v>
      </c>
      <c r="I47" s="375">
        <f t="shared" si="11"/>
        <v>0</v>
      </c>
      <c r="J47" s="375">
        <f t="shared" si="11"/>
        <v>0</v>
      </c>
      <c r="K47" s="375">
        <f t="shared" si="11"/>
        <v>0</v>
      </c>
      <c r="L47" s="375">
        <f t="shared" si="11"/>
        <v>0</v>
      </c>
      <c r="M47" s="375">
        <f t="shared" si="11"/>
        <v>0</v>
      </c>
      <c r="N47" s="375">
        <f t="shared" si="11"/>
        <v>0</v>
      </c>
      <c r="O47" s="375">
        <f t="shared" si="11"/>
        <v>0</v>
      </c>
      <c r="P47" s="375">
        <f t="shared" si="11"/>
        <v>0</v>
      </c>
      <c r="Q47" s="375">
        <f t="shared" si="11"/>
        <v>0</v>
      </c>
      <c r="R47" s="375">
        <f t="shared" si="11"/>
        <v>0</v>
      </c>
      <c r="S47" s="375">
        <f t="shared" ref="S47:U47" si="12">S29</f>
        <v>0</v>
      </c>
      <c r="T47" s="375">
        <f t="shared" si="12"/>
        <v>0</v>
      </c>
      <c r="U47" s="375">
        <f t="shared" si="12"/>
        <v>0</v>
      </c>
      <c r="V47" s="9"/>
    </row>
    <row r="48" spans="1:22" x14ac:dyDescent="0.3">
      <c r="B48" s="159" t="s">
        <v>175</v>
      </c>
      <c r="C48" s="159"/>
      <c r="D48" s="159"/>
      <c r="E48" s="159"/>
      <c r="F48" s="159"/>
      <c r="G48" s="363">
        <f>G44</f>
        <v>-450000</v>
      </c>
      <c r="H48" s="363">
        <f t="shared" ref="H48:R48" si="13">H44</f>
        <v>-16818</v>
      </c>
      <c r="I48" s="363">
        <f t="shared" si="13"/>
        <v>-16818</v>
      </c>
      <c r="J48" s="363">
        <f t="shared" si="13"/>
        <v>-16818</v>
      </c>
      <c r="K48" s="363">
        <f t="shared" si="13"/>
        <v>-16818</v>
      </c>
      <c r="L48" s="363">
        <f t="shared" si="13"/>
        <v>-16818</v>
      </c>
      <c r="M48" s="363">
        <f t="shared" si="13"/>
        <v>-16818</v>
      </c>
      <c r="N48" s="363">
        <f t="shared" si="13"/>
        <v>-16818</v>
      </c>
      <c r="O48" s="363">
        <f t="shared" si="13"/>
        <v>-16818</v>
      </c>
      <c r="P48" s="363">
        <f t="shared" si="13"/>
        <v>-16818</v>
      </c>
      <c r="Q48" s="363">
        <f t="shared" si="13"/>
        <v>-16818</v>
      </c>
      <c r="R48" s="363">
        <f t="shared" si="13"/>
        <v>-16818</v>
      </c>
      <c r="S48" s="363">
        <f t="shared" ref="S48:U48" si="14">S44</f>
        <v>-16818</v>
      </c>
      <c r="T48" s="363">
        <f t="shared" si="14"/>
        <v>-16818</v>
      </c>
      <c r="U48" s="363">
        <f t="shared" si="14"/>
        <v>-16818</v>
      </c>
      <c r="V48" s="9"/>
    </row>
    <row r="49" spans="1:22" x14ac:dyDescent="0.3">
      <c r="B49" s="159" t="s">
        <v>44</v>
      </c>
      <c r="C49" s="159"/>
      <c r="D49" s="159"/>
      <c r="E49" s="159"/>
      <c r="F49" s="159"/>
      <c r="G49" s="363">
        <f>G11</f>
        <v>541510.90799999982</v>
      </c>
      <c r="H49" s="363">
        <f t="shared" ref="H49:R49" si="15">H11</f>
        <v>552733.93200000003</v>
      </c>
      <c r="I49" s="363">
        <f t="shared" si="15"/>
        <v>566650.48176000011</v>
      </c>
      <c r="J49" s="363">
        <f t="shared" si="15"/>
        <v>579388.61399999983</v>
      </c>
      <c r="K49" s="363">
        <f t="shared" si="15"/>
        <v>607305.88620000007</v>
      </c>
      <c r="L49" s="363">
        <f t="shared" si="15"/>
        <v>629751.93420000002</v>
      </c>
      <c r="M49" s="363">
        <f t="shared" si="15"/>
        <v>641956.97279999999</v>
      </c>
      <c r="N49" s="363">
        <f t="shared" si="15"/>
        <v>662859.85499999998</v>
      </c>
      <c r="O49" s="363">
        <f t="shared" si="15"/>
        <v>684604.46399999992</v>
      </c>
      <c r="P49" s="363">
        <f t="shared" si="15"/>
        <v>723885.04800000018</v>
      </c>
      <c r="Q49" s="363">
        <f t="shared" si="15"/>
        <v>741421.02300000004</v>
      </c>
      <c r="R49" s="363">
        <f t="shared" si="15"/>
        <v>794028.94800000021</v>
      </c>
      <c r="S49" s="363">
        <f t="shared" ref="S49:U49" si="16">S11</f>
        <v>794028.94800000021</v>
      </c>
      <c r="T49" s="363">
        <f t="shared" si="16"/>
        <v>805251.97199999995</v>
      </c>
      <c r="U49" s="363">
        <f t="shared" si="16"/>
        <v>816474.99600000004</v>
      </c>
      <c r="V49" s="9"/>
    </row>
    <row r="50" spans="1:22" x14ac:dyDescent="0.3">
      <c r="B50" s="159" t="s">
        <v>45</v>
      </c>
      <c r="C50" s="159"/>
      <c r="D50" s="159"/>
      <c r="E50" s="159"/>
      <c r="F50" s="159"/>
      <c r="G50" s="363">
        <f>G19</f>
        <v>-200</v>
      </c>
      <c r="H50" s="363">
        <f t="shared" ref="H50:R50" si="17">H19</f>
        <v>-200</v>
      </c>
      <c r="I50" s="363">
        <f t="shared" si="17"/>
        <v>-200</v>
      </c>
      <c r="J50" s="363">
        <f t="shared" si="17"/>
        <v>-200</v>
      </c>
      <c r="K50" s="363">
        <f t="shared" si="17"/>
        <v>-200</v>
      </c>
      <c r="L50" s="363">
        <f t="shared" si="17"/>
        <v>-200</v>
      </c>
      <c r="M50" s="363">
        <f t="shared" si="17"/>
        <v>-200</v>
      </c>
      <c r="N50" s="363">
        <f t="shared" si="17"/>
        <v>-200</v>
      </c>
      <c r="O50" s="363">
        <f t="shared" si="17"/>
        <v>-200</v>
      </c>
      <c r="P50" s="363">
        <f t="shared" si="17"/>
        <v>-200</v>
      </c>
      <c r="Q50" s="363">
        <f t="shared" si="17"/>
        <v>-200</v>
      </c>
      <c r="R50" s="363">
        <f t="shared" si="17"/>
        <v>-200</v>
      </c>
      <c r="S50" s="363">
        <f t="shared" ref="S50:U50" si="18">S19</f>
        <v>-200</v>
      </c>
      <c r="T50" s="363">
        <f t="shared" si="18"/>
        <v>-200</v>
      </c>
      <c r="U50" s="363">
        <f t="shared" si="18"/>
        <v>-200</v>
      </c>
      <c r="V50" s="9"/>
    </row>
    <row r="51" spans="1:22" x14ac:dyDescent="0.3">
      <c r="B51" s="159" t="s">
        <v>178</v>
      </c>
      <c r="C51" s="159"/>
      <c r="D51" s="159"/>
      <c r="E51" s="159"/>
      <c r="F51" s="159"/>
      <c r="G51" s="363">
        <f>SUM(G47:G50)</f>
        <v>541310.90799999982</v>
      </c>
      <c r="H51" s="363">
        <f t="shared" ref="H51:R51" si="19">SUM(H47:H50)</f>
        <v>535715.93200000003</v>
      </c>
      <c r="I51" s="363">
        <f t="shared" si="19"/>
        <v>549632.48176000011</v>
      </c>
      <c r="J51" s="363">
        <f t="shared" si="19"/>
        <v>562370.61399999983</v>
      </c>
      <c r="K51" s="363">
        <f t="shared" si="19"/>
        <v>590287.88620000007</v>
      </c>
      <c r="L51" s="363">
        <f t="shared" si="19"/>
        <v>612733.93420000002</v>
      </c>
      <c r="M51" s="363">
        <f t="shared" si="19"/>
        <v>624938.97279999999</v>
      </c>
      <c r="N51" s="363">
        <f t="shared" si="19"/>
        <v>645841.85499999998</v>
      </c>
      <c r="O51" s="363">
        <f t="shared" si="19"/>
        <v>667586.46399999992</v>
      </c>
      <c r="P51" s="363">
        <f t="shared" si="19"/>
        <v>706867.04800000018</v>
      </c>
      <c r="Q51" s="363">
        <f t="shared" si="19"/>
        <v>724403.02300000004</v>
      </c>
      <c r="R51" s="363">
        <f t="shared" si="19"/>
        <v>777010.94800000021</v>
      </c>
      <c r="S51" s="363">
        <f t="shared" ref="S51:U51" si="20">SUM(S47:S50)</f>
        <v>777010.94800000021</v>
      </c>
      <c r="T51" s="363">
        <f t="shared" si="20"/>
        <v>788233.97199999995</v>
      </c>
      <c r="U51" s="363">
        <f t="shared" si="20"/>
        <v>799456.99600000004</v>
      </c>
      <c r="V51" s="9"/>
    </row>
    <row r="52" spans="1:22" x14ac:dyDescent="0.3">
      <c r="B52" s="159" t="s">
        <v>161</v>
      </c>
      <c r="C52" s="159"/>
      <c r="D52" s="159"/>
      <c r="E52" s="159"/>
      <c r="F52" s="159"/>
      <c r="G52" s="363">
        <f>G20</f>
        <v>-90000</v>
      </c>
      <c r="H52" s="363">
        <f t="shared" ref="H52:U52" si="21">H20</f>
        <v>-86636.400000000009</v>
      </c>
      <c r="I52" s="363">
        <f t="shared" si="21"/>
        <v>-83272.800000000003</v>
      </c>
      <c r="J52" s="363">
        <f t="shared" si="21"/>
        <v>-79909.200000000012</v>
      </c>
      <c r="K52" s="363">
        <f t="shared" si="21"/>
        <v>-76545.600000000006</v>
      </c>
      <c r="L52" s="363">
        <f t="shared" si="21"/>
        <v>-73182</v>
      </c>
      <c r="M52" s="363">
        <f t="shared" si="21"/>
        <v>-69818.400000000009</v>
      </c>
      <c r="N52" s="363">
        <f t="shared" si="21"/>
        <v>-66454.8</v>
      </c>
      <c r="O52" s="363">
        <f t="shared" si="21"/>
        <v>-63091.200000000004</v>
      </c>
      <c r="P52" s="363">
        <f t="shared" si="21"/>
        <v>-59727.600000000006</v>
      </c>
      <c r="Q52" s="363">
        <f t="shared" si="21"/>
        <v>-56364</v>
      </c>
      <c r="R52" s="363">
        <f t="shared" si="21"/>
        <v>-53000.4</v>
      </c>
      <c r="S52" s="363">
        <f t="shared" si="21"/>
        <v>-49636.800000000003</v>
      </c>
      <c r="T52" s="363">
        <f t="shared" si="21"/>
        <v>-46273.200000000004</v>
      </c>
      <c r="U52" s="363">
        <f t="shared" si="21"/>
        <v>-42909.600000000006</v>
      </c>
      <c r="V52" s="9"/>
    </row>
    <row r="53" spans="1:22" x14ac:dyDescent="0.3">
      <c r="B53" s="159" t="s">
        <v>162</v>
      </c>
      <c r="C53" s="159"/>
      <c r="D53" s="159"/>
      <c r="E53" s="159"/>
      <c r="F53" s="159"/>
      <c r="G53" s="377">
        <f>G21</f>
        <v>-94400.781599999973</v>
      </c>
      <c r="H53" s="377">
        <f t="shared" ref="H53:U53" si="22">H21</f>
        <v>-96645.386400000018</v>
      </c>
      <c r="I53" s="377">
        <f t="shared" si="22"/>
        <v>-99428.696352000028</v>
      </c>
      <c r="J53" s="377">
        <f t="shared" si="22"/>
        <v>-101976.32279999997</v>
      </c>
      <c r="K53" s="377">
        <f t="shared" si="22"/>
        <v>-107559.77724000002</v>
      </c>
      <c r="L53" s="377">
        <f t="shared" si="22"/>
        <v>-112048.98684000001</v>
      </c>
      <c r="M53" s="377">
        <f t="shared" si="22"/>
        <v>-114489.99456000001</v>
      </c>
      <c r="N53" s="377">
        <f t="shared" si="22"/>
        <v>-118670.571</v>
      </c>
      <c r="O53" s="377">
        <f t="shared" si="22"/>
        <v>-123019.49279999999</v>
      </c>
      <c r="P53" s="377">
        <f t="shared" si="22"/>
        <v>-130875.60960000004</v>
      </c>
      <c r="Q53" s="377">
        <f t="shared" si="22"/>
        <v>-134382.8046</v>
      </c>
      <c r="R53" s="377">
        <f t="shared" si="22"/>
        <v>-147151.18960000004</v>
      </c>
      <c r="S53" s="377">
        <f t="shared" si="22"/>
        <v>-149268.38960000005</v>
      </c>
      <c r="T53" s="377">
        <f t="shared" si="22"/>
        <v>-151512.9944</v>
      </c>
      <c r="U53" s="377">
        <f t="shared" si="22"/>
        <v>-153757.59920000003</v>
      </c>
      <c r="V53" s="9"/>
    </row>
    <row r="54" spans="1:22" x14ac:dyDescent="0.3">
      <c r="B54" s="159" t="s">
        <v>176</v>
      </c>
      <c r="C54" s="159"/>
      <c r="D54" s="159"/>
      <c r="E54" s="159"/>
      <c r="F54" s="159"/>
      <c r="G54" s="363">
        <f>SUM(G51:G53)</f>
        <v>356910.12639999983</v>
      </c>
      <c r="H54" s="363">
        <f>SUM(H51:H53)</f>
        <v>352434.14559999999</v>
      </c>
      <c r="I54" s="363">
        <f t="shared" ref="I54:R54" si="23">SUM(I51:I53)</f>
        <v>366930.98540800007</v>
      </c>
      <c r="J54" s="363">
        <f t="shared" si="23"/>
        <v>380485.09119999985</v>
      </c>
      <c r="K54" s="363">
        <f t="shared" si="23"/>
        <v>406182.50896000006</v>
      </c>
      <c r="L54" s="363">
        <f t="shared" si="23"/>
        <v>427502.94735999999</v>
      </c>
      <c r="M54" s="363">
        <f t="shared" si="23"/>
        <v>440630.57823999994</v>
      </c>
      <c r="N54" s="363">
        <f t="shared" si="23"/>
        <v>460716.48399999994</v>
      </c>
      <c r="O54" s="363">
        <f t="shared" si="23"/>
        <v>481475.77119999996</v>
      </c>
      <c r="P54" s="363">
        <f t="shared" si="23"/>
        <v>516263.83840000018</v>
      </c>
      <c r="Q54" s="363">
        <f t="shared" si="23"/>
        <v>533656.21840000001</v>
      </c>
      <c r="R54" s="363">
        <f t="shared" si="23"/>
        <v>576859.35840000014</v>
      </c>
      <c r="S54" s="363">
        <f t="shared" ref="S54:U54" si="24">SUM(S51:S53)</f>
        <v>578105.75840000017</v>
      </c>
      <c r="T54" s="363">
        <f t="shared" si="24"/>
        <v>590447.77760000003</v>
      </c>
      <c r="U54" s="363">
        <f t="shared" si="24"/>
        <v>602789.79680000001</v>
      </c>
      <c r="V54" s="9"/>
    </row>
    <row r="55" spans="1:22" x14ac:dyDescent="0.3">
      <c r="B55" s="13"/>
      <c r="C55" s="13"/>
      <c r="D55" s="13"/>
      <c r="E55" s="13"/>
      <c r="F55" s="13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9"/>
    </row>
    <row r="56" spans="1:22" x14ac:dyDescent="0.3">
      <c r="A56" s="156"/>
      <c r="B56" s="183" t="s">
        <v>179</v>
      </c>
      <c r="C56" s="156"/>
      <c r="D56" s="156"/>
      <c r="E56" s="156"/>
      <c r="F56" s="156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8"/>
      <c r="T56" s="218"/>
      <c r="U56" s="218"/>
      <c r="V56" s="218"/>
    </row>
    <row r="57" spans="1:22" x14ac:dyDescent="0.3">
      <c r="B57" s="358" t="s">
        <v>180</v>
      </c>
      <c r="C57" s="358"/>
      <c r="D57" s="358"/>
      <c r="E57" s="358"/>
      <c r="F57" s="358"/>
      <c r="G57" s="356">
        <f>SUM(G24+G29)</f>
        <v>827603.12639999983</v>
      </c>
      <c r="H57" s="356">
        <f t="shared" ref="H57:R57" si="25">SUM(H24+H29)</f>
        <v>369763.54560000001</v>
      </c>
      <c r="I57" s="356">
        <f t="shared" si="25"/>
        <v>380896.78540800011</v>
      </c>
      <c r="J57" s="356">
        <f t="shared" si="25"/>
        <v>391087.29119999986</v>
      </c>
      <c r="K57" s="356">
        <f t="shared" si="25"/>
        <v>413421.10896000004</v>
      </c>
      <c r="L57" s="356">
        <f t="shared" si="25"/>
        <v>431377.94735999999</v>
      </c>
      <c r="M57" s="356">
        <f t="shared" si="25"/>
        <v>441141.97823999997</v>
      </c>
      <c r="N57" s="356">
        <f t="shared" si="25"/>
        <v>457864.28399999999</v>
      </c>
      <c r="O57" s="356">
        <f t="shared" si="25"/>
        <v>475259.97119999991</v>
      </c>
      <c r="P57" s="356">
        <f t="shared" si="25"/>
        <v>506684.43840000016</v>
      </c>
      <c r="Q57" s="356">
        <f t="shared" si="25"/>
        <v>520713.21840000001</v>
      </c>
      <c r="R57" s="356">
        <f t="shared" si="25"/>
        <v>571786.75840000017</v>
      </c>
      <c r="S57" s="356">
        <f t="shared" ref="S57:U57" si="26">SUM(S24+S29)</f>
        <v>562799.55840000021</v>
      </c>
      <c r="T57" s="356">
        <f t="shared" si="26"/>
        <v>571777.97759999998</v>
      </c>
      <c r="U57" s="356">
        <f t="shared" si="26"/>
        <v>580756.39679999999</v>
      </c>
      <c r="V57" s="9"/>
    </row>
    <row r="58" spans="1:22" x14ac:dyDescent="0.3">
      <c r="B58" s="358" t="s">
        <v>181</v>
      </c>
      <c r="C58" s="358"/>
      <c r="D58" s="358"/>
      <c r="E58" s="358"/>
      <c r="F58" s="358"/>
      <c r="G58" s="356">
        <f>G54</f>
        <v>356910.12639999983</v>
      </c>
      <c r="H58" s="356">
        <f t="shared" ref="H58:R58" si="27">H54</f>
        <v>352434.14559999999</v>
      </c>
      <c r="I58" s="356">
        <f t="shared" si="27"/>
        <v>366930.98540800007</v>
      </c>
      <c r="J58" s="356">
        <f t="shared" si="27"/>
        <v>380485.09119999985</v>
      </c>
      <c r="K58" s="356">
        <f t="shared" si="27"/>
        <v>406182.50896000006</v>
      </c>
      <c r="L58" s="356">
        <f t="shared" si="27"/>
        <v>427502.94735999999</v>
      </c>
      <c r="M58" s="356">
        <f t="shared" si="27"/>
        <v>440630.57823999994</v>
      </c>
      <c r="N58" s="356">
        <f t="shared" si="27"/>
        <v>460716.48399999994</v>
      </c>
      <c r="O58" s="356">
        <f t="shared" si="27"/>
        <v>481475.77119999996</v>
      </c>
      <c r="P58" s="356">
        <f t="shared" si="27"/>
        <v>516263.83840000018</v>
      </c>
      <c r="Q58" s="356">
        <f t="shared" si="27"/>
        <v>533656.21840000001</v>
      </c>
      <c r="R58" s="356">
        <f t="shared" si="27"/>
        <v>576859.35840000014</v>
      </c>
      <c r="S58" s="356">
        <f t="shared" ref="S58:U58" si="28">S54</f>
        <v>578105.75840000017</v>
      </c>
      <c r="T58" s="356">
        <f t="shared" si="28"/>
        <v>590447.77760000003</v>
      </c>
      <c r="U58" s="356">
        <f t="shared" si="28"/>
        <v>602789.79680000001</v>
      </c>
      <c r="V58" s="9"/>
    </row>
    <row r="59" spans="1:22" x14ac:dyDescent="0.3">
      <c r="B59" s="358" t="s">
        <v>182</v>
      </c>
      <c r="C59" s="358"/>
      <c r="D59" s="358"/>
      <c r="E59" s="358"/>
      <c r="F59" s="358"/>
      <c r="G59" s="356">
        <f>G54</f>
        <v>356910.12639999983</v>
      </c>
      <c r="H59" s="356">
        <f t="shared" ref="H59:R59" si="29">H54</f>
        <v>352434.14559999999</v>
      </c>
      <c r="I59" s="356">
        <f t="shared" si="29"/>
        <v>366930.98540800007</v>
      </c>
      <c r="J59" s="356">
        <f t="shared" si="29"/>
        <v>380485.09119999985</v>
      </c>
      <c r="K59" s="356">
        <f t="shared" si="29"/>
        <v>406182.50896000006</v>
      </c>
      <c r="L59" s="356">
        <f t="shared" si="29"/>
        <v>427502.94735999999</v>
      </c>
      <c r="M59" s="356">
        <f t="shared" si="29"/>
        <v>440630.57823999994</v>
      </c>
      <c r="N59" s="356">
        <f t="shared" si="29"/>
        <v>460716.48399999994</v>
      </c>
      <c r="O59" s="356">
        <f t="shared" si="29"/>
        <v>481475.77119999996</v>
      </c>
      <c r="P59" s="356">
        <f t="shared" si="29"/>
        <v>516263.83840000018</v>
      </c>
      <c r="Q59" s="356">
        <f t="shared" si="29"/>
        <v>533656.21840000001</v>
      </c>
      <c r="R59" s="356">
        <f t="shared" si="29"/>
        <v>576859.35840000014</v>
      </c>
      <c r="S59" s="356">
        <f t="shared" ref="S59:U59" si="30">S54</f>
        <v>578105.75840000017</v>
      </c>
      <c r="T59" s="356">
        <f t="shared" si="30"/>
        <v>590447.77760000003</v>
      </c>
      <c r="U59" s="356">
        <f t="shared" si="30"/>
        <v>602789.79680000001</v>
      </c>
      <c r="V59" s="9"/>
    </row>
    <row r="60" spans="1:22" x14ac:dyDescent="0.3">
      <c r="B60" s="358" t="s">
        <v>174</v>
      </c>
      <c r="C60" s="358"/>
      <c r="D60" s="358"/>
      <c r="E60" s="358"/>
      <c r="F60" s="358"/>
      <c r="G60" s="357"/>
      <c r="H60" s="357"/>
      <c r="I60" s="357"/>
      <c r="J60" s="357"/>
      <c r="K60" s="357"/>
      <c r="L60" s="357"/>
      <c r="M60" s="357"/>
      <c r="N60" s="357"/>
      <c r="O60" s="357"/>
      <c r="P60" s="357"/>
      <c r="Q60" s="357"/>
      <c r="R60" s="357"/>
      <c r="S60" s="357"/>
      <c r="T60" s="357"/>
      <c r="U60" s="357"/>
      <c r="V60" s="9"/>
    </row>
    <row r="61" spans="1:22" x14ac:dyDescent="0.3">
      <c r="B61" s="358" t="s">
        <v>176</v>
      </c>
      <c r="C61" s="358"/>
      <c r="D61" s="358"/>
      <c r="E61" s="358"/>
      <c r="F61" s="358"/>
      <c r="G61" s="356">
        <f>G54</f>
        <v>356910.12639999983</v>
      </c>
      <c r="H61" s="356">
        <f t="shared" ref="H61:R61" si="31">H54</f>
        <v>352434.14559999999</v>
      </c>
      <c r="I61" s="356">
        <f t="shared" si="31"/>
        <v>366930.98540800007</v>
      </c>
      <c r="J61" s="356">
        <f t="shared" si="31"/>
        <v>380485.09119999985</v>
      </c>
      <c r="K61" s="356">
        <f t="shared" si="31"/>
        <v>406182.50896000006</v>
      </c>
      <c r="L61" s="356">
        <f t="shared" si="31"/>
        <v>427502.94735999999</v>
      </c>
      <c r="M61" s="356">
        <f t="shared" si="31"/>
        <v>440630.57823999994</v>
      </c>
      <c r="N61" s="356">
        <f t="shared" si="31"/>
        <v>460716.48399999994</v>
      </c>
      <c r="O61" s="356">
        <f t="shared" si="31"/>
        <v>481475.77119999996</v>
      </c>
      <c r="P61" s="356">
        <f t="shared" si="31"/>
        <v>516263.83840000018</v>
      </c>
      <c r="Q61" s="356">
        <f t="shared" si="31"/>
        <v>533656.21840000001</v>
      </c>
      <c r="R61" s="356">
        <f t="shared" si="31"/>
        <v>576859.35840000014</v>
      </c>
      <c r="S61" s="356">
        <f t="shared" ref="S61:U61" si="32">S54</f>
        <v>578105.75840000017</v>
      </c>
      <c r="T61" s="356">
        <f t="shared" si="32"/>
        <v>590447.77760000003</v>
      </c>
      <c r="U61" s="356">
        <f t="shared" si="32"/>
        <v>602789.79680000001</v>
      </c>
      <c r="V61" s="9"/>
    </row>
  </sheetData>
  <phoneticPr fontId="7" type="noConversion"/>
  <pageMargins left="0.7" right="0.7" top="0.75" bottom="0.75" header="0.3" footer="0.3"/>
  <ignoredErrors>
    <ignoredError sqref="G11:M11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A808-8A50-40B6-9620-FEAE4C53CF38}">
  <sheetPr codeName="Sheet39"/>
  <dimension ref="C2:Q41"/>
  <sheetViews>
    <sheetView showGridLines="0" workbookViewId="0">
      <selection activeCell="K50" sqref="K50"/>
    </sheetView>
  </sheetViews>
  <sheetFormatPr defaultRowHeight="14.4" x14ac:dyDescent="0.3"/>
  <cols>
    <col min="1" max="1" width="5.44140625" customWidth="1"/>
    <col min="2" max="2" width="5.5546875" customWidth="1"/>
    <col min="8" max="8" width="6.77734375" customWidth="1"/>
    <col min="9" max="9" width="12.44140625" customWidth="1"/>
    <col min="10" max="10" width="10.77734375" customWidth="1"/>
    <col min="11" max="11" width="14.44140625" customWidth="1"/>
    <col min="12" max="12" width="14.33203125" customWidth="1"/>
    <col min="13" max="13" width="14.5546875" customWidth="1"/>
    <col min="14" max="14" width="12.88671875" customWidth="1"/>
    <col min="15" max="15" width="15.109375" customWidth="1"/>
    <col min="16" max="16" width="13.109375" customWidth="1"/>
    <col min="17" max="17" width="13.33203125" customWidth="1"/>
  </cols>
  <sheetData>
    <row r="2" spans="3:17" x14ac:dyDescent="0.3">
      <c r="C2" s="414" t="s">
        <v>235</v>
      </c>
      <c r="D2" s="415"/>
      <c r="E2" s="415"/>
      <c r="F2" s="415"/>
      <c r="G2" s="415"/>
      <c r="H2" s="415"/>
      <c r="I2" s="416"/>
    </row>
    <row r="6" spans="3:17" x14ac:dyDescent="0.3">
      <c r="H6" s="387" t="s">
        <v>238</v>
      </c>
      <c r="I6" s="387"/>
      <c r="J6" s="387"/>
      <c r="K6" s="387"/>
      <c r="L6" s="387"/>
      <c r="M6" s="387"/>
      <c r="N6" s="387"/>
      <c r="O6" s="387"/>
      <c r="P6" s="387"/>
      <c r="Q6" s="387"/>
    </row>
    <row r="7" spans="3:17" x14ac:dyDescent="0.3">
      <c r="H7" s="435">
        <v>2023</v>
      </c>
      <c r="I7" s="435"/>
      <c r="J7" s="435">
        <v>2024</v>
      </c>
      <c r="K7" s="435"/>
      <c r="L7" s="435">
        <v>2025</v>
      </c>
      <c r="M7" s="435"/>
      <c r="N7" s="435">
        <v>2026</v>
      </c>
      <c r="O7" s="435"/>
      <c r="P7" s="435">
        <v>2027</v>
      </c>
      <c r="Q7" s="435"/>
    </row>
    <row r="8" spans="3:17" x14ac:dyDescent="0.3">
      <c r="C8" s="427" t="s">
        <v>290</v>
      </c>
      <c r="D8" s="428"/>
      <c r="E8" s="428"/>
      <c r="F8" s="254"/>
      <c r="H8" s="434"/>
      <c r="I8" s="434"/>
      <c r="J8" s="434">
        <f>(J22-H22)/J22</f>
        <v>0.1111111111111111</v>
      </c>
      <c r="K8" s="434"/>
      <c r="L8" s="434">
        <f t="shared" ref="L8" si="0">(L22-J22)/L22</f>
        <v>4.2553191489361701E-2</v>
      </c>
      <c r="M8" s="434"/>
      <c r="N8" s="434">
        <f t="shared" ref="N8" si="1">(N22-L22)/N22</f>
        <v>2.0833333333333332E-2</v>
      </c>
      <c r="O8" s="434"/>
      <c r="P8" s="434">
        <f t="shared" ref="P8" si="2">(P22-N22)/P22</f>
        <v>0.04</v>
      </c>
      <c r="Q8" s="434"/>
    </row>
    <row r="9" spans="3:17" x14ac:dyDescent="0.3">
      <c r="C9" s="421" t="s">
        <v>291</v>
      </c>
      <c r="D9" s="422"/>
      <c r="E9" s="422"/>
      <c r="F9" s="255"/>
      <c r="H9" s="434"/>
      <c r="I9" s="434"/>
      <c r="J9" s="434">
        <f>(J23-H23)/J23</f>
        <v>0.1111111111111111</v>
      </c>
      <c r="K9" s="434"/>
      <c r="L9" s="434">
        <f>(L23-J23)/L23</f>
        <v>4.2553191489361701E-2</v>
      </c>
      <c r="M9" s="434"/>
      <c r="N9" s="434">
        <f>(N23-L23)/N23</f>
        <v>2.0833333333333332E-2</v>
      </c>
      <c r="O9" s="434"/>
      <c r="P9" s="434">
        <f>(P23-N23)/P23</f>
        <v>7.6923076923076927E-2</v>
      </c>
      <c r="Q9" s="434"/>
    </row>
    <row r="10" spans="3:17" x14ac:dyDescent="0.3">
      <c r="C10" s="421" t="s">
        <v>292</v>
      </c>
      <c r="D10" s="422"/>
      <c r="E10" s="422"/>
      <c r="F10" s="255"/>
      <c r="H10" s="434"/>
      <c r="I10" s="434"/>
      <c r="J10" s="434">
        <f>(J24-H24)/J24</f>
        <v>3.8095238095238099E-2</v>
      </c>
      <c r="K10" s="434"/>
      <c r="L10" s="434">
        <f>(L24-J24)/L24</f>
        <v>0.11016949152542373</v>
      </c>
      <c r="M10" s="434"/>
      <c r="N10" s="434">
        <f>(N24-L24)/N24</f>
        <v>2.0746887966804978E-2</v>
      </c>
      <c r="O10" s="434"/>
      <c r="P10" s="434">
        <f>(P24-N24)/P24</f>
        <v>7.662835249042145E-2</v>
      </c>
      <c r="Q10" s="434"/>
    </row>
    <row r="11" spans="3:17" x14ac:dyDescent="0.3">
      <c r="C11" s="421" t="s">
        <v>294</v>
      </c>
      <c r="D11" s="422"/>
      <c r="E11" s="422"/>
      <c r="F11" s="255"/>
      <c r="H11" s="434"/>
      <c r="I11" s="434"/>
      <c r="J11" s="434">
        <f>(J25-H25)/J25</f>
        <v>3.3333333333333333E-2</v>
      </c>
      <c r="K11" s="434"/>
      <c r="L11" s="434">
        <f>(L25-J25)/L25</f>
        <v>0.11392405063291139</v>
      </c>
      <c r="M11" s="434"/>
      <c r="N11" s="434">
        <f>(N25-L25)/N25</f>
        <v>2.0661157024793389E-2</v>
      </c>
      <c r="O11" s="434"/>
      <c r="P11" s="434">
        <f>(P25-N25)/P25</f>
        <v>7.6335877862595422E-2</v>
      </c>
      <c r="Q11" s="434"/>
    </row>
    <row r="12" spans="3:17" x14ac:dyDescent="0.3">
      <c r="C12" s="424" t="s">
        <v>293</v>
      </c>
      <c r="D12" s="425"/>
      <c r="E12" s="425"/>
      <c r="F12" s="256"/>
      <c r="H12" s="434"/>
      <c r="I12" s="434"/>
      <c r="J12" s="434">
        <f>(J26-H26)/J26</f>
        <v>2.8571428571428571E-2</v>
      </c>
      <c r="K12" s="434"/>
      <c r="L12" s="434">
        <f>(L26-J26)/L26</f>
        <v>0.11764705882352941</v>
      </c>
      <c r="M12" s="434"/>
      <c r="N12" s="434">
        <f>(N26-L26)/N26</f>
        <v>2.0576131687242798E-2</v>
      </c>
      <c r="O12" s="434"/>
      <c r="P12" s="434">
        <f>(P26-N26)/P26</f>
        <v>7.6045627376425853E-2</v>
      </c>
      <c r="Q12" s="434"/>
    </row>
    <row r="14" spans="3:17" x14ac:dyDescent="0.3">
      <c r="H14" s="433" t="s">
        <v>232</v>
      </c>
      <c r="I14" s="433"/>
      <c r="J14" s="433"/>
      <c r="K14" s="433"/>
      <c r="L14" s="433"/>
      <c r="M14" s="433"/>
      <c r="N14" s="433"/>
      <c r="O14" s="433"/>
      <c r="P14" s="433"/>
      <c r="Q14" s="433"/>
    </row>
    <row r="15" spans="3:17" x14ac:dyDescent="0.3">
      <c r="C15" s="427" t="s">
        <v>290</v>
      </c>
      <c r="D15" s="428"/>
      <c r="E15" s="428"/>
      <c r="F15" s="254"/>
      <c r="H15" s="432">
        <v>5</v>
      </c>
      <c r="I15" s="432"/>
      <c r="J15" s="432">
        <v>9</v>
      </c>
      <c r="K15" s="432"/>
      <c r="L15" s="432">
        <v>10</v>
      </c>
      <c r="M15" s="432"/>
      <c r="N15" s="432">
        <v>12</v>
      </c>
      <c r="O15" s="432"/>
      <c r="P15" s="432">
        <v>15</v>
      </c>
      <c r="Q15" s="432"/>
    </row>
    <row r="16" spans="3:17" x14ac:dyDescent="0.3">
      <c r="C16" s="421" t="s">
        <v>291</v>
      </c>
      <c r="D16" s="422"/>
      <c r="E16" s="422"/>
      <c r="F16" s="255"/>
      <c r="H16" s="432">
        <v>6</v>
      </c>
      <c r="I16" s="432"/>
      <c r="J16" s="432">
        <v>9</v>
      </c>
      <c r="K16" s="432"/>
      <c r="L16" s="432">
        <v>12</v>
      </c>
      <c r="M16" s="432"/>
      <c r="N16" s="432">
        <v>12</v>
      </c>
      <c r="O16" s="432"/>
      <c r="P16" s="432">
        <v>16</v>
      </c>
      <c r="Q16" s="432"/>
    </row>
    <row r="17" spans="3:17" x14ac:dyDescent="0.3">
      <c r="C17" s="421" t="s">
        <v>292</v>
      </c>
      <c r="D17" s="422"/>
      <c r="E17" s="422"/>
      <c r="F17" s="255"/>
      <c r="H17" s="432">
        <v>5</v>
      </c>
      <c r="I17" s="432"/>
      <c r="J17" s="432">
        <v>9</v>
      </c>
      <c r="K17" s="432"/>
      <c r="L17" s="432">
        <v>12</v>
      </c>
      <c r="M17" s="432"/>
      <c r="N17" s="432">
        <v>12</v>
      </c>
      <c r="O17" s="432"/>
      <c r="P17" s="432">
        <v>17</v>
      </c>
      <c r="Q17" s="432"/>
    </row>
    <row r="18" spans="3:17" x14ac:dyDescent="0.3">
      <c r="C18" s="421" t="s">
        <v>294</v>
      </c>
      <c r="D18" s="422"/>
      <c r="E18" s="422"/>
      <c r="F18" s="255"/>
      <c r="H18" s="432">
        <v>5</v>
      </c>
      <c r="I18" s="432"/>
      <c r="J18" s="432">
        <v>9</v>
      </c>
      <c r="K18" s="432"/>
      <c r="L18" s="432">
        <v>12</v>
      </c>
      <c r="M18" s="432"/>
      <c r="N18" s="432">
        <v>15</v>
      </c>
      <c r="O18" s="432"/>
      <c r="P18" s="432">
        <v>15</v>
      </c>
      <c r="Q18" s="432"/>
    </row>
    <row r="19" spans="3:17" x14ac:dyDescent="0.3">
      <c r="C19" s="424" t="s">
        <v>293</v>
      </c>
      <c r="D19" s="425"/>
      <c r="E19" s="425"/>
      <c r="F19" s="256"/>
      <c r="H19" s="432">
        <v>7</v>
      </c>
      <c r="I19" s="432"/>
      <c r="J19" s="432">
        <v>9</v>
      </c>
      <c r="K19" s="432"/>
      <c r="L19" s="432">
        <v>12</v>
      </c>
      <c r="M19" s="432"/>
      <c r="N19" s="432">
        <v>15</v>
      </c>
      <c r="O19" s="432"/>
      <c r="P19" s="432">
        <v>15</v>
      </c>
      <c r="Q19" s="432"/>
    </row>
    <row r="21" spans="3:17" x14ac:dyDescent="0.3">
      <c r="H21" s="433" t="s">
        <v>233</v>
      </c>
      <c r="I21" s="433"/>
      <c r="J21" s="433"/>
      <c r="K21" s="433"/>
      <c r="L21" s="433"/>
      <c r="M21" s="433"/>
      <c r="N21" s="433"/>
      <c r="O21" s="433"/>
      <c r="P21" s="433"/>
      <c r="Q21" s="433"/>
    </row>
    <row r="22" spans="3:17" x14ac:dyDescent="0.3">
      <c r="C22" s="427" t="s">
        <v>290</v>
      </c>
      <c r="D22" s="428"/>
      <c r="E22" s="428"/>
      <c r="F22" s="254"/>
      <c r="H22" s="432">
        <v>200</v>
      </c>
      <c r="I22" s="432"/>
      <c r="J22" s="432">
        <v>225</v>
      </c>
      <c r="K22" s="432"/>
      <c r="L22" s="432">
        <v>235</v>
      </c>
      <c r="M22" s="432"/>
      <c r="N22" s="432">
        <v>240</v>
      </c>
      <c r="O22" s="432"/>
      <c r="P22" s="432">
        <v>250</v>
      </c>
      <c r="Q22" s="432"/>
    </row>
    <row r="23" spans="3:17" x14ac:dyDescent="0.3">
      <c r="C23" s="421" t="s">
        <v>291</v>
      </c>
      <c r="D23" s="422"/>
      <c r="E23" s="422"/>
      <c r="F23" s="255"/>
      <c r="H23" s="432">
        <v>200</v>
      </c>
      <c r="I23" s="432"/>
      <c r="J23" s="432">
        <v>225</v>
      </c>
      <c r="K23" s="432"/>
      <c r="L23" s="432">
        <v>235</v>
      </c>
      <c r="M23" s="432"/>
      <c r="N23" s="432">
        <v>240</v>
      </c>
      <c r="O23" s="432"/>
      <c r="P23" s="432">
        <v>260</v>
      </c>
      <c r="Q23" s="432"/>
    </row>
    <row r="24" spans="3:17" x14ac:dyDescent="0.3">
      <c r="C24" s="421" t="s">
        <v>292</v>
      </c>
      <c r="D24" s="422"/>
      <c r="E24" s="422"/>
      <c r="F24" s="255"/>
      <c r="H24" s="432">
        <v>202</v>
      </c>
      <c r="I24" s="432"/>
      <c r="J24" s="432">
        <v>210</v>
      </c>
      <c r="K24" s="432"/>
      <c r="L24" s="432">
        <v>236</v>
      </c>
      <c r="M24" s="432"/>
      <c r="N24" s="432">
        <v>241</v>
      </c>
      <c r="O24" s="432"/>
      <c r="P24" s="432">
        <v>261</v>
      </c>
      <c r="Q24" s="432"/>
    </row>
    <row r="25" spans="3:17" x14ac:dyDescent="0.3">
      <c r="C25" s="421" t="s">
        <v>294</v>
      </c>
      <c r="D25" s="422"/>
      <c r="E25" s="422"/>
      <c r="F25" s="255"/>
      <c r="H25" s="432">
        <v>203</v>
      </c>
      <c r="I25" s="432"/>
      <c r="J25" s="432">
        <v>210</v>
      </c>
      <c r="K25" s="432"/>
      <c r="L25" s="432">
        <v>237</v>
      </c>
      <c r="M25" s="432"/>
      <c r="N25" s="432">
        <v>242</v>
      </c>
      <c r="O25" s="432"/>
      <c r="P25" s="432">
        <v>262</v>
      </c>
      <c r="Q25" s="432"/>
    </row>
    <row r="26" spans="3:17" x14ac:dyDescent="0.3">
      <c r="C26" s="424" t="s">
        <v>293</v>
      </c>
      <c r="D26" s="425"/>
      <c r="E26" s="425"/>
      <c r="F26" s="256"/>
      <c r="H26" s="432">
        <v>204</v>
      </c>
      <c r="I26" s="432"/>
      <c r="J26" s="432">
        <v>210</v>
      </c>
      <c r="K26" s="432"/>
      <c r="L26" s="432">
        <v>238</v>
      </c>
      <c r="M26" s="432"/>
      <c r="N26" s="432">
        <v>243</v>
      </c>
      <c r="O26" s="432"/>
      <c r="P26" s="432">
        <v>263</v>
      </c>
      <c r="Q26" s="432"/>
    </row>
    <row r="28" spans="3:17" x14ac:dyDescent="0.3">
      <c r="H28" s="433" t="s">
        <v>234</v>
      </c>
      <c r="I28" s="433"/>
      <c r="J28" s="433"/>
      <c r="K28" s="433"/>
      <c r="L28" s="433"/>
      <c r="M28" s="433"/>
      <c r="N28" s="433"/>
      <c r="O28" s="433"/>
      <c r="P28" s="433"/>
      <c r="Q28" s="433"/>
    </row>
    <row r="29" spans="3:17" x14ac:dyDescent="0.3">
      <c r="C29" s="427" t="s">
        <v>290</v>
      </c>
      <c r="D29" s="428"/>
      <c r="E29" s="428"/>
      <c r="F29" s="254"/>
      <c r="H29" s="432">
        <v>345</v>
      </c>
      <c r="I29" s="432"/>
      <c r="J29" s="432">
        <v>355</v>
      </c>
      <c r="K29" s="432"/>
      <c r="L29" s="432">
        <v>360</v>
      </c>
      <c r="M29" s="432"/>
      <c r="N29" s="432">
        <v>370</v>
      </c>
      <c r="O29" s="432"/>
      <c r="P29" s="432">
        <v>400</v>
      </c>
      <c r="Q29" s="432"/>
    </row>
    <row r="30" spans="3:17" x14ac:dyDescent="0.3">
      <c r="C30" s="421" t="s">
        <v>291</v>
      </c>
      <c r="D30" s="422"/>
      <c r="E30" s="422"/>
      <c r="F30" s="255"/>
      <c r="H30" s="432">
        <v>300</v>
      </c>
      <c r="I30" s="432"/>
      <c r="J30" s="432">
        <v>300</v>
      </c>
      <c r="K30" s="432"/>
      <c r="L30" s="432">
        <v>310</v>
      </c>
      <c r="M30" s="432"/>
      <c r="N30" s="432">
        <v>340</v>
      </c>
      <c r="O30" s="432"/>
      <c r="P30" s="432">
        <v>400</v>
      </c>
      <c r="Q30" s="432"/>
    </row>
    <row r="31" spans="3:17" x14ac:dyDescent="0.3">
      <c r="C31" s="421" t="s">
        <v>292</v>
      </c>
      <c r="D31" s="422"/>
      <c r="E31" s="422"/>
      <c r="F31" s="255"/>
      <c r="H31" s="432">
        <v>280</v>
      </c>
      <c r="I31" s="432"/>
      <c r="J31" s="432">
        <v>281</v>
      </c>
      <c r="K31" s="432"/>
      <c r="L31" s="432">
        <v>282</v>
      </c>
      <c r="M31" s="432"/>
      <c r="N31" s="432">
        <v>290</v>
      </c>
      <c r="O31" s="432"/>
      <c r="P31" s="432">
        <v>320</v>
      </c>
      <c r="Q31" s="432"/>
    </row>
    <row r="32" spans="3:17" x14ac:dyDescent="0.3">
      <c r="C32" s="421" t="s">
        <v>294</v>
      </c>
      <c r="D32" s="422"/>
      <c r="E32" s="422"/>
      <c r="F32" s="255"/>
      <c r="H32" s="432">
        <v>350</v>
      </c>
      <c r="I32" s="432"/>
      <c r="J32" s="432">
        <v>350</v>
      </c>
      <c r="K32" s="432"/>
      <c r="L32" s="432">
        <v>360</v>
      </c>
      <c r="M32" s="432"/>
      <c r="N32" s="432">
        <v>370</v>
      </c>
      <c r="O32" s="432"/>
      <c r="P32" s="432">
        <v>400</v>
      </c>
      <c r="Q32" s="432"/>
    </row>
    <row r="33" spans="3:17" x14ac:dyDescent="0.3">
      <c r="C33" s="424" t="s">
        <v>293</v>
      </c>
      <c r="D33" s="425"/>
      <c r="E33" s="425"/>
      <c r="F33" s="256"/>
      <c r="H33" s="432">
        <v>345</v>
      </c>
      <c r="I33" s="432"/>
      <c r="J33" s="432">
        <v>355</v>
      </c>
      <c r="K33" s="432"/>
      <c r="L33" s="432">
        <v>360</v>
      </c>
      <c r="M33" s="432"/>
      <c r="N33" s="432">
        <v>370</v>
      </c>
      <c r="O33" s="432"/>
      <c r="P33" s="432">
        <v>400</v>
      </c>
      <c r="Q33" s="432"/>
    </row>
    <row r="34" spans="3:17" x14ac:dyDescent="0.3">
      <c r="H34" s="387" t="s">
        <v>80</v>
      </c>
      <c r="I34" s="387"/>
      <c r="J34" s="387"/>
      <c r="K34" s="387"/>
      <c r="L34" s="387"/>
      <c r="M34" s="387"/>
      <c r="N34" s="387"/>
      <c r="O34" s="387"/>
      <c r="P34" s="387"/>
      <c r="Q34" s="387"/>
    </row>
    <row r="35" spans="3:17" x14ac:dyDescent="0.3">
      <c r="H35" s="431">
        <v>2023</v>
      </c>
      <c r="I35" s="431"/>
      <c r="J35" s="431">
        <v>2024</v>
      </c>
      <c r="K35" s="431"/>
      <c r="L35" s="431">
        <v>2025</v>
      </c>
      <c r="M35" s="431"/>
      <c r="N35" s="431">
        <v>2026</v>
      </c>
      <c r="O35" s="431"/>
      <c r="P35" s="431">
        <v>2027</v>
      </c>
      <c r="Q35" s="431"/>
    </row>
    <row r="36" spans="3:17" x14ac:dyDescent="0.3">
      <c r="C36" s="427" t="s">
        <v>290</v>
      </c>
      <c r="D36" s="428"/>
      <c r="E36" s="428"/>
      <c r="F36" s="254"/>
      <c r="H36" s="430">
        <f>(H15*H22*H29)</f>
        <v>345000</v>
      </c>
      <c r="I36" s="430"/>
      <c r="J36" s="430">
        <f>(J15*J22*J29)</f>
        <v>718875</v>
      </c>
      <c r="K36" s="430"/>
      <c r="L36" s="430">
        <f>(L15*L22*L29)</f>
        <v>846000</v>
      </c>
      <c r="M36" s="430"/>
      <c r="N36" s="430">
        <f>(N15*N22*N29)</f>
        <v>1065600</v>
      </c>
      <c r="O36" s="430"/>
      <c r="P36" s="430">
        <f>(P15*P22*P29)</f>
        <v>1500000</v>
      </c>
      <c r="Q36" s="430"/>
    </row>
    <row r="37" spans="3:17" x14ac:dyDescent="0.3">
      <c r="C37" s="421" t="s">
        <v>291</v>
      </c>
      <c r="D37" s="422"/>
      <c r="E37" s="422"/>
      <c r="F37" s="255"/>
      <c r="H37" s="430">
        <f>(H16*H23*H30)</f>
        <v>360000</v>
      </c>
      <c r="I37" s="430"/>
      <c r="J37" s="430">
        <f>(J16*J23*J30)</f>
        <v>607500</v>
      </c>
      <c r="K37" s="430"/>
      <c r="L37" s="430">
        <f>(L16*L23*L30)</f>
        <v>874200</v>
      </c>
      <c r="M37" s="430"/>
      <c r="N37" s="430">
        <f>(N16*N23*N30)</f>
        <v>979200</v>
      </c>
      <c r="O37" s="430"/>
      <c r="P37" s="430">
        <f>(P16*P23*P30)</f>
        <v>1664000</v>
      </c>
      <c r="Q37" s="430"/>
    </row>
    <row r="38" spans="3:17" x14ac:dyDescent="0.3">
      <c r="C38" s="421" t="s">
        <v>292</v>
      </c>
      <c r="D38" s="422"/>
      <c r="E38" s="422"/>
      <c r="F38" s="255"/>
      <c r="H38" s="430">
        <f>(H17*H24*H31)</f>
        <v>282800</v>
      </c>
      <c r="I38" s="430"/>
      <c r="J38" s="430">
        <f>(J17*J24*J31)</f>
        <v>531090</v>
      </c>
      <c r="K38" s="430"/>
      <c r="L38" s="430">
        <f>(L17*L24*L31)</f>
        <v>798624</v>
      </c>
      <c r="M38" s="430"/>
      <c r="N38" s="430">
        <f>(N17*N24*N31)</f>
        <v>838680</v>
      </c>
      <c r="O38" s="430"/>
      <c r="P38" s="430">
        <f>(P17*P24*P31)</f>
        <v>1419840</v>
      </c>
      <c r="Q38" s="430"/>
    </row>
    <row r="39" spans="3:17" x14ac:dyDescent="0.3">
      <c r="C39" s="421" t="s">
        <v>294</v>
      </c>
      <c r="D39" s="422"/>
      <c r="E39" s="422"/>
      <c r="F39" s="255"/>
      <c r="H39" s="430">
        <f>(H18*H25*H32)</f>
        <v>355250</v>
      </c>
      <c r="I39" s="430"/>
      <c r="J39" s="430">
        <f>(J18*J25*J32)</f>
        <v>661500</v>
      </c>
      <c r="K39" s="430"/>
      <c r="L39" s="430">
        <f>(L18*L25*L32)</f>
        <v>1023840</v>
      </c>
      <c r="M39" s="430"/>
      <c r="N39" s="430">
        <f>(N18*N25*N32)</f>
        <v>1343100</v>
      </c>
      <c r="O39" s="430"/>
      <c r="P39" s="430">
        <f>(P18*P25*P32)</f>
        <v>1572000</v>
      </c>
      <c r="Q39" s="430"/>
    </row>
    <row r="40" spans="3:17" x14ac:dyDescent="0.3">
      <c r="C40" s="424" t="s">
        <v>293</v>
      </c>
      <c r="D40" s="425"/>
      <c r="E40" s="425"/>
      <c r="F40" s="256"/>
      <c r="H40" s="430">
        <f>(H19*H26*H33)</f>
        <v>492660</v>
      </c>
      <c r="I40" s="430"/>
      <c r="J40" s="430">
        <f>(J19*J26*J33)</f>
        <v>670950</v>
      </c>
      <c r="K40" s="430"/>
      <c r="L40" s="430">
        <f>(L19*L26*L33)</f>
        <v>1028160</v>
      </c>
      <c r="M40" s="430"/>
      <c r="N40" s="430">
        <f>(N19*N26*N33)</f>
        <v>1348650</v>
      </c>
      <c r="O40" s="430"/>
      <c r="P40" s="430">
        <f>(P19*P26*P33)</f>
        <v>1578000</v>
      </c>
      <c r="Q40" s="430"/>
    </row>
    <row r="41" spans="3:17" x14ac:dyDescent="0.3">
      <c r="C41" s="205"/>
      <c r="D41" s="205"/>
      <c r="E41" s="205"/>
      <c r="F41" s="205"/>
    </row>
  </sheetData>
  <mergeCells count="166">
    <mergeCell ref="C2:I2"/>
    <mergeCell ref="C8:E8"/>
    <mergeCell ref="H8:I8"/>
    <mergeCell ref="J8:K8"/>
    <mergeCell ref="L8:M8"/>
    <mergeCell ref="N8:O8"/>
    <mergeCell ref="P8:Q8"/>
    <mergeCell ref="H6:Q6"/>
    <mergeCell ref="H7:I7"/>
    <mergeCell ref="J7:K7"/>
    <mergeCell ref="L7:M7"/>
    <mergeCell ref="N7:O7"/>
    <mergeCell ref="P7:Q7"/>
    <mergeCell ref="C10:E10"/>
    <mergeCell ref="H10:I10"/>
    <mergeCell ref="J10:K10"/>
    <mergeCell ref="L10:M10"/>
    <mergeCell ref="N10:O10"/>
    <mergeCell ref="P10:Q10"/>
    <mergeCell ref="C9:E9"/>
    <mergeCell ref="H9:I9"/>
    <mergeCell ref="J9:K9"/>
    <mergeCell ref="L9:M9"/>
    <mergeCell ref="N9:O9"/>
    <mergeCell ref="P9:Q9"/>
    <mergeCell ref="C12:E12"/>
    <mergeCell ref="H12:I12"/>
    <mergeCell ref="J12:K12"/>
    <mergeCell ref="L12:M12"/>
    <mergeCell ref="N12:O12"/>
    <mergeCell ref="P12:Q12"/>
    <mergeCell ref="C11:E11"/>
    <mergeCell ref="H11:I11"/>
    <mergeCell ref="J11:K11"/>
    <mergeCell ref="L11:M11"/>
    <mergeCell ref="N11:O11"/>
    <mergeCell ref="P11:Q11"/>
    <mergeCell ref="H14:Q14"/>
    <mergeCell ref="C15:E15"/>
    <mergeCell ref="H15:I15"/>
    <mergeCell ref="J15:K15"/>
    <mergeCell ref="L15:M15"/>
    <mergeCell ref="N15:O15"/>
    <mergeCell ref="P15:Q15"/>
    <mergeCell ref="C17:E17"/>
    <mergeCell ref="H17:I17"/>
    <mergeCell ref="J17:K17"/>
    <mergeCell ref="L17:M17"/>
    <mergeCell ref="N17:O17"/>
    <mergeCell ref="P17:Q17"/>
    <mergeCell ref="C16:E16"/>
    <mergeCell ref="H16:I16"/>
    <mergeCell ref="J16:K16"/>
    <mergeCell ref="L16:M16"/>
    <mergeCell ref="N16:O16"/>
    <mergeCell ref="P16:Q16"/>
    <mergeCell ref="C19:E19"/>
    <mergeCell ref="H19:I19"/>
    <mergeCell ref="J19:K19"/>
    <mergeCell ref="L19:M19"/>
    <mergeCell ref="N19:O19"/>
    <mergeCell ref="P19:Q19"/>
    <mergeCell ref="C18:E18"/>
    <mergeCell ref="H18:I18"/>
    <mergeCell ref="J18:K18"/>
    <mergeCell ref="L18:M18"/>
    <mergeCell ref="N18:O18"/>
    <mergeCell ref="P18:Q18"/>
    <mergeCell ref="H21:Q21"/>
    <mergeCell ref="C22:E22"/>
    <mergeCell ref="H22:I22"/>
    <mergeCell ref="J22:K22"/>
    <mergeCell ref="L22:M22"/>
    <mergeCell ref="N22:O22"/>
    <mergeCell ref="P22:Q22"/>
    <mergeCell ref="C24:E24"/>
    <mergeCell ref="H24:I24"/>
    <mergeCell ref="J24:K24"/>
    <mergeCell ref="L24:M24"/>
    <mergeCell ref="N24:O24"/>
    <mergeCell ref="P24:Q24"/>
    <mergeCell ref="C23:E23"/>
    <mergeCell ref="H23:I23"/>
    <mergeCell ref="J23:K23"/>
    <mergeCell ref="L23:M23"/>
    <mergeCell ref="N23:O23"/>
    <mergeCell ref="P23:Q23"/>
    <mergeCell ref="C26:E26"/>
    <mergeCell ref="H26:I26"/>
    <mergeCell ref="J26:K26"/>
    <mergeCell ref="L26:M26"/>
    <mergeCell ref="N26:O26"/>
    <mergeCell ref="P26:Q26"/>
    <mergeCell ref="C25:E25"/>
    <mergeCell ref="H25:I25"/>
    <mergeCell ref="J25:K25"/>
    <mergeCell ref="L25:M25"/>
    <mergeCell ref="N25:O25"/>
    <mergeCell ref="P25:Q25"/>
    <mergeCell ref="H28:Q28"/>
    <mergeCell ref="C29:E29"/>
    <mergeCell ref="H29:I29"/>
    <mergeCell ref="J29:K29"/>
    <mergeCell ref="L29:M29"/>
    <mergeCell ref="N29:O29"/>
    <mergeCell ref="P29:Q29"/>
    <mergeCell ref="C31:E31"/>
    <mergeCell ref="H31:I31"/>
    <mergeCell ref="J31:K31"/>
    <mergeCell ref="L31:M31"/>
    <mergeCell ref="N31:O31"/>
    <mergeCell ref="P31:Q31"/>
    <mergeCell ref="C30:E30"/>
    <mergeCell ref="H30:I30"/>
    <mergeCell ref="J30:K30"/>
    <mergeCell ref="L30:M30"/>
    <mergeCell ref="N30:O30"/>
    <mergeCell ref="P30:Q30"/>
    <mergeCell ref="C33:E33"/>
    <mergeCell ref="H33:I33"/>
    <mergeCell ref="J33:K33"/>
    <mergeCell ref="L33:M33"/>
    <mergeCell ref="N33:O33"/>
    <mergeCell ref="P33:Q33"/>
    <mergeCell ref="C32:E32"/>
    <mergeCell ref="H32:I32"/>
    <mergeCell ref="J32:K32"/>
    <mergeCell ref="L32:M32"/>
    <mergeCell ref="N32:O32"/>
    <mergeCell ref="P32:Q32"/>
    <mergeCell ref="C38:E38"/>
    <mergeCell ref="H38:I38"/>
    <mergeCell ref="J38:K38"/>
    <mergeCell ref="L38:M38"/>
    <mergeCell ref="N38:O38"/>
    <mergeCell ref="P38:Q38"/>
    <mergeCell ref="H34:Q34"/>
    <mergeCell ref="H35:I35"/>
    <mergeCell ref="J35:K35"/>
    <mergeCell ref="L35:M35"/>
    <mergeCell ref="N35:O35"/>
    <mergeCell ref="P35:Q35"/>
    <mergeCell ref="C37:E37"/>
    <mergeCell ref="H37:I37"/>
    <mergeCell ref="J37:K37"/>
    <mergeCell ref="L37:M37"/>
    <mergeCell ref="N37:O37"/>
    <mergeCell ref="P37:Q37"/>
    <mergeCell ref="C36:E36"/>
    <mergeCell ref="H36:I36"/>
    <mergeCell ref="J36:K36"/>
    <mergeCell ref="L36:M36"/>
    <mergeCell ref="N36:O36"/>
    <mergeCell ref="P36:Q36"/>
    <mergeCell ref="C40:E40"/>
    <mergeCell ref="H40:I40"/>
    <mergeCell ref="J40:K40"/>
    <mergeCell ref="L40:M40"/>
    <mergeCell ref="N40:O40"/>
    <mergeCell ref="P40:Q40"/>
    <mergeCell ref="C39:E39"/>
    <mergeCell ref="H39:I39"/>
    <mergeCell ref="J39:K39"/>
    <mergeCell ref="L39:M39"/>
    <mergeCell ref="N39:O39"/>
    <mergeCell ref="P39:Q39"/>
  </mergeCells>
  <phoneticPr fontId="7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2982-561E-4408-AA22-943173B7C308}">
  <sheetPr codeName="Sheet5"/>
  <dimension ref="B2:U30"/>
  <sheetViews>
    <sheetView workbookViewId="0">
      <selection activeCell="Q30" sqref="Q30"/>
    </sheetView>
  </sheetViews>
  <sheetFormatPr defaultRowHeight="14.4" x14ac:dyDescent="0.3"/>
  <cols>
    <col min="1" max="1" width="6.109375" customWidth="1"/>
    <col min="7" max="8" width="9.5546875" bestFit="1" customWidth="1"/>
    <col min="9" max="9" width="9.33203125" customWidth="1"/>
    <col min="10" max="10" width="9.77734375" customWidth="1"/>
    <col min="11" max="11" width="9.44140625" customWidth="1"/>
    <col min="12" max="12" width="9.77734375" customWidth="1"/>
    <col min="13" max="13" width="9.6640625" customWidth="1"/>
    <col min="14" max="14" width="9.44140625" customWidth="1"/>
    <col min="15" max="15" width="9.77734375" customWidth="1"/>
    <col min="16" max="16" width="9.6640625" customWidth="1"/>
    <col min="17" max="17" width="9.88671875" customWidth="1"/>
    <col min="18" max="18" width="9.44140625" customWidth="1"/>
    <col min="19" max="19" width="9.88671875" customWidth="1"/>
    <col min="21" max="21" width="9.88671875" bestFit="1" customWidth="1"/>
  </cols>
  <sheetData>
    <row r="2" spans="2:21" ht="18" x14ac:dyDescent="0.35">
      <c r="B2" s="266"/>
      <c r="C2" s="267" t="s">
        <v>237</v>
      </c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9"/>
    </row>
    <row r="3" spans="2:21" x14ac:dyDescent="0.3">
      <c r="B3" s="270"/>
      <c r="C3" s="271" t="s">
        <v>153</v>
      </c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2"/>
    </row>
    <row r="4" spans="2:21" x14ac:dyDescent="0.3">
      <c r="B4" s="270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2"/>
    </row>
    <row r="5" spans="2:21" x14ac:dyDescent="0.3">
      <c r="B5" s="282"/>
      <c r="C5" s="283" t="s">
        <v>185</v>
      </c>
      <c r="D5" s="284"/>
      <c r="E5" s="284"/>
      <c r="F5" s="284"/>
      <c r="G5" s="285">
        <v>2023</v>
      </c>
      <c r="H5" s="286">
        <v>2024</v>
      </c>
      <c r="I5" s="286">
        <v>2024</v>
      </c>
      <c r="J5" s="286">
        <v>2024</v>
      </c>
      <c r="K5" s="286">
        <v>2024</v>
      </c>
      <c r="L5" s="286">
        <v>2024</v>
      </c>
      <c r="M5" s="286">
        <v>2024</v>
      </c>
      <c r="N5" s="286">
        <v>2024</v>
      </c>
      <c r="O5" s="286">
        <v>2024</v>
      </c>
      <c r="P5" s="286">
        <v>2024</v>
      </c>
      <c r="Q5" s="286">
        <v>2024</v>
      </c>
      <c r="R5" s="286">
        <v>2024</v>
      </c>
      <c r="S5" s="286">
        <v>2024</v>
      </c>
      <c r="T5" s="304">
        <v>2024</v>
      </c>
      <c r="U5" s="210">
        <v>2023</v>
      </c>
    </row>
    <row r="6" spans="2:21" x14ac:dyDescent="0.3">
      <c r="B6" s="287"/>
      <c r="C6" s="288" t="s">
        <v>71</v>
      </c>
      <c r="D6" s="289"/>
      <c r="E6" s="289"/>
      <c r="F6" s="289"/>
      <c r="G6" s="285" t="s">
        <v>43</v>
      </c>
      <c r="H6" s="290" t="s">
        <v>32</v>
      </c>
      <c r="I6" s="290" t="s">
        <v>33</v>
      </c>
      <c r="J6" s="290" t="s">
        <v>34</v>
      </c>
      <c r="K6" s="290" t="s">
        <v>35</v>
      </c>
      <c r="L6" s="290" t="s">
        <v>36</v>
      </c>
      <c r="M6" s="290" t="s">
        <v>37</v>
      </c>
      <c r="N6" s="290" t="s">
        <v>38</v>
      </c>
      <c r="O6" s="290" t="s">
        <v>39</v>
      </c>
      <c r="P6" s="290" t="s">
        <v>40</v>
      </c>
      <c r="Q6" s="290" t="s">
        <v>41</v>
      </c>
      <c r="R6" s="290" t="s">
        <v>42</v>
      </c>
      <c r="S6" s="291" t="s">
        <v>43</v>
      </c>
      <c r="T6" s="301"/>
      <c r="U6" s="168"/>
    </row>
    <row r="7" spans="2:21" x14ac:dyDescent="0.3">
      <c r="B7" s="270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3"/>
    </row>
    <row r="8" spans="2:21" x14ac:dyDescent="0.3">
      <c r="B8" s="274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6"/>
    </row>
    <row r="9" spans="2:21" x14ac:dyDescent="0.3">
      <c r="B9" s="297" t="s">
        <v>126</v>
      </c>
      <c r="C9" s="289"/>
      <c r="D9" s="289"/>
      <c r="E9" s="298"/>
      <c r="F9" s="299" t="s">
        <v>236</v>
      </c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6"/>
    </row>
    <row r="10" spans="2:21" x14ac:dyDescent="0.3">
      <c r="B10" s="277" t="s">
        <v>216</v>
      </c>
      <c r="C10" s="271"/>
      <c r="D10" s="271"/>
      <c r="E10" s="275"/>
      <c r="F10" s="278">
        <v>0.05</v>
      </c>
      <c r="G10" s="271"/>
      <c r="H10" s="279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6"/>
    </row>
    <row r="11" spans="2:21" x14ac:dyDescent="0.3">
      <c r="B11" s="277" t="s">
        <v>217</v>
      </c>
      <c r="C11" s="271"/>
      <c r="D11" s="271"/>
      <c r="E11" s="275"/>
      <c r="F11" s="278">
        <v>0.05</v>
      </c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6"/>
    </row>
    <row r="12" spans="2:21" x14ac:dyDescent="0.3">
      <c r="B12" s="277" t="s">
        <v>218</v>
      </c>
      <c r="C12" s="271"/>
      <c r="D12" s="271"/>
      <c r="E12" s="275"/>
      <c r="F12" s="278">
        <v>0.1</v>
      </c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6"/>
    </row>
    <row r="13" spans="2:21" x14ac:dyDescent="0.3">
      <c r="B13" s="277" t="s">
        <v>219</v>
      </c>
      <c r="C13" s="271"/>
      <c r="D13" s="271"/>
      <c r="E13" s="275"/>
      <c r="F13" s="278">
        <v>0.1</v>
      </c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6"/>
    </row>
    <row r="14" spans="2:21" x14ac:dyDescent="0.3">
      <c r="B14" s="277" t="s">
        <v>220</v>
      </c>
      <c r="C14" s="271"/>
      <c r="D14" s="271"/>
      <c r="E14" s="275"/>
      <c r="F14" s="278">
        <v>0.15</v>
      </c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6"/>
    </row>
    <row r="15" spans="2:21" x14ac:dyDescent="0.3">
      <c r="B15" s="277" t="s">
        <v>221</v>
      </c>
      <c r="C15" s="271"/>
      <c r="D15" s="271"/>
      <c r="E15" s="275"/>
      <c r="F15" s="278">
        <v>0.05</v>
      </c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6"/>
    </row>
    <row r="16" spans="2:21" x14ac:dyDescent="0.3">
      <c r="B16" s="274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436" t="s">
        <v>80</v>
      </c>
      <c r="U16" s="395"/>
    </row>
    <row r="17" spans="2:21" x14ac:dyDescent="0.3">
      <c r="B17" s="282"/>
      <c r="C17" s="284"/>
      <c r="D17" s="283" t="s">
        <v>125</v>
      </c>
      <c r="E17" s="284"/>
      <c r="F17" s="284"/>
      <c r="G17" s="292">
        <v>-1870127</v>
      </c>
      <c r="H17" s="293">
        <v>-1800127</v>
      </c>
      <c r="I17" s="293">
        <v>-1800127</v>
      </c>
      <c r="J17" s="293">
        <v>-1810127</v>
      </c>
      <c r="K17" s="293">
        <v>-1810127</v>
      </c>
      <c r="L17" s="293">
        <v>-1810127</v>
      </c>
      <c r="M17" s="293">
        <v>-1970664</v>
      </c>
      <c r="N17" s="293">
        <v>-1900127</v>
      </c>
      <c r="O17" s="293">
        <v>-2000127</v>
      </c>
      <c r="P17" s="293">
        <v>-1900127</v>
      </c>
      <c r="Q17" s="293">
        <v>-1998126</v>
      </c>
      <c r="R17" s="293">
        <v>-1998126</v>
      </c>
      <c r="S17" s="294">
        <v>-2000144</v>
      </c>
      <c r="T17" s="302"/>
      <c r="U17" s="305">
        <v>18335403</v>
      </c>
    </row>
    <row r="18" spans="2:21" x14ac:dyDescent="0.3">
      <c r="B18" s="287"/>
      <c r="C18" s="289"/>
      <c r="D18" s="288" t="s">
        <v>126</v>
      </c>
      <c r="E18" s="289"/>
      <c r="F18" s="289"/>
      <c r="G18" s="295">
        <v>-38444</v>
      </c>
      <c r="H18" s="296">
        <f>SUM(H19:H24)</f>
        <v>-32544</v>
      </c>
      <c r="I18" s="296">
        <f t="shared" ref="I18:S18" si="0">SUM(I19:I24)</f>
        <v>-32544</v>
      </c>
      <c r="J18" s="296">
        <f t="shared" si="0"/>
        <v>-32544</v>
      </c>
      <c r="K18" s="296">
        <f t="shared" si="0"/>
        <v>-32544</v>
      </c>
      <c r="L18" s="296">
        <f t="shared" si="0"/>
        <v>-32544</v>
      </c>
      <c r="M18" s="296">
        <f t="shared" si="0"/>
        <v>-32544</v>
      </c>
      <c r="N18" s="296">
        <f t="shared" si="0"/>
        <v>-32544</v>
      </c>
      <c r="O18" s="296">
        <f t="shared" si="0"/>
        <v>-32544</v>
      </c>
      <c r="P18" s="296">
        <f t="shared" si="0"/>
        <v>-32544</v>
      </c>
      <c r="Q18" s="296">
        <f t="shared" si="0"/>
        <v>-32544</v>
      </c>
      <c r="R18" s="296">
        <f t="shared" si="0"/>
        <v>-32544</v>
      </c>
      <c r="S18" s="296">
        <f t="shared" si="0"/>
        <v>-32544</v>
      </c>
      <c r="T18" s="303">
        <f t="shared" ref="T18:T22" si="1">SUM(H18:S18)</f>
        <v>-390528</v>
      </c>
      <c r="U18" s="305">
        <v>449528</v>
      </c>
    </row>
    <row r="19" spans="2:21" x14ac:dyDescent="0.3">
      <c r="B19" s="270"/>
      <c r="C19" s="271"/>
      <c r="D19" s="280" t="s">
        <v>216</v>
      </c>
      <c r="E19" s="271"/>
      <c r="F19" s="315"/>
      <c r="G19" s="316">
        <f>'IS 2023'!F19</f>
        <v>-31654</v>
      </c>
      <c r="H19" s="316">
        <f>'IS 2023'!G19</f>
        <v>-31654</v>
      </c>
      <c r="I19" s="316">
        <f>'IS 2023'!H19</f>
        <v>-31654</v>
      </c>
      <c r="J19" s="316">
        <f>'IS 2023'!I19</f>
        <v>-31654</v>
      </c>
      <c r="K19" s="316">
        <f>'IS 2023'!J19</f>
        <v>-31654</v>
      </c>
      <c r="L19" s="316">
        <f>'IS 2023'!K19</f>
        <v>-31654</v>
      </c>
      <c r="M19" s="316">
        <f>'IS 2023'!L19</f>
        <v>-31654</v>
      </c>
      <c r="N19" s="316">
        <f>'IS 2023'!M19</f>
        <v>-31654</v>
      </c>
      <c r="O19" s="316">
        <f>'IS 2023'!N19</f>
        <v>-31654</v>
      </c>
      <c r="P19" s="316">
        <f>'IS 2023'!O19</f>
        <v>-31654</v>
      </c>
      <c r="Q19" s="316">
        <f>'IS 2023'!P19</f>
        <v>-31654</v>
      </c>
      <c r="R19" s="316">
        <f>'IS 2023'!Q19</f>
        <v>-31654</v>
      </c>
      <c r="S19" s="316">
        <f>'IS 2023'!R19</f>
        <v>-31654</v>
      </c>
      <c r="T19" s="300">
        <f t="shared" si="1"/>
        <v>-379848</v>
      </c>
      <c r="U19" s="305">
        <v>438848</v>
      </c>
    </row>
    <row r="20" spans="2:21" x14ac:dyDescent="0.3">
      <c r="B20" s="270"/>
      <c r="C20" s="271"/>
      <c r="D20" s="280" t="s">
        <v>217</v>
      </c>
      <c r="E20" s="271"/>
      <c r="F20" s="317"/>
      <c r="G20" s="316">
        <f>'IS 2023'!F20</f>
        <v>-700</v>
      </c>
      <c r="H20" s="316">
        <f>'IS 2023'!G20</f>
        <v>-700</v>
      </c>
      <c r="I20" s="316">
        <f>'IS 2023'!H20</f>
        <v>-700</v>
      </c>
      <c r="J20" s="316">
        <f>'IS 2023'!I20</f>
        <v>-700</v>
      </c>
      <c r="K20" s="316">
        <f>'IS 2023'!J20</f>
        <v>-700</v>
      </c>
      <c r="L20" s="316">
        <f>'IS 2023'!K20</f>
        <v>-700</v>
      </c>
      <c r="M20" s="316">
        <f>'IS 2023'!L20</f>
        <v>-700</v>
      </c>
      <c r="N20" s="316">
        <f>'IS 2023'!M20</f>
        <v>-700</v>
      </c>
      <c r="O20" s="316">
        <f>'IS 2023'!N20</f>
        <v>-700</v>
      </c>
      <c r="P20" s="316">
        <f>'IS 2023'!O20</f>
        <v>-700</v>
      </c>
      <c r="Q20" s="316">
        <f>'IS 2023'!P20</f>
        <v>-700</v>
      </c>
      <c r="R20" s="316">
        <f>'IS 2023'!Q20</f>
        <v>-700</v>
      </c>
      <c r="S20" s="316">
        <f>'IS 2023'!R20</f>
        <v>-700</v>
      </c>
      <c r="T20" s="300">
        <f t="shared" si="1"/>
        <v>-8400</v>
      </c>
      <c r="U20" s="305">
        <v>8400</v>
      </c>
    </row>
    <row r="21" spans="2:21" x14ac:dyDescent="0.3">
      <c r="B21" s="270"/>
      <c r="C21" s="271"/>
      <c r="D21" s="280" t="s">
        <v>218</v>
      </c>
      <c r="E21" s="271"/>
      <c r="F21" s="317"/>
      <c r="G21" s="316">
        <f>'IS 2023'!F21</f>
        <v>-125</v>
      </c>
      <c r="H21" s="316">
        <f>'IS 2023'!G21</f>
        <v>-125</v>
      </c>
      <c r="I21" s="316">
        <f>'IS 2023'!H21</f>
        <v>-125</v>
      </c>
      <c r="J21" s="316">
        <f>'IS 2023'!I21</f>
        <v>-125</v>
      </c>
      <c r="K21" s="316">
        <f>'IS 2023'!J21</f>
        <v>-125</v>
      </c>
      <c r="L21" s="316">
        <f>'IS 2023'!K21</f>
        <v>-125</v>
      </c>
      <c r="M21" s="316">
        <f>'IS 2023'!L21</f>
        <v>-125</v>
      </c>
      <c r="N21" s="316">
        <f>'IS 2023'!M21</f>
        <v>-125</v>
      </c>
      <c r="O21" s="316">
        <f>'IS 2023'!N21</f>
        <v>-125</v>
      </c>
      <c r="P21" s="316">
        <f>'IS 2023'!O21</f>
        <v>-125</v>
      </c>
      <c r="Q21" s="316">
        <f>'IS 2023'!P21</f>
        <v>-125</v>
      </c>
      <c r="R21" s="316">
        <f>'IS 2023'!Q21</f>
        <v>-125</v>
      </c>
      <c r="S21" s="316">
        <f>'IS 2023'!R21</f>
        <v>-125</v>
      </c>
      <c r="T21" s="300">
        <f t="shared" si="1"/>
        <v>-1500</v>
      </c>
      <c r="U21" s="305">
        <v>1500</v>
      </c>
    </row>
    <row r="22" spans="2:21" x14ac:dyDescent="0.3">
      <c r="B22" s="270"/>
      <c r="C22" s="271"/>
      <c r="D22" s="280" t="s">
        <v>219</v>
      </c>
      <c r="E22" s="271"/>
      <c r="F22" s="318"/>
      <c r="G22" s="316">
        <f>'IS 2023'!F22</f>
        <v>-65</v>
      </c>
      <c r="H22" s="316">
        <f>'IS 2023'!G22</f>
        <v>-65</v>
      </c>
      <c r="I22" s="316">
        <f>'IS 2023'!H22</f>
        <v>-65</v>
      </c>
      <c r="J22" s="316">
        <f>'IS 2023'!I22</f>
        <v>-65</v>
      </c>
      <c r="K22" s="316">
        <f>'IS 2023'!J22</f>
        <v>-65</v>
      </c>
      <c r="L22" s="316">
        <f>'IS 2023'!K22</f>
        <v>-65</v>
      </c>
      <c r="M22" s="316">
        <f>'IS 2023'!L22</f>
        <v>-65</v>
      </c>
      <c r="N22" s="316">
        <f>'IS 2023'!M22</f>
        <v>-65</v>
      </c>
      <c r="O22" s="316">
        <f>'IS 2023'!N22</f>
        <v>-65</v>
      </c>
      <c r="P22" s="316">
        <f>'IS 2023'!O22</f>
        <v>-65</v>
      </c>
      <c r="Q22" s="316">
        <f>'IS 2023'!P22</f>
        <v>-65</v>
      </c>
      <c r="R22" s="316">
        <f>'IS 2023'!Q22</f>
        <v>-65</v>
      </c>
      <c r="S22" s="316">
        <f>'IS 2023'!R22</f>
        <v>-65</v>
      </c>
      <c r="T22" s="300">
        <f t="shared" si="1"/>
        <v>-780</v>
      </c>
      <c r="U22" s="306">
        <v>780</v>
      </c>
    </row>
    <row r="23" spans="2:21" x14ac:dyDescent="0.3">
      <c r="B23" s="270"/>
      <c r="C23" s="271"/>
      <c r="D23" s="280" t="s">
        <v>220</v>
      </c>
      <c r="E23" s="271"/>
      <c r="F23" s="271"/>
      <c r="G23" s="27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300"/>
      <c r="U23" s="306"/>
    </row>
    <row r="24" spans="2:21" x14ac:dyDescent="0.3">
      <c r="B24" s="270"/>
      <c r="C24" s="271"/>
      <c r="D24" s="280" t="s">
        <v>221</v>
      </c>
      <c r="E24" s="271"/>
      <c r="F24" s="271"/>
      <c r="G24" s="27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300"/>
      <c r="U24" s="306"/>
    </row>
    <row r="25" spans="2:21" x14ac:dyDescent="0.3"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</row>
    <row r="26" spans="2:21" x14ac:dyDescent="0.3"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</row>
    <row r="27" spans="2:21" x14ac:dyDescent="0.3"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264"/>
      <c r="S27" s="264"/>
      <c r="T27" s="265"/>
    </row>
    <row r="28" spans="2:21" x14ac:dyDescent="0.3">
      <c r="B28" s="263"/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</row>
    <row r="29" spans="2:21" x14ac:dyDescent="0.3"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</row>
    <row r="30" spans="2:21" x14ac:dyDescent="0.3"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</row>
  </sheetData>
  <mergeCells count="1">
    <mergeCell ref="T16:U16"/>
  </mergeCells>
  <dataValidations count="1">
    <dataValidation type="list" allowBlank="1" showInputMessage="1" showErrorMessage="1" sqref="F10:F15" xr:uid="{A7B9AC77-3BDD-42A8-9C5E-212ECCDE8A37}">
      <formula1>"5%,10%,15%,20%,25%,30%"</formula1>
    </dataValidation>
  </dataValidation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FF679-812C-4C16-9DCD-AB2979357F89}">
  <sheetPr codeName="Sheet6"/>
  <dimension ref="A2:AB36"/>
  <sheetViews>
    <sheetView showGridLines="0" topLeftCell="A10" zoomScale="71" zoomScaleNormal="71" workbookViewId="0">
      <selection activeCell="K49" sqref="K49"/>
    </sheetView>
  </sheetViews>
  <sheetFormatPr defaultColWidth="12" defaultRowHeight="15" x14ac:dyDescent="0.25"/>
  <cols>
    <col min="1" max="1" width="3.33203125" style="76" customWidth="1"/>
    <col min="2" max="2" width="26.6640625" style="76" customWidth="1"/>
    <col min="3" max="6" width="13.33203125" style="76" customWidth="1"/>
    <col min="7" max="7" width="3.33203125" style="76" customWidth="1"/>
    <col min="8" max="9" width="14.109375" style="76" customWidth="1"/>
    <col min="10" max="15" width="12" style="76"/>
    <col min="16" max="16" width="3.33203125" style="76" customWidth="1"/>
    <col min="17" max="24" width="12" style="76"/>
    <col min="25" max="25" width="3.33203125" style="76" customWidth="1"/>
    <col min="26" max="16384" width="12" style="76"/>
  </cols>
  <sheetData>
    <row r="2" spans="1:25" x14ac:dyDescent="0.25">
      <c r="B2" s="91" t="s">
        <v>239</v>
      </c>
      <c r="C2" s="439"/>
      <c r="D2" s="440"/>
      <c r="E2" s="92"/>
      <c r="F2" s="437" t="s">
        <v>240</v>
      </c>
      <c r="G2" s="438"/>
      <c r="H2" s="438"/>
      <c r="I2" s="439"/>
      <c r="J2" s="439"/>
      <c r="K2" s="440"/>
    </row>
    <row r="4" spans="1:25" x14ac:dyDescent="0.2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</row>
    <row r="5" spans="1:25" ht="17.399999999999999" x14ac:dyDescent="0.25">
      <c r="A5" s="93"/>
      <c r="B5" s="447" t="s">
        <v>344</v>
      </c>
      <c r="C5" s="448" t="s">
        <v>227</v>
      </c>
      <c r="D5" s="449"/>
      <c r="E5" s="448" t="s">
        <v>102</v>
      </c>
      <c r="F5" s="452"/>
      <c r="G5" s="93"/>
      <c r="H5" s="443" t="s">
        <v>343</v>
      </c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93"/>
    </row>
    <row r="6" spans="1:25" ht="17.399999999999999" x14ac:dyDescent="0.25">
      <c r="A6" s="93"/>
      <c r="B6" s="447"/>
      <c r="C6" s="450"/>
      <c r="D6" s="451"/>
      <c r="E6" s="450"/>
      <c r="F6" s="453"/>
      <c r="G6" s="93"/>
      <c r="H6" s="77"/>
      <c r="I6" s="77"/>
      <c r="J6" s="77"/>
      <c r="K6" s="77"/>
      <c r="L6" s="77"/>
      <c r="M6" s="77"/>
      <c r="N6" s="77"/>
      <c r="O6" s="77"/>
      <c r="P6" s="78"/>
      <c r="Q6" s="77"/>
      <c r="R6" s="77"/>
      <c r="S6" s="77"/>
      <c r="T6" s="77"/>
      <c r="U6" s="77"/>
      <c r="V6" s="77"/>
      <c r="W6" s="77"/>
      <c r="X6" s="77"/>
      <c r="Y6" s="93"/>
    </row>
    <row r="7" spans="1:25" s="81" customFormat="1" ht="30" x14ac:dyDescent="0.3">
      <c r="A7" s="94"/>
      <c r="B7" s="80">
        <f>SUM(D11:D35)</f>
        <v>1540</v>
      </c>
      <c r="C7" s="454">
        <f>SUM(E11:E35)</f>
        <v>1500</v>
      </c>
      <c r="D7" s="455"/>
      <c r="E7" s="456">
        <f>SUM(E11:E35)/SUM(D11:D35)</f>
        <v>0.97402597402597402</v>
      </c>
      <c r="F7" s="457"/>
      <c r="G7" s="94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94"/>
    </row>
    <row r="8" spans="1:25" x14ac:dyDescent="0.25">
      <c r="A8" s="93"/>
      <c r="B8" s="93"/>
      <c r="C8" s="93"/>
      <c r="D8" s="93"/>
      <c r="E8" s="93"/>
      <c r="F8" s="93"/>
      <c r="G8" s="93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93"/>
    </row>
    <row r="9" spans="1:25" ht="17.399999999999999" x14ac:dyDescent="0.25">
      <c r="A9" s="93"/>
      <c r="B9" s="445" t="s">
        <v>103</v>
      </c>
      <c r="C9" s="445"/>
      <c r="D9" s="445"/>
      <c r="E9" s="445"/>
      <c r="F9" s="445"/>
      <c r="G9" s="93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93"/>
    </row>
    <row r="10" spans="1:25" ht="39.6" x14ac:dyDescent="0.25">
      <c r="A10" s="93"/>
      <c r="B10" s="446" t="s">
        <v>104</v>
      </c>
      <c r="C10" s="446"/>
      <c r="D10" s="82" t="s">
        <v>105</v>
      </c>
      <c r="E10" s="82" t="s">
        <v>332</v>
      </c>
      <c r="F10" s="82" t="s">
        <v>106</v>
      </c>
      <c r="G10" s="93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93"/>
    </row>
    <row r="11" spans="1:25" ht="19.95" customHeight="1" x14ac:dyDescent="0.25">
      <c r="A11" s="93"/>
      <c r="B11" s="441" t="s">
        <v>307</v>
      </c>
      <c r="C11" s="441"/>
      <c r="D11" s="83">
        <v>65</v>
      </c>
      <c r="E11" s="83">
        <v>60</v>
      </c>
      <c r="F11" s="84">
        <f>D11/E11</f>
        <v>1.0833333333333333</v>
      </c>
      <c r="G11" s="93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93"/>
    </row>
    <row r="12" spans="1:25" ht="19.95" customHeight="1" x14ac:dyDescent="0.25">
      <c r="A12" s="93"/>
      <c r="B12" s="441" t="s">
        <v>308</v>
      </c>
      <c r="C12" s="441"/>
      <c r="D12" s="83">
        <v>60</v>
      </c>
      <c r="E12" s="83">
        <v>60</v>
      </c>
      <c r="F12" s="85">
        <f t="shared" ref="F12:F35" si="0">D12/E12</f>
        <v>1</v>
      </c>
      <c r="G12" s="93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93"/>
    </row>
    <row r="13" spans="1:25" ht="19.95" customHeight="1" x14ac:dyDescent="0.25">
      <c r="A13" s="93"/>
      <c r="B13" s="441" t="s">
        <v>309</v>
      </c>
      <c r="C13" s="441"/>
      <c r="D13" s="83">
        <v>60</v>
      </c>
      <c r="E13" s="83">
        <v>60</v>
      </c>
      <c r="F13" s="84">
        <f t="shared" si="0"/>
        <v>1</v>
      </c>
      <c r="G13" s="93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93"/>
    </row>
    <row r="14" spans="1:25" ht="19.95" customHeight="1" x14ac:dyDescent="0.25">
      <c r="A14" s="93"/>
      <c r="B14" s="441" t="s">
        <v>310</v>
      </c>
      <c r="C14" s="441"/>
      <c r="D14" s="83">
        <v>60</v>
      </c>
      <c r="E14" s="83">
        <v>60</v>
      </c>
      <c r="F14" s="85">
        <f t="shared" si="0"/>
        <v>1</v>
      </c>
      <c r="G14" s="93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93"/>
    </row>
    <row r="15" spans="1:25" ht="19.95" customHeight="1" x14ac:dyDescent="0.25">
      <c r="A15" s="93"/>
      <c r="B15" s="441" t="s">
        <v>311</v>
      </c>
      <c r="C15" s="441"/>
      <c r="D15" s="83">
        <v>60</v>
      </c>
      <c r="E15" s="83">
        <v>60</v>
      </c>
      <c r="F15" s="84">
        <f t="shared" si="0"/>
        <v>1</v>
      </c>
      <c r="G15" s="93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93"/>
    </row>
    <row r="16" spans="1:25" ht="19.95" customHeight="1" x14ac:dyDescent="0.25">
      <c r="A16" s="93"/>
      <c r="B16" s="441" t="s">
        <v>312</v>
      </c>
      <c r="C16" s="441"/>
      <c r="D16" s="83">
        <v>65</v>
      </c>
      <c r="E16" s="83">
        <v>60</v>
      </c>
      <c r="F16" s="85">
        <f t="shared" si="0"/>
        <v>1.0833333333333333</v>
      </c>
      <c r="G16" s="93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93"/>
    </row>
    <row r="17" spans="1:28" ht="19.95" customHeight="1" x14ac:dyDescent="0.25">
      <c r="A17" s="93"/>
      <c r="B17" s="441" t="s">
        <v>313</v>
      </c>
      <c r="C17" s="441"/>
      <c r="D17" s="83">
        <v>65</v>
      </c>
      <c r="E17" s="83">
        <v>60</v>
      </c>
      <c r="F17" s="84">
        <f t="shared" si="0"/>
        <v>1.0833333333333333</v>
      </c>
      <c r="G17" s="93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93"/>
    </row>
    <row r="18" spans="1:28" ht="19.95" customHeight="1" x14ac:dyDescent="0.25">
      <c r="A18" s="93"/>
      <c r="B18" s="441" t="s">
        <v>314</v>
      </c>
      <c r="C18" s="441"/>
      <c r="D18" s="83">
        <v>65</v>
      </c>
      <c r="E18" s="83">
        <v>60</v>
      </c>
      <c r="F18" s="85">
        <f t="shared" si="0"/>
        <v>1.0833333333333333</v>
      </c>
      <c r="G18" s="93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93"/>
    </row>
    <row r="19" spans="1:28" ht="19.95" customHeight="1" x14ac:dyDescent="0.25">
      <c r="A19" s="93"/>
      <c r="B19" s="441" t="s">
        <v>315</v>
      </c>
      <c r="C19" s="441"/>
      <c r="D19" s="83">
        <v>65</v>
      </c>
      <c r="E19" s="83">
        <v>60</v>
      </c>
      <c r="F19" s="84">
        <f t="shared" si="0"/>
        <v>1.0833333333333333</v>
      </c>
      <c r="G19" s="93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93"/>
    </row>
    <row r="20" spans="1:28" ht="19.95" customHeight="1" x14ac:dyDescent="0.25">
      <c r="A20" s="93"/>
      <c r="B20" s="441" t="s">
        <v>316</v>
      </c>
      <c r="C20" s="441"/>
      <c r="D20" s="83">
        <v>55</v>
      </c>
      <c r="E20" s="83">
        <v>60</v>
      </c>
      <c r="F20" s="85">
        <f t="shared" si="0"/>
        <v>0.91666666666666663</v>
      </c>
      <c r="G20" s="93"/>
      <c r="H20" s="443" t="s">
        <v>226</v>
      </c>
      <c r="I20" s="444"/>
      <c r="J20" s="444"/>
      <c r="K20" s="444"/>
      <c r="L20" s="444"/>
      <c r="M20" s="444"/>
      <c r="N20" s="444"/>
      <c r="O20" s="444"/>
      <c r="P20" s="444"/>
      <c r="Q20" s="444"/>
      <c r="R20" s="444"/>
      <c r="S20" s="444"/>
      <c r="T20" s="444"/>
      <c r="U20" s="444"/>
      <c r="V20" s="444"/>
      <c r="W20" s="444"/>
      <c r="X20" s="444"/>
      <c r="Y20" s="93"/>
    </row>
    <row r="21" spans="1:28" ht="19.95" customHeight="1" x14ac:dyDescent="0.25">
      <c r="A21" s="93"/>
      <c r="B21" s="441" t="s">
        <v>317</v>
      </c>
      <c r="C21" s="441"/>
      <c r="D21" s="83">
        <v>55</v>
      </c>
      <c r="E21" s="83">
        <v>60</v>
      </c>
      <c r="F21" s="84">
        <f t="shared" si="0"/>
        <v>0.91666666666666663</v>
      </c>
      <c r="G21" s="93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93"/>
    </row>
    <row r="22" spans="1:28" ht="19.95" customHeight="1" x14ac:dyDescent="0.25">
      <c r="A22" s="93"/>
      <c r="B22" s="441" t="s">
        <v>318</v>
      </c>
      <c r="C22" s="441"/>
      <c r="D22" s="83">
        <v>55</v>
      </c>
      <c r="E22" s="83">
        <v>60</v>
      </c>
      <c r="F22" s="85">
        <f t="shared" si="0"/>
        <v>0.91666666666666663</v>
      </c>
      <c r="G22" s="93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93"/>
    </row>
    <row r="23" spans="1:28" ht="19.95" customHeight="1" x14ac:dyDescent="0.25">
      <c r="A23" s="93"/>
      <c r="B23" s="441" t="s">
        <v>319</v>
      </c>
      <c r="C23" s="441"/>
      <c r="D23" s="83">
        <v>55</v>
      </c>
      <c r="E23" s="83">
        <v>60</v>
      </c>
      <c r="F23" s="84">
        <f t="shared" si="0"/>
        <v>0.91666666666666663</v>
      </c>
      <c r="G23" s="93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93"/>
    </row>
    <row r="24" spans="1:28" ht="19.95" customHeight="1" x14ac:dyDescent="0.25">
      <c r="A24" s="93"/>
      <c r="B24" s="441" t="s">
        <v>320</v>
      </c>
      <c r="C24" s="441"/>
      <c r="D24" s="83">
        <v>65</v>
      </c>
      <c r="E24" s="83">
        <v>60</v>
      </c>
      <c r="F24" s="85">
        <f t="shared" si="0"/>
        <v>1.0833333333333333</v>
      </c>
      <c r="G24" s="93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93"/>
    </row>
    <row r="25" spans="1:28" ht="19.95" customHeight="1" x14ac:dyDescent="0.25">
      <c r="A25" s="93"/>
      <c r="B25" s="441" t="s">
        <v>321</v>
      </c>
      <c r="C25" s="441"/>
      <c r="D25" s="83">
        <v>65</v>
      </c>
      <c r="E25" s="83">
        <v>60</v>
      </c>
      <c r="F25" s="84">
        <f t="shared" si="0"/>
        <v>1.0833333333333333</v>
      </c>
      <c r="G25" s="93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93"/>
    </row>
    <row r="26" spans="1:28" ht="19.95" customHeight="1" x14ac:dyDescent="0.25">
      <c r="A26" s="93"/>
      <c r="B26" s="441" t="s">
        <v>322</v>
      </c>
      <c r="C26" s="441"/>
      <c r="D26" s="83">
        <v>60</v>
      </c>
      <c r="E26" s="83">
        <v>60</v>
      </c>
      <c r="F26" s="85">
        <f t="shared" si="0"/>
        <v>1</v>
      </c>
      <c r="G26" s="93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93"/>
    </row>
    <row r="27" spans="1:28" ht="19.95" customHeight="1" x14ac:dyDescent="0.25">
      <c r="A27" s="93"/>
      <c r="B27" s="441" t="s">
        <v>323</v>
      </c>
      <c r="C27" s="441"/>
      <c r="D27" s="83">
        <v>60</v>
      </c>
      <c r="E27" s="83">
        <v>60</v>
      </c>
      <c r="F27" s="84">
        <f t="shared" si="0"/>
        <v>1</v>
      </c>
      <c r="G27" s="93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93"/>
    </row>
    <row r="28" spans="1:28" ht="19.95" customHeight="1" x14ac:dyDescent="0.25">
      <c r="A28" s="93"/>
      <c r="B28" s="441" t="s">
        <v>324</v>
      </c>
      <c r="C28" s="441"/>
      <c r="D28" s="83">
        <v>60</v>
      </c>
      <c r="E28" s="83">
        <v>60</v>
      </c>
      <c r="F28" s="85">
        <f t="shared" si="0"/>
        <v>1</v>
      </c>
      <c r="G28" s="93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93"/>
      <c r="AB28" s="86"/>
    </row>
    <row r="29" spans="1:28" ht="19.95" customHeight="1" x14ac:dyDescent="0.25">
      <c r="A29" s="93"/>
      <c r="B29" s="441" t="s">
        <v>325</v>
      </c>
      <c r="C29" s="441"/>
      <c r="D29" s="83">
        <v>65</v>
      </c>
      <c r="E29" s="83">
        <v>60</v>
      </c>
      <c r="F29" s="84">
        <f t="shared" si="0"/>
        <v>1.0833333333333333</v>
      </c>
      <c r="G29" s="93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93"/>
    </row>
    <row r="30" spans="1:28" ht="19.95" customHeight="1" x14ac:dyDescent="0.25">
      <c r="A30" s="93"/>
      <c r="B30" s="441" t="s">
        <v>326</v>
      </c>
      <c r="C30" s="441"/>
      <c r="D30" s="83">
        <v>65</v>
      </c>
      <c r="E30" s="83">
        <v>60</v>
      </c>
      <c r="F30" s="85">
        <f t="shared" si="0"/>
        <v>1.0833333333333333</v>
      </c>
      <c r="G30" s="93"/>
      <c r="H30" s="442"/>
      <c r="I30" s="442"/>
      <c r="J30" s="442"/>
      <c r="K30" s="442"/>
      <c r="L30" s="442"/>
      <c r="M30" s="442"/>
      <c r="N30" s="442"/>
      <c r="O30" s="442"/>
      <c r="P30" s="442"/>
      <c r="Q30" s="442"/>
      <c r="R30" s="442"/>
      <c r="S30" s="442"/>
      <c r="T30" s="442"/>
      <c r="U30" s="442"/>
      <c r="V30" s="442"/>
      <c r="W30" s="442"/>
      <c r="X30" s="442"/>
      <c r="Y30" s="93"/>
    </row>
    <row r="31" spans="1:28" ht="19.95" customHeight="1" x14ac:dyDescent="0.25">
      <c r="A31" s="93"/>
      <c r="B31" s="441" t="s">
        <v>327</v>
      </c>
      <c r="C31" s="441"/>
      <c r="D31" s="83">
        <v>60</v>
      </c>
      <c r="E31" s="83">
        <v>60</v>
      </c>
      <c r="F31" s="84">
        <f t="shared" si="0"/>
        <v>1</v>
      </c>
      <c r="G31" s="93"/>
      <c r="H31" s="87"/>
      <c r="I31" s="87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93"/>
    </row>
    <row r="32" spans="1:28" ht="19.95" customHeight="1" x14ac:dyDescent="0.25">
      <c r="A32" s="93"/>
      <c r="B32" s="441" t="s">
        <v>328</v>
      </c>
      <c r="C32" s="441"/>
      <c r="D32" s="83">
        <v>60</v>
      </c>
      <c r="E32" s="83">
        <v>60</v>
      </c>
      <c r="F32" s="85">
        <f t="shared" si="0"/>
        <v>1</v>
      </c>
      <c r="G32" s="93"/>
      <c r="H32" s="88"/>
      <c r="I32" s="89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93"/>
    </row>
    <row r="33" spans="1:25" ht="19.95" customHeight="1" x14ac:dyDescent="0.25">
      <c r="A33" s="93"/>
      <c r="B33" s="441" t="s">
        <v>329</v>
      </c>
      <c r="C33" s="441"/>
      <c r="D33" s="83">
        <v>65</v>
      </c>
      <c r="E33" s="83">
        <v>60</v>
      </c>
      <c r="F33" s="84">
        <f t="shared" si="0"/>
        <v>1.0833333333333333</v>
      </c>
      <c r="G33" s="93"/>
      <c r="H33" s="90"/>
      <c r="I33" s="89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93"/>
    </row>
    <row r="34" spans="1:25" ht="19.95" customHeight="1" x14ac:dyDescent="0.25">
      <c r="A34" s="93"/>
      <c r="B34" s="441" t="s">
        <v>330</v>
      </c>
      <c r="C34" s="441"/>
      <c r="D34" s="83">
        <v>65</v>
      </c>
      <c r="E34" s="83">
        <v>60</v>
      </c>
      <c r="F34" s="85">
        <f t="shared" si="0"/>
        <v>1.0833333333333333</v>
      </c>
      <c r="G34" s="93"/>
      <c r="H34" s="90"/>
      <c r="I34" s="89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93"/>
    </row>
    <row r="35" spans="1:25" ht="19.95" customHeight="1" x14ac:dyDescent="0.25">
      <c r="A35" s="93"/>
      <c r="B35" s="441" t="s">
        <v>331</v>
      </c>
      <c r="C35" s="441"/>
      <c r="D35" s="83">
        <v>65</v>
      </c>
      <c r="E35" s="83">
        <v>60</v>
      </c>
      <c r="F35" s="84">
        <f t="shared" si="0"/>
        <v>1.0833333333333333</v>
      </c>
      <c r="G35" s="93"/>
      <c r="H35" s="90"/>
      <c r="I35" s="89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93"/>
    </row>
    <row r="36" spans="1:25" x14ac:dyDescent="0.25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</row>
  </sheetData>
  <mergeCells count="38">
    <mergeCell ref="B5:B6"/>
    <mergeCell ref="C5:D6"/>
    <mergeCell ref="E5:F6"/>
    <mergeCell ref="H5:X5"/>
    <mergeCell ref="C7:D7"/>
    <mergeCell ref="E7:F7"/>
    <mergeCell ref="B34:C34"/>
    <mergeCell ref="B35:C35"/>
    <mergeCell ref="C2:D2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5:C15"/>
    <mergeCell ref="B16:C16"/>
    <mergeCell ref="B17:C17"/>
    <mergeCell ref="F2:H2"/>
    <mergeCell ref="I2:K2"/>
    <mergeCell ref="B31:C31"/>
    <mergeCell ref="B32:C32"/>
    <mergeCell ref="B33:C33"/>
    <mergeCell ref="H30:X30"/>
    <mergeCell ref="H20:X20"/>
    <mergeCell ref="B18:C18"/>
    <mergeCell ref="B19:C19"/>
    <mergeCell ref="B20:C20"/>
    <mergeCell ref="B9:F9"/>
    <mergeCell ref="B10:C10"/>
    <mergeCell ref="B11:C11"/>
    <mergeCell ref="B12:C12"/>
    <mergeCell ref="B13:C13"/>
    <mergeCell ref="B14:C14"/>
  </mergeCells>
  <phoneticPr fontId="7" type="noConversion"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26E1D-F011-485F-9ED2-43FC1C025345}">
  <sheetPr codeName="Sheet7"/>
  <dimension ref="C2:K46"/>
  <sheetViews>
    <sheetView showGridLines="0" zoomScale="93" zoomScaleNormal="93" workbookViewId="0">
      <selection activeCell="K71" sqref="K71"/>
    </sheetView>
  </sheetViews>
  <sheetFormatPr defaultRowHeight="14.4" x14ac:dyDescent="0.3"/>
  <cols>
    <col min="1" max="1" width="4.44140625" customWidth="1"/>
    <col min="2" max="2" width="2.6640625" customWidth="1"/>
    <col min="3" max="3" width="17.6640625" customWidth="1"/>
    <col min="4" max="11" width="21.77734375" customWidth="1"/>
  </cols>
  <sheetData>
    <row r="2" spans="3:11" ht="16.2" customHeight="1" x14ac:dyDescent="0.3">
      <c r="C2" s="458" t="s">
        <v>229</v>
      </c>
      <c r="D2" s="461"/>
      <c r="E2" s="458" t="s">
        <v>230</v>
      </c>
      <c r="F2" s="459"/>
      <c r="G2" s="459"/>
      <c r="H2" s="105"/>
      <c r="I2" s="106">
        <f>D21/E21</f>
        <v>1.0018429782528566</v>
      </c>
      <c r="J2" s="103" t="s">
        <v>107</v>
      </c>
      <c r="K2" s="107">
        <f>D21/K21</f>
        <v>52.606451612903228</v>
      </c>
    </row>
    <row r="3" spans="3:11" ht="7.8" customHeight="1" x14ac:dyDescent="0.3">
      <c r="C3" s="95"/>
    </row>
    <row r="4" spans="3:11" ht="20.399999999999999" customHeight="1" x14ac:dyDescent="0.4">
      <c r="C4" s="96"/>
      <c r="D4" s="462" t="s">
        <v>333</v>
      </c>
      <c r="E4" s="462"/>
      <c r="F4" s="104"/>
      <c r="G4" s="463" t="s">
        <v>108</v>
      </c>
      <c r="H4" s="463"/>
      <c r="I4" s="463" t="s">
        <v>114</v>
      </c>
      <c r="J4" s="463"/>
      <c r="K4" s="96"/>
    </row>
    <row r="5" spans="3:11" x14ac:dyDescent="0.3">
      <c r="C5" s="97" t="s">
        <v>228</v>
      </c>
      <c r="D5" s="98" t="s">
        <v>101</v>
      </c>
      <c r="E5" s="98" t="s">
        <v>109</v>
      </c>
      <c r="F5" s="98" t="s">
        <v>115</v>
      </c>
      <c r="G5" s="98" t="s">
        <v>110</v>
      </c>
      <c r="H5" s="98" t="s">
        <v>111</v>
      </c>
      <c r="I5" s="109" t="s">
        <v>80</v>
      </c>
      <c r="J5" s="109" t="s">
        <v>113</v>
      </c>
      <c r="K5" s="110" t="s">
        <v>112</v>
      </c>
    </row>
    <row r="6" spans="3:11" ht="15" customHeight="1" x14ac:dyDescent="0.3">
      <c r="C6" s="63" t="s">
        <v>307</v>
      </c>
      <c r="D6" s="237">
        <v>2760</v>
      </c>
      <c r="E6" s="237">
        <v>2760</v>
      </c>
      <c r="F6" s="111">
        <f t="shared" ref="F6:F21" si="0">D6/E6</f>
        <v>1</v>
      </c>
      <c r="G6" s="238">
        <f>IF(ISBLANK(D6-E6),"",(D6-E6))</f>
        <v>0</v>
      </c>
      <c r="H6" s="239">
        <f>AVERAGE($G$6:$G$20)</f>
        <v>5</v>
      </c>
      <c r="I6" s="237">
        <v>35</v>
      </c>
      <c r="J6" s="237">
        <v>15</v>
      </c>
      <c r="K6" s="240">
        <f>SUM(Table132[[#This Row],[Totals]:[Overuns]])</f>
        <v>50</v>
      </c>
    </row>
    <row r="7" spans="3:11" ht="15" customHeight="1" x14ac:dyDescent="0.3">
      <c r="C7" s="63" t="s">
        <v>308</v>
      </c>
      <c r="D7" s="237">
        <v>2660</v>
      </c>
      <c r="E7" s="237">
        <v>2760</v>
      </c>
      <c r="F7" s="111">
        <f t="shared" si="0"/>
        <v>0.96376811594202894</v>
      </c>
      <c r="G7" s="238">
        <f t="shared" ref="G7:G20" si="1">IF(ISBLANK(D7-E7),"",(D7-E7))</f>
        <v>-100</v>
      </c>
      <c r="H7" s="239">
        <f t="shared" ref="H7:H20" si="2">AVERAGE($G$6:$G$20)</f>
        <v>5</v>
      </c>
      <c r="I7" s="237">
        <v>35</v>
      </c>
      <c r="J7" s="237">
        <v>16</v>
      </c>
      <c r="K7" s="240">
        <f>SUM(Table132[[#This Row],[Totals]:[Overuns]])</f>
        <v>51</v>
      </c>
    </row>
    <row r="8" spans="3:11" ht="15" customHeight="1" x14ac:dyDescent="0.3">
      <c r="C8" s="63" t="s">
        <v>309</v>
      </c>
      <c r="D8" s="237">
        <v>2560</v>
      </c>
      <c r="E8" s="237">
        <v>2660</v>
      </c>
      <c r="F8" s="111">
        <f t="shared" si="0"/>
        <v>0.96240601503759393</v>
      </c>
      <c r="G8" s="238">
        <f t="shared" si="1"/>
        <v>-100</v>
      </c>
      <c r="H8" s="239">
        <f t="shared" si="2"/>
        <v>5</v>
      </c>
      <c r="I8" s="237">
        <v>35</v>
      </c>
      <c r="J8" s="237">
        <v>16</v>
      </c>
      <c r="K8" s="240">
        <f>SUM(Table132[[#This Row],[Totals]:[Overuns]])</f>
        <v>51</v>
      </c>
    </row>
    <row r="9" spans="3:11" ht="15" customHeight="1" x14ac:dyDescent="0.3">
      <c r="C9" s="63" t="s">
        <v>310</v>
      </c>
      <c r="D9" s="237">
        <v>2550</v>
      </c>
      <c r="E9" s="237">
        <v>2450</v>
      </c>
      <c r="F9" s="111">
        <f t="shared" si="0"/>
        <v>1.0408163265306123</v>
      </c>
      <c r="G9" s="238">
        <f t="shared" si="1"/>
        <v>100</v>
      </c>
      <c r="H9" s="239">
        <f t="shared" si="2"/>
        <v>5</v>
      </c>
      <c r="I9" s="237">
        <v>35</v>
      </c>
      <c r="J9" s="237">
        <v>16</v>
      </c>
      <c r="K9" s="240">
        <f>SUM(Table132[[#This Row],[Totals]:[Overuns]])</f>
        <v>51</v>
      </c>
    </row>
    <row r="10" spans="3:11" ht="15" customHeight="1" x14ac:dyDescent="0.3">
      <c r="C10" s="63" t="s">
        <v>311</v>
      </c>
      <c r="D10" s="237">
        <v>2550</v>
      </c>
      <c r="E10" s="237">
        <v>2500</v>
      </c>
      <c r="F10" s="111">
        <f t="shared" si="0"/>
        <v>1.02</v>
      </c>
      <c r="G10" s="238">
        <f t="shared" si="1"/>
        <v>50</v>
      </c>
      <c r="H10" s="239">
        <f t="shared" si="2"/>
        <v>5</v>
      </c>
      <c r="I10" s="237">
        <v>35</v>
      </c>
      <c r="J10" s="237">
        <v>16</v>
      </c>
      <c r="K10" s="240">
        <f>SUM(Table132[[#This Row],[Totals]:[Overuns]])</f>
        <v>51</v>
      </c>
    </row>
    <row r="11" spans="3:11" ht="15" customHeight="1" x14ac:dyDescent="0.3">
      <c r="C11" s="63" t="s">
        <v>312</v>
      </c>
      <c r="D11" s="237">
        <v>2760</v>
      </c>
      <c r="E11" s="237">
        <v>2760</v>
      </c>
      <c r="F11" s="111">
        <f t="shared" si="0"/>
        <v>1</v>
      </c>
      <c r="G11" s="238">
        <f t="shared" si="1"/>
        <v>0</v>
      </c>
      <c r="H11" s="239">
        <f t="shared" si="2"/>
        <v>5</v>
      </c>
      <c r="I11" s="237">
        <v>35</v>
      </c>
      <c r="J11" s="237">
        <v>15</v>
      </c>
      <c r="K11" s="240">
        <f>SUM(Table132[[#This Row],[Totals]:[Overuns]])</f>
        <v>50</v>
      </c>
    </row>
    <row r="12" spans="3:11" ht="15" customHeight="1" x14ac:dyDescent="0.3">
      <c r="C12" s="63" t="s">
        <v>313</v>
      </c>
      <c r="D12" s="237">
        <v>2760</v>
      </c>
      <c r="E12" s="237">
        <v>2760</v>
      </c>
      <c r="F12" s="111">
        <f t="shared" si="0"/>
        <v>1</v>
      </c>
      <c r="G12" s="238">
        <f t="shared" si="1"/>
        <v>0</v>
      </c>
      <c r="H12" s="239">
        <f t="shared" si="2"/>
        <v>5</v>
      </c>
      <c r="I12" s="237">
        <v>35</v>
      </c>
      <c r="J12" s="237">
        <v>20</v>
      </c>
      <c r="K12" s="240">
        <f>SUM(Table132[[#This Row],[Totals]:[Overuns]])</f>
        <v>55</v>
      </c>
    </row>
    <row r="13" spans="3:11" ht="15" customHeight="1" x14ac:dyDescent="0.3">
      <c r="C13" s="63" t="s">
        <v>314</v>
      </c>
      <c r="D13" s="237">
        <v>2760</v>
      </c>
      <c r="E13" s="237">
        <v>2700</v>
      </c>
      <c r="F13" s="111">
        <f t="shared" si="0"/>
        <v>1.0222222222222221</v>
      </c>
      <c r="G13" s="238">
        <f t="shared" si="1"/>
        <v>60</v>
      </c>
      <c r="H13" s="239">
        <f t="shared" si="2"/>
        <v>5</v>
      </c>
      <c r="I13" s="237">
        <v>35</v>
      </c>
      <c r="J13" s="237">
        <v>20</v>
      </c>
      <c r="K13" s="240">
        <f>SUM(Table132[[#This Row],[Totals]:[Overuns]])</f>
        <v>55</v>
      </c>
    </row>
    <row r="14" spans="3:11" ht="15" customHeight="1" x14ac:dyDescent="0.3">
      <c r="C14" s="63" t="s">
        <v>315</v>
      </c>
      <c r="D14" s="237">
        <v>2760</v>
      </c>
      <c r="E14" s="237">
        <v>2750</v>
      </c>
      <c r="F14" s="111">
        <f t="shared" si="0"/>
        <v>1.0036363636363637</v>
      </c>
      <c r="G14" s="238">
        <f t="shared" si="1"/>
        <v>10</v>
      </c>
      <c r="H14" s="239">
        <f t="shared" si="2"/>
        <v>5</v>
      </c>
      <c r="I14" s="237">
        <v>35</v>
      </c>
      <c r="J14" s="237">
        <v>20</v>
      </c>
      <c r="K14" s="240">
        <f>SUM(Table132[[#This Row],[Totals]:[Overuns]])</f>
        <v>55</v>
      </c>
    </row>
    <row r="15" spans="3:11" ht="15" customHeight="1" x14ac:dyDescent="0.3">
      <c r="C15" s="63" t="s">
        <v>316</v>
      </c>
      <c r="D15" s="237">
        <v>3000</v>
      </c>
      <c r="E15" s="237">
        <v>3005</v>
      </c>
      <c r="F15" s="111">
        <f t="shared" si="0"/>
        <v>0.99833610648918469</v>
      </c>
      <c r="G15" s="238">
        <f t="shared" si="1"/>
        <v>-5</v>
      </c>
      <c r="H15" s="239">
        <f t="shared" si="2"/>
        <v>5</v>
      </c>
      <c r="I15" s="237">
        <v>35</v>
      </c>
      <c r="J15" s="237">
        <v>15</v>
      </c>
      <c r="K15" s="240">
        <f>SUM(Table132[[#This Row],[Totals]:[Overuns]])</f>
        <v>50</v>
      </c>
    </row>
    <row r="16" spans="3:11" ht="15" customHeight="1" x14ac:dyDescent="0.3">
      <c r="C16" s="63" t="s">
        <v>317</v>
      </c>
      <c r="D16" s="237">
        <v>2970</v>
      </c>
      <c r="E16" s="237">
        <v>2970</v>
      </c>
      <c r="F16" s="111">
        <f t="shared" si="0"/>
        <v>1</v>
      </c>
      <c r="G16" s="238">
        <f t="shared" si="1"/>
        <v>0</v>
      </c>
      <c r="H16" s="239">
        <f t="shared" si="2"/>
        <v>5</v>
      </c>
      <c r="I16" s="237">
        <v>35</v>
      </c>
      <c r="J16" s="237">
        <v>22</v>
      </c>
      <c r="K16" s="240">
        <f>SUM(Table132[[#This Row],[Totals]:[Overuns]])</f>
        <v>57</v>
      </c>
    </row>
    <row r="17" spans="3:11" ht="15" customHeight="1" x14ac:dyDescent="0.3">
      <c r="C17" s="63" t="s">
        <v>318</v>
      </c>
      <c r="D17" s="237">
        <v>2760</v>
      </c>
      <c r="E17" s="237">
        <v>2760</v>
      </c>
      <c r="F17" s="111">
        <f t="shared" si="0"/>
        <v>1</v>
      </c>
      <c r="G17" s="238">
        <f>IF(ISBLANK(D17-E17),"",(D17-E17))</f>
        <v>0</v>
      </c>
      <c r="H17" s="239">
        <f t="shared" si="2"/>
        <v>5</v>
      </c>
      <c r="I17" s="237">
        <v>35</v>
      </c>
      <c r="J17" s="237">
        <v>15</v>
      </c>
      <c r="K17" s="237">
        <f>SUM(Table132[[#This Row],[Totals]:[Overuns]])</f>
        <v>50</v>
      </c>
    </row>
    <row r="18" spans="3:11" ht="15" customHeight="1" x14ac:dyDescent="0.3">
      <c r="C18" s="63" t="s">
        <v>319</v>
      </c>
      <c r="D18" s="237">
        <v>2760</v>
      </c>
      <c r="E18" s="237">
        <v>2760</v>
      </c>
      <c r="F18" s="111">
        <f t="shared" si="0"/>
        <v>1</v>
      </c>
      <c r="G18" s="238">
        <f>IF(ISBLANK(D18-E18),"",(D18-E18))</f>
        <v>0</v>
      </c>
      <c r="H18" s="239">
        <f t="shared" si="2"/>
        <v>5</v>
      </c>
      <c r="I18" s="237">
        <v>35</v>
      </c>
      <c r="J18" s="237">
        <v>16</v>
      </c>
      <c r="K18" s="237">
        <f>SUM(Table132[[#This Row],[Totals]:[Overuns]])</f>
        <v>51</v>
      </c>
    </row>
    <row r="19" spans="3:11" ht="15" customHeight="1" x14ac:dyDescent="0.3">
      <c r="C19" s="63" t="s">
        <v>320</v>
      </c>
      <c r="D19" s="237">
        <v>2400</v>
      </c>
      <c r="E19" s="237">
        <v>2350</v>
      </c>
      <c r="F19" s="111">
        <f t="shared" si="0"/>
        <v>1.0212765957446808</v>
      </c>
      <c r="G19" s="238">
        <f>IF(ISBLANK(D19-E19),"",(D19-E19))</f>
        <v>50</v>
      </c>
      <c r="H19" s="239">
        <f t="shared" si="2"/>
        <v>5</v>
      </c>
      <c r="I19" s="237">
        <v>35</v>
      </c>
      <c r="J19" s="237">
        <v>14</v>
      </c>
      <c r="K19" s="237">
        <f>SUM(Table132[[#This Row],[Totals]:[Overuns]])</f>
        <v>49</v>
      </c>
    </row>
    <row r="20" spans="3:11" ht="15" customHeight="1" x14ac:dyDescent="0.3">
      <c r="C20" s="63" t="s">
        <v>321</v>
      </c>
      <c r="D20" s="237">
        <v>2760</v>
      </c>
      <c r="E20" s="237">
        <v>2750</v>
      </c>
      <c r="F20" s="111">
        <f t="shared" si="0"/>
        <v>1.0036363636363637</v>
      </c>
      <c r="G20" s="238">
        <f t="shared" si="1"/>
        <v>10</v>
      </c>
      <c r="H20" s="239">
        <f t="shared" si="2"/>
        <v>5</v>
      </c>
      <c r="I20" s="237">
        <v>35</v>
      </c>
      <c r="J20" s="237">
        <v>14</v>
      </c>
      <c r="K20" s="240">
        <f>SUM(Table132[[#This Row],[Totals]:[Overuns]])</f>
        <v>49</v>
      </c>
    </row>
    <row r="21" spans="3:11" ht="15" x14ac:dyDescent="0.3">
      <c r="C21" s="108" t="s">
        <v>80</v>
      </c>
      <c r="D21" s="241">
        <f>SUBTOTAL(109,D6:D20)</f>
        <v>40770</v>
      </c>
      <c r="E21" s="241">
        <f>SUBTOTAL(109,E6:E20)</f>
        <v>40695</v>
      </c>
      <c r="F21" s="112">
        <f t="shared" si="0"/>
        <v>1.0018429782528566</v>
      </c>
      <c r="G21" s="242">
        <f>IF(ISBLANK(D21-E21),"",(D21-E21))</f>
        <v>75</v>
      </c>
      <c r="H21" s="241">
        <f>SUBTOTAL(109,H6:H20)</f>
        <v>75</v>
      </c>
      <c r="I21" s="241">
        <f>SUBTOTAL(109,I6:I20)</f>
        <v>525</v>
      </c>
      <c r="J21" s="241">
        <f>SUBTOTAL(109,J6:J20)</f>
        <v>250</v>
      </c>
      <c r="K21" s="241">
        <f>SUM(Table132[[#This Row],[Totals]:[Overuns]])</f>
        <v>775</v>
      </c>
    </row>
    <row r="22" spans="3:11" x14ac:dyDescent="0.3">
      <c r="C22" s="99"/>
      <c r="D22" s="100"/>
      <c r="E22" s="100"/>
      <c r="F22" s="100"/>
      <c r="G22" s="100"/>
      <c r="H22" s="100"/>
      <c r="I22" s="100"/>
      <c r="J22" s="100"/>
      <c r="K22" s="100"/>
    </row>
    <row r="23" spans="3:11" ht="18" x14ac:dyDescent="0.3">
      <c r="C23" s="460"/>
      <c r="D23" s="460"/>
      <c r="E23" s="460"/>
      <c r="F23" s="460"/>
      <c r="G23" s="460"/>
      <c r="H23" s="460"/>
      <c r="I23" s="460"/>
      <c r="J23" s="460"/>
      <c r="K23" s="460"/>
    </row>
    <row r="24" spans="3:11" ht="15.6" x14ac:dyDescent="0.3">
      <c r="C24" s="102"/>
      <c r="D24" s="101"/>
      <c r="E24" s="101"/>
      <c r="F24" s="101"/>
      <c r="G24" s="101"/>
      <c r="H24" s="101"/>
      <c r="I24" s="101"/>
      <c r="J24" s="101"/>
      <c r="K24" s="102"/>
    </row>
    <row r="25" spans="3:11" ht="15.6" x14ac:dyDescent="0.3">
      <c r="C25" s="102"/>
      <c r="D25" s="101"/>
      <c r="E25" s="101"/>
      <c r="F25" s="101"/>
      <c r="G25" s="101"/>
      <c r="H25" s="101"/>
      <c r="I25" s="101"/>
      <c r="J25" s="101"/>
      <c r="K25" s="102"/>
    </row>
    <row r="26" spans="3:11" ht="15.6" x14ac:dyDescent="0.3">
      <c r="C26" s="102"/>
      <c r="D26" s="101"/>
      <c r="E26" s="101"/>
      <c r="F26" s="101"/>
      <c r="G26" s="101"/>
      <c r="H26" s="101"/>
      <c r="I26" s="101"/>
      <c r="J26" s="101"/>
      <c r="K26" s="102"/>
    </row>
    <row r="27" spans="3:11" ht="15.6" x14ac:dyDescent="0.3">
      <c r="C27" s="102"/>
      <c r="D27" s="101"/>
      <c r="E27" s="101"/>
      <c r="F27" s="101"/>
      <c r="G27" s="101"/>
      <c r="H27" s="101"/>
      <c r="I27" s="101"/>
      <c r="J27" s="101"/>
      <c r="K27" s="102"/>
    </row>
    <row r="28" spans="3:11" ht="15.6" x14ac:dyDescent="0.3">
      <c r="C28" s="102"/>
      <c r="D28" s="101"/>
      <c r="E28" s="101"/>
      <c r="F28" s="101"/>
      <c r="G28" s="101"/>
      <c r="H28" s="101"/>
      <c r="I28" s="101"/>
      <c r="J28" s="101"/>
      <c r="K28" s="102"/>
    </row>
    <row r="29" spans="3:11" ht="15.6" x14ac:dyDescent="0.3">
      <c r="C29" s="102"/>
      <c r="D29" s="101"/>
      <c r="E29" s="101"/>
      <c r="F29" s="101"/>
      <c r="G29" s="101"/>
      <c r="H29" s="101"/>
      <c r="I29" s="101"/>
      <c r="J29" s="101"/>
      <c r="K29" s="102"/>
    </row>
    <row r="30" spans="3:11" ht="15.6" x14ac:dyDescent="0.3">
      <c r="C30" s="102"/>
      <c r="D30" s="101"/>
      <c r="E30" s="101"/>
      <c r="F30" s="101"/>
      <c r="G30" s="101"/>
      <c r="H30" s="101"/>
      <c r="I30" s="101"/>
      <c r="J30" s="101"/>
      <c r="K30" s="102"/>
    </row>
    <row r="31" spans="3:11" ht="15.6" x14ac:dyDescent="0.3">
      <c r="C31" s="102"/>
      <c r="D31" s="101"/>
      <c r="E31" s="101"/>
      <c r="F31" s="101"/>
      <c r="G31" s="101"/>
      <c r="H31" s="101"/>
      <c r="I31" s="101"/>
      <c r="J31" s="101"/>
      <c r="K31" s="102"/>
    </row>
    <row r="32" spans="3:11" ht="15.6" x14ac:dyDescent="0.3">
      <c r="C32" s="102"/>
      <c r="D32" s="101"/>
      <c r="E32" s="101"/>
      <c r="F32" s="101"/>
      <c r="G32" s="101"/>
      <c r="H32" s="101"/>
      <c r="I32" s="101"/>
      <c r="J32" s="101"/>
      <c r="K32" s="102"/>
    </row>
    <row r="33" spans="3:11" ht="15.6" x14ac:dyDescent="0.3">
      <c r="C33" s="102"/>
      <c r="D33" s="101"/>
      <c r="E33" s="101"/>
      <c r="F33" s="101"/>
      <c r="G33" s="101"/>
      <c r="H33" s="101"/>
      <c r="I33" s="101"/>
      <c r="J33" s="101"/>
      <c r="K33" s="102"/>
    </row>
    <row r="34" spans="3:11" ht="15.6" x14ac:dyDescent="0.3">
      <c r="C34" s="102"/>
      <c r="D34" s="101"/>
      <c r="E34" s="101"/>
      <c r="F34" s="101"/>
      <c r="G34" s="101"/>
      <c r="H34" s="101"/>
      <c r="I34" s="101"/>
      <c r="J34" s="101"/>
      <c r="K34" s="102"/>
    </row>
    <row r="35" spans="3:11" ht="15.6" x14ac:dyDescent="0.3">
      <c r="C35" s="102"/>
      <c r="D35" s="101"/>
      <c r="E35" s="101"/>
      <c r="F35" s="101"/>
      <c r="G35" s="101"/>
      <c r="H35" s="101"/>
      <c r="I35" s="101"/>
      <c r="J35" s="101"/>
      <c r="K35" s="102"/>
    </row>
    <row r="36" spans="3:11" ht="15.6" x14ac:dyDescent="0.3">
      <c r="C36" s="102"/>
      <c r="D36" s="101"/>
      <c r="E36" s="101"/>
      <c r="F36" s="101"/>
      <c r="G36" s="101"/>
      <c r="H36" s="101"/>
      <c r="I36" s="101"/>
      <c r="J36" s="101"/>
      <c r="K36" s="102"/>
    </row>
    <row r="37" spans="3:11" ht="15.6" x14ac:dyDescent="0.3">
      <c r="C37" s="102"/>
      <c r="D37" s="101"/>
      <c r="E37" s="101"/>
      <c r="F37" s="101"/>
      <c r="G37" s="101"/>
      <c r="H37" s="101"/>
      <c r="I37" s="101"/>
      <c r="J37" s="101"/>
      <c r="K37" s="102"/>
    </row>
    <row r="38" spans="3:11" ht="15.6" x14ac:dyDescent="0.3">
      <c r="C38" s="102"/>
      <c r="D38" s="101"/>
      <c r="E38" s="101"/>
      <c r="F38" s="101"/>
      <c r="G38" s="101"/>
      <c r="H38" s="101"/>
      <c r="I38" s="101"/>
      <c r="J38" s="101"/>
      <c r="K38" s="102"/>
    </row>
    <row r="39" spans="3:11" ht="15.6" x14ac:dyDescent="0.3">
      <c r="C39" s="102"/>
      <c r="D39" s="101"/>
      <c r="E39" s="101"/>
      <c r="F39" s="101"/>
      <c r="G39" s="101"/>
      <c r="H39" s="101"/>
      <c r="I39" s="101"/>
      <c r="J39" s="101"/>
      <c r="K39" s="102"/>
    </row>
    <row r="40" spans="3:11" ht="15.6" x14ac:dyDescent="0.3">
      <c r="C40" s="102"/>
      <c r="D40" s="101"/>
      <c r="E40" s="101"/>
      <c r="F40" s="101"/>
      <c r="G40" s="101"/>
      <c r="H40" s="101"/>
      <c r="I40" s="101"/>
      <c r="J40" s="101"/>
      <c r="K40" s="102"/>
    </row>
    <row r="41" spans="3:11" ht="15.6" x14ac:dyDescent="0.3">
      <c r="C41" s="102"/>
      <c r="D41" s="101"/>
      <c r="E41" s="101"/>
      <c r="F41" s="101"/>
      <c r="G41" s="101"/>
      <c r="H41" s="101"/>
      <c r="I41" s="101"/>
      <c r="J41" s="101"/>
      <c r="K41" s="102"/>
    </row>
    <row r="42" spans="3:11" ht="15.6" x14ac:dyDescent="0.3">
      <c r="C42" s="102"/>
      <c r="D42" s="101"/>
      <c r="E42" s="101"/>
      <c r="F42" s="101"/>
      <c r="G42" s="101"/>
      <c r="H42" s="101"/>
      <c r="I42" s="101"/>
      <c r="J42" s="101"/>
      <c r="K42" s="102"/>
    </row>
    <row r="43" spans="3:11" ht="15.6" x14ac:dyDescent="0.3">
      <c r="C43" s="102"/>
      <c r="D43" s="101"/>
      <c r="E43" s="101"/>
      <c r="F43" s="101"/>
      <c r="G43" s="101"/>
      <c r="H43" s="101"/>
      <c r="I43" s="101"/>
      <c r="J43" s="101"/>
      <c r="K43" s="102"/>
    </row>
    <row r="44" spans="3:11" ht="15.6" x14ac:dyDescent="0.3">
      <c r="C44" s="102"/>
      <c r="D44" s="101"/>
      <c r="E44" s="101"/>
      <c r="F44" s="101"/>
      <c r="G44" s="101"/>
      <c r="H44" s="101"/>
      <c r="I44" s="101"/>
      <c r="J44" s="101"/>
      <c r="K44" s="102"/>
    </row>
    <row r="45" spans="3:11" ht="15.6" x14ac:dyDescent="0.3">
      <c r="C45" s="102"/>
      <c r="D45" s="102"/>
      <c r="E45" s="102"/>
      <c r="F45" s="102"/>
      <c r="G45" s="102"/>
      <c r="H45" s="102"/>
      <c r="I45" s="102"/>
      <c r="J45" s="102"/>
      <c r="K45" s="102"/>
    </row>
    <row r="46" spans="3:11" x14ac:dyDescent="0.3">
      <c r="D46" s="13"/>
      <c r="E46" s="13"/>
      <c r="F46" s="13"/>
      <c r="G46" s="13"/>
      <c r="H46" s="13"/>
      <c r="I46" s="13"/>
      <c r="J46" s="13"/>
    </row>
  </sheetData>
  <mergeCells count="6">
    <mergeCell ref="E2:G2"/>
    <mergeCell ref="C23:K23"/>
    <mergeCell ref="C2:D2"/>
    <mergeCell ref="D4:E4"/>
    <mergeCell ref="G4:H4"/>
    <mergeCell ref="I4:J4"/>
  </mergeCells>
  <phoneticPr fontId="7" type="noConversion"/>
  <pageMargins left="0.7" right="0.7" top="0.75" bottom="0.75" header="0.3" footer="0.3"/>
  <drawing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F52B9-B943-4C2F-92C2-C94BC028D3B5}">
  <sheetPr codeName="Sheet8"/>
  <dimension ref="B2:P44"/>
  <sheetViews>
    <sheetView showGridLines="0" workbookViewId="0">
      <selection activeCell="E85" sqref="E85"/>
    </sheetView>
  </sheetViews>
  <sheetFormatPr defaultRowHeight="14.4" x14ac:dyDescent="0.3"/>
  <cols>
    <col min="1" max="1" width="1.44140625" customWidth="1"/>
    <col min="2" max="2" width="23.77734375" customWidth="1"/>
    <col min="3" max="3" width="13.5546875" customWidth="1"/>
    <col min="4" max="4" width="15.44140625" customWidth="1"/>
    <col min="5" max="5" width="15.33203125" customWidth="1"/>
    <col min="6" max="6" width="14.109375" customWidth="1"/>
    <col min="7" max="7" width="14" customWidth="1"/>
    <col min="8" max="8" width="16" customWidth="1"/>
    <col min="9" max="9" width="15.21875" customWidth="1"/>
    <col min="10" max="10" width="13.44140625" customWidth="1"/>
    <col min="11" max="11" width="13" customWidth="1"/>
    <col min="12" max="12" width="12.77734375" customWidth="1"/>
    <col min="13" max="13" width="11.88671875" customWidth="1"/>
    <col min="14" max="14" width="12.21875" customWidth="1"/>
    <col min="15" max="15" width="12.44140625" customWidth="1"/>
    <col min="16" max="16" width="14.21875" customWidth="1"/>
  </cols>
  <sheetData>
    <row r="2" spans="2:15" x14ac:dyDescent="0.3">
      <c r="B2" s="113" t="s">
        <v>242</v>
      </c>
      <c r="C2" s="114" t="s">
        <v>243</v>
      </c>
      <c r="D2" s="115"/>
      <c r="E2" s="115" t="s">
        <v>244</v>
      </c>
      <c r="F2" s="115"/>
      <c r="G2" s="116"/>
    </row>
    <row r="4" spans="2:15" x14ac:dyDescent="0.3">
      <c r="B4" s="66" t="s">
        <v>71</v>
      </c>
      <c r="C4" s="67" t="s">
        <v>32</v>
      </c>
      <c r="D4" s="67" t="s">
        <v>33</v>
      </c>
      <c r="E4" s="67" t="s">
        <v>34</v>
      </c>
      <c r="F4" s="67" t="s">
        <v>35</v>
      </c>
      <c r="G4" s="67" t="s">
        <v>36</v>
      </c>
      <c r="H4" s="67" t="s">
        <v>37</v>
      </c>
      <c r="I4" s="67" t="s">
        <v>38</v>
      </c>
      <c r="J4" s="67" t="s">
        <v>39</v>
      </c>
      <c r="K4" s="67" t="s">
        <v>40</v>
      </c>
      <c r="L4" s="67" t="s">
        <v>41</v>
      </c>
      <c r="M4" s="67">
        <v>3500</v>
      </c>
      <c r="N4" s="67" t="s">
        <v>43</v>
      </c>
      <c r="O4" s="67" t="s">
        <v>80</v>
      </c>
    </row>
    <row r="5" spans="2:15" x14ac:dyDescent="0.3">
      <c r="B5" s="68" t="s">
        <v>100</v>
      </c>
      <c r="C5" s="248">
        <v>3500</v>
      </c>
      <c r="D5" s="248">
        <v>4000</v>
      </c>
      <c r="E5" s="248">
        <v>4500</v>
      </c>
      <c r="F5" s="248">
        <v>5500</v>
      </c>
      <c r="G5" s="248">
        <v>6500</v>
      </c>
      <c r="H5" s="248">
        <v>7500</v>
      </c>
      <c r="I5" s="248">
        <v>8500</v>
      </c>
      <c r="J5" s="248">
        <v>11000</v>
      </c>
      <c r="K5" s="248">
        <v>9500</v>
      </c>
      <c r="L5" s="248">
        <v>9600</v>
      </c>
      <c r="M5" s="248">
        <v>9700</v>
      </c>
      <c r="N5" s="248">
        <v>9900</v>
      </c>
      <c r="O5" s="249">
        <f>SUM(C5:N5)</f>
        <v>89700</v>
      </c>
    </row>
    <row r="6" spans="2:15" x14ac:dyDescent="0.3">
      <c r="B6" s="69" t="s">
        <v>345</v>
      </c>
      <c r="C6" s="248">
        <v>4400</v>
      </c>
      <c r="D6" s="248">
        <v>3800</v>
      </c>
      <c r="E6" s="248">
        <v>4500</v>
      </c>
      <c r="F6" s="248">
        <v>5500</v>
      </c>
      <c r="G6" s="248">
        <v>6000</v>
      </c>
      <c r="H6" s="248">
        <v>8500</v>
      </c>
      <c r="I6" s="248">
        <v>9500</v>
      </c>
      <c r="J6" s="248"/>
      <c r="K6" s="248"/>
      <c r="L6" s="248"/>
      <c r="M6" s="248"/>
      <c r="N6" s="248"/>
      <c r="O6" s="249">
        <f t="shared" ref="O6:O11" si="0">SUM(C6:N6)</f>
        <v>42200</v>
      </c>
    </row>
    <row r="7" spans="2:15" x14ac:dyDescent="0.3">
      <c r="B7" s="70" t="s">
        <v>346</v>
      </c>
      <c r="C7" s="248">
        <v>3100</v>
      </c>
      <c r="D7" s="248">
        <v>4150</v>
      </c>
      <c r="E7" s="248">
        <v>4700</v>
      </c>
      <c r="F7" s="248">
        <v>5600</v>
      </c>
      <c r="G7" s="248">
        <v>6900</v>
      </c>
      <c r="H7" s="248">
        <v>7700</v>
      </c>
      <c r="I7" s="248">
        <v>8600</v>
      </c>
      <c r="J7" s="248"/>
      <c r="K7" s="248"/>
      <c r="L7" s="248"/>
      <c r="M7" s="248"/>
      <c r="N7" s="248"/>
      <c r="O7" s="249">
        <f t="shared" si="0"/>
        <v>40750</v>
      </c>
    </row>
    <row r="8" spans="2:15" x14ac:dyDescent="0.3">
      <c r="B8" s="71" t="s">
        <v>347</v>
      </c>
      <c r="C8" s="248">
        <v>6000</v>
      </c>
      <c r="D8" s="248">
        <v>6500</v>
      </c>
      <c r="E8" s="248">
        <v>6700</v>
      </c>
      <c r="F8" s="248">
        <v>6900</v>
      </c>
      <c r="G8" s="248">
        <v>7200</v>
      </c>
      <c r="H8" s="248">
        <v>7800</v>
      </c>
      <c r="I8" s="248">
        <v>8900</v>
      </c>
      <c r="J8" s="248"/>
      <c r="K8" s="248"/>
      <c r="L8" s="248"/>
      <c r="M8" s="248"/>
      <c r="N8" s="248"/>
      <c r="O8" s="249">
        <f t="shared" si="0"/>
        <v>50000</v>
      </c>
    </row>
    <row r="9" spans="2:15" x14ac:dyDescent="0.3">
      <c r="B9" s="72" t="s">
        <v>348</v>
      </c>
      <c r="C9" s="248">
        <v>5700</v>
      </c>
      <c r="D9" s="248">
        <v>6250</v>
      </c>
      <c r="E9" s="248">
        <v>6400</v>
      </c>
      <c r="F9" s="248">
        <v>6500</v>
      </c>
      <c r="G9" s="248">
        <v>7000</v>
      </c>
      <c r="H9" s="248">
        <v>7550</v>
      </c>
      <c r="I9" s="248">
        <v>8600</v>
      </c>
      <c r="J9" s="248"/>
      <c r="K9" s="248"/>
      <c r="L9" s="248"/>
      <c r="M9" s="248"/>
      <c r="N9" s="248"/>
      <c r="O9" s="249">
        <f t="shared" si="0"/>
        <v>48000</v>
      </c>
    </row>
    <row r="10" spans="2:15" x14ac:dyDescent="0.3">
      <c r="B10" s="73" t="s">
        <v>349</v>
      </c>
      <c r="C10" s="248">
        <v>2700</v>
      </c>
      <c r="D10" s="248">
        <v>3100</v>
      </c>
      <c r="E10" s="248">
        <v>3500</v>
      </c>
      <c r="F10" s="248">
        <v>4300</v>
      </c>
      <c r="G10" s="248">
        <v>5100</v>
      </c>
      <c r="H10" s="248">
        <v>6500</v>
      </c>
      <c r="I10" s="248">
        <v>7500</v>
      </c>
      <c r="J10" s="248"/>
      <c r="K10" s="248"/>
      <c r="L10" s="248"/>
      <c r="M10" s="248"/>
      <c r="N10" s="248"/>
      <c r="O10" s="249">
        <f t="shared" si="0"/>
        <v>32700</v>
      </c>
    </row>
    <row r="11" spans="2:15" x14ac:dyDescent="0.3">
      <c r="B11" s="74" t="s">
        <v>350</v>
      </c>
      <c r="C11" s="248">
        <v>3600</v>
      </c>
      <c r="D11" s="248">
        <v>3950</v>
      </c>
      <c r="E11" s="248">
        <v>4100</v>
      </c>
      <c r="F11" s="248">
        <v>5500</v>
      </c>
      <c r="G11" s="248">
        <v>7100</v>
      </c>
      <c r="H11" s="248">
        <v>7450</v>
      </c>
      <c r="I11" s="248">
        <v>8800</v>
      </c>
      <c r="J11" s="248"/>
      <c r="K11" s="248"/>
      <c r="L11" s="248"/>
      <c r="M11" s="248"/>
      <c r="N11" s="248"/>
      <c r="O11" s="249">
        <f t="shared" si="0"/>
        <v>40500</v>
      </c>
    </row>
    <row r="32" spans="2:16" ht="37.799999999999997" customHeight="1" x14ac:dyDescent="0.3">
      <c r="B32" s="464" t="s">
        <v>228</v>
      </c>
      <c r="C32" s="466"/>
      <c r="D32" s="464" t="s">
        <v>82</v>
      </c>
      <c r="E32" s="465"/>
      <c r="F32" s="466"/>
      <c r="G32" s="464" t="s">
        <v>83</v>
      </c>
      <c r="H32" s="466"/>
      <c r="I32" s="464" t="s">
        <v>84</v>
      </c>
      <c r="J32" s="465"/>
      <c r="K32" s="466"/>
      <c r="L32" s="464" t="s">
        <v>85</v>
      </c>
      <c r="M32" s="466"/>
      <c r="N32" s="464" t="s">
        <v>86</v>
      </c>
      <c r="O32" s="465"/>
      <c r="P32" s="466"/>
    </row>
    <row r="33" spans="2:16" ht="25.2" x14ac:dyDescent="0.3">
      <c r="B33" s="52" t="s">
        <v>87</v>
      </c>
      <c r="C33" s="52" t="s">
        <v>88</v>
      </c>
      <c r="D33" s="53" t="s">
        <v>89</v>
      </c>
      <c r="E33" s="54" t="s">
        <v>90</v>
      </c>
      <c r="F33" s="52" t="s">
        <v>91</v>
      </c>
      <c r="G33" s="52" t="s">
        <v>92</v>
      </c>
      <c r="H33" s="52" t="s">
        <v>93</v>
      </c>
      <c r="I33" s="53" t="s">
        <v>89</v>
      </c>
      <c r="J33" s="54" t="s">
        <v>90</v>
      </c>
      <c r="K33" s="52" t="s">
        <v>91</v>
      </c>
      <c r="L33" s="55" t="s">
        <v>94</v>
      </c>
      <c r="M33" s="56" t="s">
        <v>95</v>
      </c>
      <c r="N33" s="57" t="s">
        <v>96</v>
      </c>
      <c r="O33" s="58" t="s">
        <v>97</v>
      </c>
      <c r="P33" s="59" t="s">
        <v>98</v>
      </c>
    </row>
    <row r="34" spans="2:16" x14ac:dyDescent="0.3">
      <c r="B34" s="60">
        <v>1</v>
      </c>
      <c r="C34" s="60" t="s">
        <v>307</v>
      </c>
      <c r="D34" s="243">
        <v>15860</v>
      </c>
      <c r="E34" s="243">
        <v>15650</v>
      </c>
      <c r="F34" s="243">
        <f t="shared" ref="F34:F43" si="1">(D34-E34)</f>
        <v>210</v>
      </c>
      <c r="G34" s="244">
        <v>9283</v>
      </c>
      <c r="H34" s="244">
        <f t="shared" ref="H34:H43" si="2">G34+E34</f>
        <v>24933</v>
      </c>
      <c r="I34" s="243">
        <v>35916</v>
      </c>
      <c r="J34" s="243">
        <v>37957</v>
      </c>
      <c r="K34" s="243">
        <f t="shared" ref="K34:K43" si="3">J34-I34</f>
        <v>2041</v>
      </c>
      <c r="L34" s="61">
        <f t="shared" ref="L34:L43" si="4">(J34-E34)/J34</f>
        <v>0.58769133493163317</v>
      </c>
      <c r="M34" s="61">
        <f t="shared" ref="M34:M43" si="5">(J34-H34)/J34</f>
        <v>0.34312511526200701</v>
      </c>
      <c r="N34" s="62" t="s">
        <v>33</v>
      </c>
      <c r="O34" s="244">
        <v>3613439</v>
      </c>
      <c r="P34" s="244">
        <v>3293202</v>
      </c>
    </row>
    <row r="35" spans="2:16" x14ac:dyDescent="0.3">
      <c r="B35" s="63">
        <v>2</v>
      </c>
      <c r="C35" s="60" t="s">
        <v>308</v>
      </c>
      <c r="D35" s="245">
        <v>13760</v>
      </c>
      <c r="E35" s="245">
        <v>13018</v>
      </c>
      <c r="F35" s="245">
        <f t="shared" si="1"/>
        <v>742</v>
      </c>
      <c r="G35" s="246">
        <v>6598</v>
      </c>
      <c r="H35" s="246">
        <f t="shared" si="2"/>
        <v>19616</v>
      </c>
      <c r="I35" s="245">
        <v>15534</v>
      </c>
      <c r="J35" s="245">
        <v>15900</v>
      </c>
      <c r="K35" s="245">
        <f t="shared" si="3"/>
        <v>366</v>
      </c>
      <c r="L35" s="64">
        <f t="shared" si="4"/>
        <v>0.18125786163522012</v>
      </c>
      <c r="M35" s="64">
        <f t="shared" si="5"/>
        <v>-0.23371069182389936</v>
      </c>
      <c r="N35" s="62" t="s">
        <v>34</v>
      </c>
      <c r="O35" s="246">
        <v>3508776</v>
      </c>
      <c r="P35" s="246">
        <v>3441854</v>
      </c>
    </row>
    <row r="36" spans="2:16" x14ac:dyDescent="0.3">
      <c r="B36" s="60">
        <v>3</v>
      </c>
      <c r="C36" s="60" t="s">
        <v>309</v>
      </c>
      <c r="D36" s="243">
        <v>14940</v>
      </c>
      <c r="E36" s="243">
        <v>13259</v>
      </c>
      <c r="F36" s="243">
        <f t="shared" si="1"/>
        <v>1681</v>
      </c>
      <c r="G36" s="244">
        <v>7527</v>
      </c>
      <c r="H36" s="244">
        <f t="shared" si="2"/>
        <v>20786</v>
      </c>
      <c r="I36" s="243">
        <v>20719</v>
      </c>
      <c r="J36" s="243">
        <v>22784</v>
      </c>
      <c r="K36" s="243">
        <f t="shared" si="3"/>
        <v>2065</v>
      </c>
      <c r="L36" s="61">
        <f t="shared" si="4"/>
        <v>0.4180565308988764</v>
      </c>
      <c r="M36" s="61">
        <f t="shared" si="5"/>
        <v>8.7693117977528087E-2</v>
      </c>
      <c r="N36" s="62" t="s">
        <v>35</v>
      </c>
      <c r="O36" s="244">
        <v>3719457</v>
      </c>
      <c r="P36" s="244">
        <v>3531844</v>
      </c>
    </row>
    <row r="37" spans="2:16" x14ac:dyDescent="0.3">
      <c r="B37" s="63">
        <v>4</v>
      </c>
      <c r="C37" s="60" t="s">
        <v>310</v>
      </c>
      <c r="D37" s="245">
        <v>12653</v>
      </c>
      <c r="E37" s="245">
        <v>11368</v>
      </c>
      <c r="F37" s="245">
        <f t="shared" si="1"/>
        <v>1285</v>
      </c>
      <c r="G37" s="246">
        <v>9592</v>
      </c>
      <c r="H37" s="246">
        <f t="shared" si="2"/>
        <v>20960</v>
      </c>
      <c r="I37" s="245">
        <v>20242</v>
      </c>
      <c r="J37" s="245">
        <v>26000</v>
      </c>
      <c r="K37" s="245">
        <f t="shared" si="3"/>
        <v>5758</v>
      </c>
      <c r="L37" s="64">
        <f t="shared" si="4"/>
        <v>0.5627692307692308</v>
      </c>
      <c r="M37" s="64">
        <f t="shared" si="5"/>
        <v>0.19384615384615383</v>
      </c>
      <c r="N37" s="62" t="s">
        <v>36</v>
      </c>
      <c r="O37" s="246">
        <v>3310212</v>
      </c>
      <c r="P37" s="246">
        <v>3354051</v>
      </c>
    </row>
    <row r="38" spans="2:16" x14ac:dyDescent="0.3">
      <c r="B38" s="60">
        <v>5</v>
      </c>
      <c r="C38" s="60" t="s">
        <v>311</v>
      </c>
      <c r="D38" s="243">
        <v>9478</v>
      </c>
      <c r="E38" s="243">
        <v>9003</v>
      </c>
      <c r="F38" s="243">
        <f t="shared" si="1"/>
        <v>475</v>
      </c>
      <c r="G38" s="244">
        <v>8392</v>
      </c>
      <c r="H38" s="244">
        <f t="shared" si="2"/>
        <v>17395</v>
      </c>
      <c r="I38" s="243">
        <v>15177</v>
      </c>
      <c r="J38" s="243">
        <v>17581</v>
      </c>
      <c r="K38" s="243">
        <f t="shared" si="3"/>
        <v>2404</v>
      </c>
      <c r="L38" s="61">
        <f t="shared" si="4"/>
        <v>0.48791308799271943</v>
      </c>
      <c r="M38" s="61">
        <f t="shared" si="5"/>
        <v>1.0579602980490302E-2</v>
      </c>
      <c r="N38" s="62" t="s">
        <v>37</v>
      </c>
      <c r="O38" s="244">
        <v>3945202</v>
      </c>
      <c r="P38" s="244">
        <v>3476155</v>
      </c>
    </row>
    <row r="39" spans="2:16" x14ac:dyDescent="0.3">
      <c r="B39" s="63">
        <v>6</v>
      </c>
      <c r="C39" s="60" t="s">
        <v>312</v>
      </c>
      <c r="D39" s="245">
        <v>11600</v>
      </c>
      <c r="E39" s="245">
        <v>10900</v>
      </c>
      <c r="F39" s="245">
        <f t="shared" si="1"/>
        <v>700</v>
      </c>
      <c r="G39" s="246">
        <v>6490</v>
      </c>
      <c r="H39" s="246">
        <f t="shared" si="2"/>
        <v>17390</v>
      </c>
      <c r="I39" s="245">
        <v>11263</v>
      </c>
      <c r="J39" s="245">
        <v>15766</v>
      </c>
      <c r="K39" s="245">
        <f t="shared" si="3"/>
        <v>4503</v>
      </c>
      <c r="L39" s="64">
        <f t="shared" si="4"/>
        <v>0.30863884308004569</v>
      </c>
      <c r="M39" s="64">
        <f t="shared" si="5"/>
        <v>-0.10300646961816567</v>
      </c>
      <c r="N39" s="62" t="s">
        <v>38</v>
      </c>
      <c r="O39" s="246">
        <v>3938152</v>
      </c>
      <c r="P39" s="246">
        <v>3538468</v>
      </c>
    </row>
    <row r="40" spans="2:16" x14ac:dyDescent="0.3">
      <c r="B40" s="60">
        <v>7</v>
      </c>
      <c r="C40" s="60" t="s">
        <v>313</v>
      </c>
      <c r="D40" s="243">
        <v>13785</v>
      </c>
      <c r="E40" s="243">
        <v>12550</v>
      </c>
      <c r="F40" s="243">
        <f t="shared" si="1"/>
        <v>1235</v>
      </c>
      <c r="G40" s="244">
        <v>6582</v>
      </c>
      <c r="H40" s="244">
        <f t="shared" si="2"/>
        <v>19132</v>
      </c>
      <c r="I40" s="243">
        <v>18852</v>
      </c>
      <c r="J40" s="243">
        <v>20375</v>
      </c>
      <c r="K40" s="243">
        <f t="shared" si="3"/>
        <v>1523</v>
      </c>
      <c r="L40" s="61">
        <f t="shared" si="4"/>
        <v>0.38404907975460123</v>
      </c>
      <c r="M40" s="61">
        <f t="shared" si="5"/>
        <v>6.1006134969325151E-2</v>
      </c>
      <c r="N40" s="62" t="s">
        <v>39</v>
      </c>
      <c r="O40" s="244">
        <v>3733706</v>
      </c>
      <c r="P40" s="244">
        <v>3727037</v>
      </c>
    </row>
    <row r="41" spans="2:16" x14ac:dyDescent="0.3">
      <c r="B41" s="63">
        <v>8</v>
      </c>
      <c r="C41" s="60" t="s">
        <v>314</v>
      </c>
      <c r="D41" s="245">
        <v>28283</v>
      </c>
      <c r="E41" s="245">
        <v>26300</v>
      </c>
      <c r="F41" s="245">
        <f t="shared" si="1"/>
        <v>1983</v>
      </c>
      <c r="G41" s="246">
        <v>7606</v>
      </c>
      <c r="H41" s="246">
        <f t="shared" si="2"/>
        <v>33906</v>
      </c>
      <c r="I41" s="245">
        <v>38380</v>
      </c>
      <c r="J41" s="245">
        <v>39983</v>
      </c>
      <c r="K41" s="245">
        <f t="shared" si="3"/>
        <v>1603</v>
      </c>
      <c r="L41" s="64">
        <f t="shared" si="4"/>
        <v>0.34222044368856763</v>
      </c>
      <c r="M41" s="64">
        <f t="shared" si="5"/>
        <v>0.1519895955781207</v>
      </c>
      <c r="N41" s="62" t="s">
        <v>40</v>
      </c>
      <c r="O41" s="246">
        <v>3526698</v>
      </c>
      <c r="P41" s="246">
        <v>3425405</v>
      </c>
    </row>
    <row r="42" spans="2:16" x14ac:dyDescent="0.3">
      <c r="B42" s="60">
        <v>9</v>
      </c>
      <c r="C42" s="60" t="s">
        <v>315</v>
      </c>
      <c r="D42" s="243">
        <v>15438</v>
      </c>
      <c r="E42" s="243">
        <v>14400</v>
      </c>
      <c r="F42" s="243">
        <f t="shared" si="1"/>
        <v>1038</v>
      </c>
      <c r="G42" s="244">
        <v>5667</v>
      </c>
      <c r="H42" s="244">
        <f t="shared" si="2"/>
        <v>20067</v>
      </c>
      <c r="I42" s="243">
        <v>9731</v>
      </c>
      <c r="J42" s="243">
        <v>14240</v>
      </c>
      <c r="K42" s="243">
        <f t="shared" si="3"/>
        <v>4509</v>
      </c>
      <c r="L42" s="61">
        <f t="shared" si="4"/>
        <v>-1.1235955056179775E-2</v>
      </c>
      <c r="M42" s="61">
        <f t="shared" si="5"/>
        <v>-0.40919943820224719</v>
      </c>
      <c r="N42" s="62" t="s">
        <v>41</v>
      </c>
      <c r="O42" s="244">
        <v>3632971</v>
      </c>
      <c r="P42" s="244">
        <v>3734041</v>
      </c>
    </row>
    <row r="43" spans="2:16" x14ac:dyDescent="0.3">
      <c r="B43" s="63">
        <v>10</v>
      </c>
      <c r="C43" s="60" t="s">
        <v>316</v>
      </c>
      <c r="D43" s="245">
        <v>9755</v>
      </c>
      <c r="E43" s="245">
        <v>9187</v>
      </c>
      <c r="F43" s="245">
        <f t="shared" si="1"/>
        <v>568</v>
      </c>
      <c r="G43" s="246">
        <v>6347</v>
      </c>
      <c r="H43" s="246">
        <f t="shared" si="2"/>
        <v>15534</v>
      </c>
      <c r="I43" s="245">
        <v>9410</v>
      </c>
      <c r="J43" s="245">
        <v>12610</v>
      </c>
      <c r="K43" s="245">
        <f t="shared" si="3"/>
        <v>3200</v>
      </c>
      <c r="L43" s="64">
        <f t="shared" si="4"/>
        <v>0.27145122918318793</v>
      </c>
      <c r="M43" s="64">
        <f t="shared" si="5"/>
        <v>-0.23187946074544014</v>
      </c>
      <c r="N43" s="62" t="s">
        <v>42</v>
      </c>
      <c r="O43" s="246">
        <v>3206487</v>
      </c>
      <c r="P43" s="246">
        <v>3677074</v>
      </c>
    </row>
    <row r="44" spans="2:16" ht="25.2" customHeight="1" x14ac:dyDescent="0.3">
      <c r="B44" s="51"/>
      <c r="C44" s="51"/>
      <c r="D44" s="247">
        <f t="shared" ref="D44:K44" si="6">SUM(D34:D43)</f>
        <v>145552</v>
      </c>
      <c r="E44" s="247">
        <f t="shared" si="6"/>
        <v>135635</v>
      </c>
      <c r="F44" s="247">
        <f t="shared" si="6"/>
        <v>9917</v>
      </c>
      <c r="G44" s="247">
        <f t="shared" si="6"/>
        <v>74084</v>
      </c>
      <c r="H44" s="247">
        <f t="shared" si="6"/>
        <v>209719</v>
      </c>
      <c r="I44" s="247">
        <f t="shared" si="6"/>
        <v>195224</v>
      </c>
      <c r="J44" s="247">
        <f t="shared" si="6"/>
        <v>223196</v>
      </c>
      <c r="K44" s="247">
        <f t="shared" si="6"/>
        <v>27972</v>
      </c>
      <c r="L44" s="65">
        <f>SUM(L34:L43)/10</f>
        <v>0.3532811686877903</v>
      </c>
      <c r="M44" s="65">
        <f>SUM(M34:M43)/10</f>
        <v>-1.2955633977612725E-2</v>
      </c>
      <c r="N44" s="51"/>
      <c r="O44" s="51"/>
      <c r="P44" s="51"/>
    </row>
  </sheetData>
  <mergeCells count="6">
    <mergeCell ref="N32:P32"/>
    <mergeCell ref="G32:H32"/>
    <mergeCell ref="D32:F32"/>
    <mergeCell ref="B32:C32"/>
    <mergeCell ref="I32:K32"/>
    <mergeCell ref="L32:M32"/>
  </mergeCells>
  <phoneticPr fontId="7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65689-12ED-42B0-9136-DCE511C40693}">
  <sheetPr codeName="Sheet11"/>
  <dimension ref="A1:AF43"/>
  <sheetViews>
    <sheetView showGridLines="0" workbookViewId="0">
      <selection activeCell="J1" sqref="J1"/>
    </sheetView>
  </sheetViews>
  <sheetFormatPr defaultRowHeight="14.4" x14ac:dyDescent="0.3"/>
  <cols>
    <col min="1" max="1" width="1.77734375" style="119" customWidth="1"/>
    <col min="12" max="12" width="10.33203125" customWidth="1"/>
    <col min="13" max="13" width="2.44140625" customWidth="1"/>
    <col min="24" max="24" width="10.33203125" customWidth="1"/>
    <col min="25" max="25" width="3.6640625" customWidth="1"/>
  </cols>
  <sheetData>
    <row r="1" spans="1:32" s="119" customFormat="1" ht="10.8" customHeight="1" x14ac:dyDescent="0.3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8"/>
      <c r="AF1" s="118"/>
    </row>
    <row r="2" spans="1:32" s="119" customFormat="1" ht="13.8" customHeight="1" x14ac:dyDescent="0.3">
      <c r="A2" s="117"/>
      <c r="B2" s="125" t="s">
        <v>351</v>
      </c>
      <c r="C2" s="126"/>
      <c r="D2" s="126"/>
      <c r="E2" s="126"/>
      <c r="F2" s="126"/>
      <c r="G2" s="127"/>
      <c r="H2" s="353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8"/>
      <c r="AF2" s="118"/>
    </row>
    <row r="3" spans="1:32" s="119" customFormat="1" ht="10.199999999999999" customHeight="1" x14ac:dyDescent="0.3">
      <c r="A3" s="117"/>
      <c r="B3" s="468"/>
      <c r="C3" s="468"/>
      <c r="D3" s="468"/>
      <c r="E3" s="468"/>
      <c r="F3" s="468"/>
      <c r="G3" s="468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8"/>
      <c r="AF3" s="118"/>
    </row>
    <row r="4" spans="1:32" s="119" customFormat="1" ht="21" customHeight="1" x14ac:dyDescent="0.3">
      <c r="A4" s="117"/>
      <c r="B4" s="467" t="str">
        <f>"  "&amp;TimeData!B3</f>
        <v xml:space="preserve">  Location 1</v>
      </c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121"/>
      <c r="N4" s="467" t="str">
        <f>"  "&amp;TimeData!B6</f>
        <v xml:space="preserve">  Location 2</v>
      </c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117"/>
      <c r="Z4" s="117"/>
      <c r="AA4" s="117"/>
      <c r="AB4" s="117"/>
      <c r="AC4" s="117"/>
      <c r="AD4" s="117"/>
      <c r="AE4" s="118"/>
      <c r="AF4" s="118"/>
    </row>
    <row r="5" spans="1:32" s="119" customFormat="1" ht="21" customHeight="1" x14ac:dyDescent="0.3">
      <c r="A5" s="117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1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17"/>
      <c r="Z5" s="117"/>
      <c r="AA5" s="117"/>
      <c r="AB5" s="117"/>
      <c r="AC5" s="117"/>
      <c r="AD5" s="117"/>
      <c r="AE5" s="118"/>
      <c r="AF5" s="118"/>
    </row>
    <row r="6" spans="1:32" s="119" customFormat="1" ht="21" customHeight="1" x14ac:dyDescent="0.3">
      <c r="A6" s="117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1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17"/>
      <c r="Z6" s="117"/>
      <c r="AA6" s="117"/>
      <c r="AB6" s="117"/>
      <c r="AC6" s="117"/>
      <c r="AD6" s="117"/>
      <c r="AE6" s="118"/>
      <c r="AF6" s="118"/>
    </row>
    <row r="7" spans="1:32" s="119" customFormat="1" ht="21" customHeight="1" x14ac:dyDescent="0.3">
      <c r="A7" s="117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1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17"/>
      <c r="Z7" s="117"/>
      <c r="AA7" s="117"/>
      <c r="AB7" s="117"/>
      <c r="AC7" s="117"/>
      <c r="AD7" s="117"/>
      <c r="AE7" s="118"/>
      <c r="AF7" s="118"/>
    </row>
    <row r="8" spans="1:32" s="119" customFormat="1" ht="21" customHeight="1" x14ac:dyDescent="0.3">
      <c r="A8" s="117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1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17"/>
      <c r="Z8" s="117"/>
      <c r="AA8" s="117"/>
      <c r="AB8" s="117"/>
      <c r="AC8" s="117"/>
      <c r="AD8" s="117"/>
      <c r="AE8" s="118"/>
      <c r="AF8" s="118"/>
    </row>
    <row r="9" spans="1:32" s="119" customFormat="1" ht="21" customHeight="1" x14ac:dyDescent="0.3">
      <c r="A9" s="117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1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17"/>
      <c r="Z9" s="117"/>
      <c r="AA9" s="117"/>
      <c r="AB9" s="117"/>
      <c r="AC9" s="117"/>
      <c r="AD9" s="117"/>
      <c r="AE9" s="118"/>
      <c r="AF9" s="118"/>
    </row>
    <row r="10" spans="1:32" s="119" customFormat="1" ht="21" customHeight="1" x14ac:dyDescent="0.3">
      <c r="A10" s="117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1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17"/>
      <c r="Z10" s="117"/>
      <c r="AA10" s="117"/>
      <c r="AB10" s="117"/>
      <c r="AC10" s="117"/>
      <c r="AD10" s="117"/>
      <c r="AE10" s="118"/>
      <c r="AF10" s="118"/>
    </row>
    <row r="11" spans="1:32" s="119" customFormat="1" ht="21" customHeight="1" x14ac:dyDescent="0.3">
      <c r="A11" s="117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1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17"/>
      <c r="Z11" s="117"/>
      <c r="AA11" s="117"/>
      <c r="AB11" s="117"/>
      <c r="AC11" s="117"/>
      <c r="AD11" s="117"/>
      <c r="AE11" s="118"/>
      <c r="AF11" s="118"/>
    </row>
    <row r="12" spans="1:32" s="119" customFormat="1" ht="21" customHeight="1" x14ac:dyDescent="0.3">
      <c r="A12" s="117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1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17"/>
      <c r="Z12" s="117"/>
      <c r="AA12" s="117"/>
      <c r="AB12" s="117"/>
      <c r="AC12" s="117"/>
      <c r="AD12" s="117"/>
      <c r="AE12" s="118"/>
      <c r="AF12" s="118"/>
    </row>
    <row r="13" spans="1:32" s="119" customFormat="1" ht="21" customHeight="1" x14ac:dyDescent="0.3">
      <c r="A13" s="117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1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17"/>
      <c r="Z13" s="117"/>
      <c r="AA13" s="117"/>
      <c r="AB13" s="117"/>
      <c r="AC13" s="117"/>
      <c r="AD13" s="117"/>
      <c r="AE13" s="118"/>
      <c r="AF13" s="118"/>
    </row>
    <row r="14" spans="1:32" s="119" customFormat="1" ht="13.8" customHeight="1" x14ac:dyDescent="0.3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8"/>
      <c r="AF14" s="118"/>
    </row>
    <row r="15" spans="1:32" s="119" customFormat="1" ht="21" customHeight="1" x14ac:dyDescent="0.3">
      <c r="A15" s="117"/>
      <c r="B15" s="467" t="str">
        <f>"  "&amp;TimeData!B9</f>
        <v xml:space="preserve">  Location 3</v>
      </c>
      <c r="C15" s="467"/>
      <c r="D15" s="467"/>
      <c r="E15" s="467"/>
      <c r="F15" s="467"/>
      <c r="G15" s="467"/>
      <c r="H15" s="467"/>
      <c r="I15" s="467"/>
      <c r="J15" s="467"/>
      <c r="K15" s="467"/>
      <c r="L15" s="467"/>
      <c r="M15" s="117"/>
      <c r="N15" s="467" t="str">
        <f>"  "&amp;TimeData!B12</f>
        <v xml:space="preserve">  Location 4</v>
      </c>
      <c r="O15" s="467"/>
      <c r="P15" s="467"/>
      <c r="Q15" s="467"/>
      <c r="R15" s="467"/>
      <c r="S15" s="467"/>
      <c r="T15" s="467"/>
      <c r="U15" s="467"/>
      <c r="V15" s="467"/>
      <c r="W15" s="467"/>
      <c r="X15" s="467"/>
      <c r="Y15" s="117"/>
      <c r="Z15" s="117"/>
      <c r="AA15" s="117"/>
      <c r="AB15" s="117"/>
      <c r="AC15" s="117"/>
      <c r="AD15" s="117"/>
      <c r="AE15" s="118"/>
      <c r="AF15" s="118"/>
    </row>
    <row r="16" spans="1:32" s="119" customFormat="1" ht="21" customHeight="1" x14ac:dyDescent="0.3">
      <c r="A16" s="117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17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17"/>
      <c r="Z16" s="117"/>
      <c r="AA16" s="117"/>
      <c r="AB16" s="117"/>
      <c r="AC16" s="117"/>
      <c r="AD16" s="117"/>
      <c r="AE16" s="118"/>
      <c r="AF16" s="118"/>
    </row>
    <row r="17" spans="1:32" s="119" customFormat="1" ht="21" customHeight="1" x14ac:dyDescent="0.3">
      <c r="A17" s="117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17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17"/>
      <c r="Z17" s="117"/>
      <c r="AA17" s="117"/>
      <c r="AB17" s="117"/>
      <c r="AC17" s="117"/>
      <c r="AD17" s="117"/>
      <c r="AE17" s="118"/>
      <c r="AF17" s="118"/>
    </row>
    <row r="18" spans="1:32" s="119" customFormat="1" ht="21" customHeight="1" x14ac:dyDescent="0.3">
      <c r="A18" s="117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17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17"/>
      <c r="Z18" s="117"/>
      <c r="AA18" s="117"/>
      <c r="AB18" s="117"/>
      <c r="AC18" s="117"/>
      <c r="AD18" s="117"/>
      <c r="AE18" s="118"/>
      <c r="AF18" s="118"/>
    </row>
    <row r="19" spans="1:32" s="119" customFormat="1" ht="21" customHeight="1" x14ac:dyDescent="0.3">
      <c r="A19" s="117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17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17"/>
      <c r="Z19" s="117"/>
      <c r="AA19" s="117"/>
      <c r="AB19" s="117"/>
      <c r="AC19" s="117"/>
      <c r="AD19" s="117"/>
      <c r="AE19" s="118"/>
      <c r="AF19" s="118"/>
    </row>
    <row r="20" spans="1:32" s="119" customFormat="1" ht="21" customHeight="1" x14ac:dyDescent="0.3">
      <c r="A20" s="117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17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17"/>
      <c r="Z20" s="117"/>
      <c r="AA20" s="117"/>
      <c r="AB20" s="117"/>
      <c r="AC20" s="117"/>
      <c r="AD20" s="117"/>
      <c r="AE20" s="118"/>
      <c r="AF20" s="118"/>
    </row>
    <row r="21" spans="1:32" s="119" customFormat="1" ht="21" customHeight="1" x14ac:dyDescent="0.3">
      <c r="A21" s="117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17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17"/>
      <c r="Z21" s="117"/>
      <c r="AA21" s="117"/>
      <c r="AB21" s="117"/>
      <c r="AC21" s="117"/>
      <c r="AD21" s="117"/>
      <c r="AE21" s="118"/>
      <c r="AF21" s="118"/>
    </row>
    <row r="22" spans="1:32" s="119" customFormat="1" ht="21" customHeight="1" x14ac:dyDescent="0.3">
      <c r="A22" s="117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17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17"/>
      <c r="Z22" s="117"/>
      <c r="AA22" s="117"/>
      <c r="AB22" s="117"/>
      <c r="AC22" s="117"/>
      <c r="AD22" s="117"/>
      <c r="AE22" s="118"/>
      <c r="AF22" s="118"/>
    </row>
    <row r="23" spans="1:32" s="119" customFormat="1" ht="21" customHeight="1" x14ac:dyDescent="0.3">
      <c r="A23" s="117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17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17"/>
      <c r="Z23" s="117"/>
      <c r="AA23" s="117"/>
      <c r="AB23" s="117"/>
      <c r="AC23" s="117"/>
      <c r="AD23" s="117"/>
      <c r="AE23" s="118"/>
      <c r="AF23" s="118"/>
    </row>
    <row r="24" spans="1:32" s="119" customFormat="1" ht="21" customHeight="1" x14ac:dyDescent="0.3">
      <c r="A24" s="117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17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17"/>
      <c r="Z24" s="117"/>
      <c r="AA24" s="117"/>
      <c r="AB24" s="117"/>
      <c r="AC24" s="117"/>
      <c r="AD24" s="117"/>
      <c r="AE24" s="118"/>
      <c r="AF24" s="118"/>
    </row>
    <row r="25" spans="1:32" s="119" customFormat="1" ht="13.8" customHeight="1" x14ac:dyDescent="0.3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8"/>
      <c r="AF25" s="118"/>
    </row>
    <row r="26" spans="1:32" s="119" customFormat="1" ht="21" customHeight="1" x14ac:dyDescent="0.3">
      <c r="A26" s="117"/>
      <c r="B26" s="120" t="str">
        <f>"  "&amp;TimeData!B15</f>
        <v xml:space="preserve">  Location 5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17"/>
      <c r="N26" s="467" t="str">
        <f>"  "&amp;TimeData!B18</f>
        <v xml:space="preserve">  Location 6</v>
      </c>
      <c r="O26" s="467"/>
      <c r="P26" s="467"/>
      <c r="Q26" s="467"/>
      <c r="R26" s="467"/>
      <c r="S26" s="467"/>
      <c r="T26" s="467"/>
      <c r="U26" s="467"/>
      <c r="V26" s="467"/>
      <c r="W26" s="467"/>
      <c r="X26" s="467"/>
      <c r="Y26" s="117"/>
      <c r="Z26" s="117"/>
      <c r="AA26" s="117"/>
      <c r="AB26" s="117"/>
      <c r="AC26" s="117"/>
      <c r="AD26" s="117"/>
      <c r="AE26" s="118"/>
      <c r="AF26" s="118"/>
    </row>
    <row r="27" spans="1:32" s="119" customFormat="1" ht="21" customHeight="1" x14ac:dyDescent="0.3">
      <c r="A27" s="117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17"/>
      <c r="Z27" s="117"/>
      <c r="AA27" s="117"/>
      <c r="AB27" s="117"/>
      <c r="AC27" s="117"/>
      <c r="AD27" s="117"/>
      <c r="AE27" s="118"/>
      <c r="AF27" s="118"/>
    </row>
    <row r="28" spans="1:32" s="119" customFormat="1" ht="21" customHeight="1" x14ac:dyDescent="0.3">
      <c r="A28" s="117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17"/>
      <c r="Z28" s="117"/>
      <c r="AA28" s="117"/>
      <c r="AB28" s="117"/>
      <c r="AC28" s="117"/>
      <c r="AD28" s="117"/>
      <c r="AE28" s="118"/>
      <c r="AF28" s="118"/>
    </row>
    <row r="29" spans="1:32" s="119" customFormat="1" ht="21" customHeight="1" x14ac:dyDescent="0.3">
      <c r="A29" s="117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7"/>
      <c r="Z29" s="117"/>
      <c r="AA29" s="117"/>
      <c r="AB29" s="117"/>
      <c r="AC29" s="117"/>
      <c r="AD29" s="117"/>
      <c r="AE29" s="118"/>
      <c r="AF29" s="118"/>
    </row>
    <row r="30" spans="1:32" s="119" customFormat="1" ht="21" customHeight="1" x14ac:dyDescent="0.3">
      <c r="A30" s="117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17"/>
      <c r="Z30" s="117"/>
      <c r="AA30" s="117"/>
      <c r="AB30" s="117"/>
      <c r="AC30" s="117"/>
      <c r="AD30" s="117"/>
      <c r="AE30" s="118"/>
      <c r="AF30" s="118"/>
    </row>
    <row r="31" spans="1:32" s="119" customFormat="1" ht="21" customHeight="1" x14ac:dyDescent="0.3">
      <c r="A31" s="117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17"/>
      <c r="Z31" s="117"/>
      <c r="AA31" s="117"/>
      <c r="AB31" s="117"/>
      <c r="AC31" s="117"/>
      <c r="AD31" s="117"/>
      <c r="AE31" s="118"/>
      <c r="AF31" s="118"/>
    </row>
    <row r="32" spans="1:32" s="119" customFormat="1" ht="21" customHeight="1" x14ac:dyDescent="0.3">
      <c r="A32" s="117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7"/>
      <c r="Z32" s="117"/>
      <c r="AA32" s="117"/>
      <c r="AB32" s="117"/>
      <c r="AC32" s="117"/>
      <c r="AD32" s="117"/>
      <c r="AE32" s="118"/>
      <c r="AF32" s="118"/>
    </row>
    <row r="33" spans="1:32" s="119" customFormat="1" ht="21" customHeight="1" x14ac:dyDescent="0.3">
      <c r="A33" s="117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7"/>
      <c r="Z33" s="117"/>
      <c r="AA33" s="117"/>
      <c r="AB33" s="117"/>
      <c r="AC33" s="117"/>
      <c r="AD33" s="117"/>
      <c r="AE33" s="118"/>
      <c r="AF33" s="118"/>
    </row>
    <row r="34" spans="1:32" s="119" customFormat="1" ht="21" customHeight="1" x14ac:dyDescent="0.3">
      <c r="A34" s="117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17"/>
      <c r="Z34" s="117"/>
      <c r="AA34" s="117"/>
      <c r="AB34" s="117"/>
      <c r="AC34" s="117"/>
      <c r="AD34" s="117"/>
      <c r="AE34" s="118"/>
      <c r="AF34" s="118"/>
    </row>
    <row r="35" spans="1:32" s="119" customFormat="1" ht="21" customHeight="1" x14ac:dyDescent="0.3">
      <c r="A35" s="117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17"/>
      <c r="Z35" s="117"/>
      <c r="AA35" s="117"/>
      <c r="AB35" s="117"/>
      <c r="AC35" s="117"/>
      <c r="AD35" s="117"/>
      <c r="AE35" s="118"/>
      <c r="AF35" s="118"/>
    </row>
    <row r="36" spans="1:32" s="119" customFormat="1" ht="13.8" customHeight="1" x14ac:dyDescent="0.3">
      <c r="A36" s="117"/>
      <c r="B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8"/>
      <c r="AF36" s="118"/>
    </row>
    <row r="37" spans="1:32" s="119" customFormat="1" ht="13.8" customHeight="1" x14ac:dyDescent="0.3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8"/>
      <c r="AF37" s="118"/>
    </row>
    <row r="38" spans="1:32" s="119" customFormat="1" ht="21" customHeight="1" x14ac:dyDescent="0.3"/>
    <row r="39" spans="1:32" s="119" customFormat="1" ht="21" customHeight="1" x14ac:dyDescent="0.3"/>
    <row r="40" spans="1:32" s="119" customFormat="1" ht="21" customHeight="1" x14ac:dyDescent="0.3"/>
    <row r="41" spans="1:32" s="119" customFormat="1" ht="21" customHeight="1" x14ac:dyDescent="0.3"/>
    <row r="42" spans="1:32" s="119" customFormat="1" ht="21" customHeight="1" x14ac:dyDescent="0.3"/>
    <row r="43" spans="1:32" s="119" customFormat="1" ht="21" customHeight="1" x14ac:dyDescent="0.3"/>
  </sheetData>
  <mergeCells count="6">
    <mergeCell ref="N26:X26"/>
    <mergeCell ref="B3:G3"/>
    <mergeCell ref="B4:L4"/>
    <mergeCell ref="N4:X4"/>
    <mergeCell ref="B15:L15"/>
    <mergeCell ref="N15:X15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A02F-7C9D-4C8C-908C-229EB65D8EF8}">
  <sheetPr codeName="Sheet12"/>
  <dimension ref="B2:Q20"/>
  <sheetViews>
    <sheetView showGridLines="0" topLeftCell="C1" workbookViewId="0">
      <selection activeCell="C18" sqref="C18:C19"/>
    </sheetView>
  </sheetViews>
  <sheetFormatPr defaultRowHeight="14.4" x14ac:dyDescent="0.3"/>
  <cols>
    <col min="1" max="1" width="1.77734375" style="119" customWidth="1"/>
    <col min="2" max="2" width="28.5546875" style="119" customWidth="1"/>
    <col min="3" max="3" width="13.109375" style="119" bestFit="1" customWidth="1"/>
    <col min="4" max="4" width="16.77734375" style="119" customWidth="1"/>
    <col min="5" max="16" width="11" style="119" customWidth="1"/>
    <col min="17" max="16384" width="8.88671875" style="119"/>
  </cols>
  <sheetData>
    <row r="2" spans="2:17" x14ac:dyDescent="0.3">
      <c r="B2" s="128" t="s">
        <v>116</v>
      </c>
      <c r="C2" s="128" t="s">
        <v>117</v>
      </c>
      <c r="D2" s="252" t="s">
        <v>337</v>
      </c>
      <c r="E2" s="252" t="s">
        <v>338</v>
      </c>
      <c r="F2" s="252" t="s">
        <v>339</v>
      </c>
      <c r="G2" s="252" t="s">
        <v>340</v>
      </c>
      <c r="H2" s="252" t="s">
        <v>341</v>
      </c>
      <c r="I2" s="252" t="s">
        <v>342</v>
      </c>
      <c r="J2" s="252" t="s">
        <v>352</v>
      </c>
      <c r="K2" s="252" t="s">
        <v>353</v>
      </c>
      <c r="L2" s="252" t="s">
        <v>354</v>
      </c>
      <c r="M2" s="252" t="s">
        <v>355</v>
      </c>
      <c r="N2" s="252" t="s">
        <v>356</v>
      </c>
      <c r="O2" s="252" t="s">
        <v>357</v>
      </c>
      <c r="P2" s="253" t="s">
        <v>93</v>
      </c>
    </row>
    <row r="3" spans="2:17" x14ac:dyDescent="0.3">
      <c r="B3" s="469" t="s">
        <v>119</v>
      </c>
      <c r="C3" s="129" t="s">
        <v>358</v>
      </c>
      <c r="D3" s="134">
        <v>37</v>
      </c>
      <c r="E3" s="130">
        <v>41</v>
      </c>
      <c r="F3" s="130">
        <v>46</v>
      </c>
      <c r="G3" s="130">
        <v>48</v>
      </c>
      <c r="H3" s="130">
        <v>45</v>
      </c>
      <c r="I3" s="130">
        <v>48</v>
      </c>
      <c r="J3" s="130">
        <v>51</v>
      </c>
      <c r="K3" s="130">
        <v>39</v>
      </c>
      <c r="L3" s="130">
        <v>45</v>
      </c>
      <c r="M3" s="130">
        <v>44</v>
      </c>
      <c r="N3" s="130">
        <v>44</v>
      </c>
      <c r="O3" s="130">
        <v>43</v>
      </c>
      <c r="P3" s="131">
        <f>SUM(D3:O3)</f>
        <v>531</v>
      </c>
    </row>
    <row r="4" spans="2:17" x14ac:dyDescent="0.3">
      <c r="B4" s="469"/>
      <c r="C4" s="129" t="s">
        <v>359</v>
      </c>
      <c r="D4" s="130">
        <v>45</v>
      </c>
      <c r="E4" s="130">
        <v>45</v>
      </c>
      <c r="F4" s="130">
        <v>45</v>
      </c>
      <c r="G4" s="130">
        <v>45</v>
      </c>
      <c r="H4" s="130">
        <v>45</v>
      </c>
      <c r="I4" s="130">
        <v>50</v>
      </c>
      <c r="J4" s="130">
        <v>50</v>
      </c>
      <c r="K4" s="130">
        <v>42</v>
      </c>
      <c r="L4" s="130">
        <v>45</v>
      </c>
      <c r="M4" s="130">
        <v>45</v>
      </c>
      <c r="N4" s="130">
        <v>45</v>
      </c>
      <c r="O4" s="130">
        <v>45</v>
      </c>
      <c r="P4" s="131">
        <f t="shared" ref="P4:P13" si="0">SUM(D4:O4)</f>
        <v>547</v>
      </c>
    </row>
    <row r="5" spans="2:17" x14ac:dyDescent="0.3">
      <c r="B5" s="469"/>
      <c r="C5" s="129" t="s">
        <v>118</v>
      </c>
      <c r="D5" s="132">
        <f>D3/D4</f>
        <v>0.82222222222222219</v>
      </c>
      <c r="E5" s="132">
        <f t="shared" ref="E5:P5" si="1">E3/E4</f>
        <v>0.91111111111111109</v>
      </c>
      <c r="F5" s="132">
        <f t="shared" si="1"/>
        <v>1.0222222222222221</v>
      </c>
      <c r="G5" s="132">
        <f t="shared" si="1"/>
        <v>1.0666666666666667</v>
      </c>
      <c r="H5" s="132">
        <f t="shared" si="1"/>
        <v>1</v>
      </c>
      <c r="I5" s="132">
        <f t="shared" si="1"/>
        <v>0.96</v>
      </c>
      <c r="J5" s="132">
        <f t="shared" si="1"/>
        <v>1.02</v>
      </c>
      <c r="K5" s="132">
        <f t="shared" si="1"/>
        <v>0.9285714285714286</v>
      </c>
      <c r="L5" s="132">
        <f t="shared" si="1"/>
        <v>1</v>
      </c>
      <c r="M5" s="132">
        <f t="shared" si="1"/>
        <v>0.97777777777777775</v>
      </c>
      <c r="N5" s="132">
        <f t="shared" si="1"/>
        <v>0.97777777777777775</v>
      </c>
      <c r="O5" s="132">
        <f t="shared" si="1"/>
        <v>0.9555555555555556</v>
      </c>
      <c r="P5" s="133">
        <f t="shared" si="1"/>
        <v>0.97074954296160876</v>
      </c>
      <c r="Q5" s="123">
        <f>IF(P5&gt;=1,0,1-P5)</f>
        <v>2.9250457038391242E-2</v>
      </c>
    </row>
    <row r="6" spans="2:17" x14ac:dyDescent="0.3">
      <c r="B6" s="469" t="s">
        <v>120</v>
      </c>
      <c r="C6" s="129" t="s">
        <v>358</v>
      </c>
      <c r="D6" s="130">
        <v>75</v>
      </c>
      <c r="E6" s="130">
        <v>52</v>
      </c>
      <c r="F6" s="130">
        <v>90</v>
      </c>
      <c r="G6" s="130">
        <v>81</v>
      </c>
      <c r="H6" s="130">
        <v>46</v>
      </c>
      <c r="I6" s="130">
        <v>44</v>
      </c>
      <c r="J6" s="130">
        <v>72</v>
      </c>
      <c r="K6" s="130">
        <v>72</v>
      </c>
      <c r="L6" s="130">
        <v>60</v>
      </c>
      <c r="M6" s="130">
        <v>80</v>
      </c>
      <c r="N6" s="130">
        <v>40</v>
      </c>
      <c r="O6" s="130">
        <v>55</v>
      </c>
      <c r="P6" s="131">
        <f t="shared" si="0"/>
        <v>767</v>
      </c>
      <c r="Q6" s="124"/>
    </row>
    <row r="7" spans="2:17" x14ac:dyDescent="0.3">
      <c r="B7" s="469"/>
      <c r="C7" s="129" t="s">
        <v>359</v>
      </c>
      <c r="D7" s="130">
        <v>72</v>
      </c>
      <c r="E7" s="130">
        <v>56</v>
      </c>
      <c r="F7" s="130">
        <v>90</v>
      </c>
      <c r="G7" s="130">
        <v>81</v>
      </c>
      <c r="H7" s="130">
        <v>46</v>
      </c>
      <c r="I7" s="130">
        <v>45</v>
      </c>
      <c r="J7" s="130">
        <v>72</v>
      </c>
      <c r="K7" s="130">
        <v>72</v>
      </c>
      <c r="L7" s="130">
        <v>60</v>
      </c>
      <c r="M7" s="130">
        <v>80</v>
      </c>
      <c r="N7" s="130">
        <v>48</v>
      </c>
      <c r="O7" s="130">
        <v>60</v>
      </c>
      <c r="P7" s="131">
        <f t="shared" si="0"/>
        <v>782</v>
      </c>
      <c r="Q7" s="124"/>
    </row>
    <row r="8" spans="2:17" x14ac:dyDescent="0.3">
      <c r="B8" s="469"/>
      <c r="C8" s="129" t="s">
        <v>118</v>
      </c>
      <c r="D8" s="132">
        <f>D6/D7</f>
        <v>1.0416666666666667</v>
      </c>
      <c r="E8" s="132">
        <f t="shared" ref="E8:P8" si="2">E6/E7</f>
        <v>0.9285714285714286</v>
      </c>
      <c r="F8" s="132">
        <f t="shared" si="2"/>
        <v>1</v>
      </c>
      <c r="G8" s="132">
        <f t="shared" si="2"/>
        <v>1</v>
      </c>
      <c r="H8" s="132">
        <f t="shared" si="2"/>
        <v>1</v>
      </c>
      <c r="I8" s="132">
        <f t="shared" si="2"/>
        <v>0.97777777777777775</v>
      </c>
      <c r="J8" s="132">
        <f t="shared" si="2"/>
        <v>1</v>
      </c>
      <c r="K8" s="132">
        <f t="shared" si="2"/>
        <v>1</v>
      </c>
      <c r="L8" s="132">
        <f t="shared" si="2"/>
        <v>1</v>
      </c>
      <c r="M8" s="132">
        <f t="shared" si="2"/>
        <v>1</v>
      </c>
      <c r="N8" s="132">
        <f t="shared" si="2"/>
        <v>0.83333333333333337</v>
      </c>
      <c r="O8" s="132">
        <f t="shared" si="2"/>
        <v>0.91666666666666663</v>
      </c>
      <c r="P8" s="133">
        <f t="shared" si="2"/>
        <v>0.98081841432225059</v>
      </c>
      <c r="Q8" s="123">
        <f>IF(P8&gt;=1,0,1-P8)</f>
        <v>1.9181585677749413E-2</v>
      </c>
    </row>
    <row r="9" spans="2:17" x14ac:dyDescent="0.3">
      <c r="B9" s="469" t="s">
        <v>121</v>
      </c>
      <c r="C9" s="129" t="s">
        <v>358</v>
      </c>
      <c r="D9" s="130">
        <v>50</v>
      </c>
      <c r="E9" s="130">
        <v>74</v>
      </c>
      <c r="F9" s="130">
        <v>80</v>
      </c>
      <c r="G9" s="130">
        <v>75</v>
      </c>
      <c r="H9" s="130">
        <v>92</v>
      </c>
      <c r="I9" s="130">
        <v>91</v>
      </c>
      <c r="J9" s="130">
        <v>96</v>
      </c>
      <c r="K9" s="130">
        <v>96</v>
      </c>
      <c r="L9" s="130">
        <v>65</v>
      </c>
      <c r="M9" s="130">
        <v>40</v>
      </c>
      <c r="N9" s="130">
        <v>66</v>
      </c>
      <c r="O9" s="130">
        <v>48</v>
      </c>
      <c r="P9" s="131">
        <f t="shared" si="0"/>
        <v>873</v>
      </c>
      <c r="Q9" s="124"/>
    </row>
    <row r="10" spans="2:17" x14ac:dyDescent="0.3">
      <c r="B10" s="469"/>
      <c r="C10" s="129" t="s">
        <v>359</v>
      </c>
      <c r="D10" s="130">
        <v>50</v>
      </c>
      <c r="E10" s="130">
        <v>74</v>
      </c>
      <c r="F10" s="130">
        <v>86</v>
      </c>
      <c r="G10" s="130">
        <v>92</v>
      </c>
      <c r="H10" s="130">
        <v>100</v>
      </c>
      <c r="I10" s="130">
        <v>100</v>
      </c>
      <c r="J10" s="130">
        <v>100</v>
      </c>
      <c r="K10" s="130">
        <v>95</v>
      </c>
      <c r="L10" s="130">
        <v>72</v>
      </c>
      <c r="M10" s="130">
        <v>48</v>
      </c>
      <c r="N10" s="130">
        <v>65</v>
      </c>
      <c r="O10" s="130">
        <v>48</v>
      </c>
      <c r="P10" s="131">
        <f t="shared" si="0"/>
        <v>930</v>
      </c>
      <c r="Q10" s="124"/>
    </row>
    <row r="11" spans="2:17" x14ac:dyDescent="0.3">
      <c r="B11" s="469"/>
      <c r="C11" s="129" t="s">
        <v>118</v>
      </c>
      <c r="D11" s="132">
        <f>D9/D10</f>
        <v>1</v>
      </c>
      <c r="E11" s="132">
        <f t="shared" ref="E11:P11" si="3">E9/E10</f>
        <v>1</v>
      </c>
      <c r="F11" s="132">
        <f t="shared" si="3"/>
        <v>0.93023255813953487</v>
      </c>
      <c r="G11" s="132">
        <f t="shared" si="3"/>
        <v>0.81521739130434778</v>
      </c>
      <c r="H11" s="132">
        <f t="shared" si="3"/>
        <v>0.92</v>
      </c>
      <c r="I11" s="132">
        <f t="shared" si="3"/>
        <v>0.91</v>
      </c>
      <c r="J11" s="132">
        <f t="shared" si="3"/>
        <v>0.96</v>
      </c>
      <c r="K11" s="132">
        <f t="shared" si="3"/>
        <v>1.0105263157894737</v>
      </c>
      <c r="L11" s="132">
        <f t="shared" si="3"/>
        <v>0.90277777777777779</v>
      </c>
      <c r="M11" s="132">
        <f t="shared" si="3"/>
        <v>0.83333333333333337</v>
      </c>
      <c r="N11" s="132">
        <f t="shared" si="3"/>
        <v>1.0153846153846153</v>
      </c>
      <c r="O11" s="132">
        <f t="shared" si="3"/>
        <v>1</v>
      </c>
      <c r="P11" s="133">
        <f t="shared" si="3"/>
        <v>0.93870967741935485</v>
      </c>
      <c r="Q11" s="123">
        <f>IF(P11&gt;=1,0,1-P11)</f>
        <v>6.1290322580645151E-2</v>
      </c>
    </row>
    <row r="12" spans="2:17" x14ac:dyDescent="0.3">
      <c r="B12" s="469" t="s">
        <v>122</v>
      </c>
      <c r="C12" s="129" t="s">
        <v>358</v>
      </c>
      <c r="D12" s="130">
        <v>102</v>
      </c>
      <c r="E12" s="130">
        <v>92</v>
      </c>
      <c r="F12" s="130">
        <v>99</v>
      </c>
      <c r="G12" s="130">
        <v>98</v>
      </c>
      <c r="H12" s="130">
        <v>102</v>
      </c>
      <c r="I12" s="130">
        <v>102</v>
      </c>
      <c r="J12" s="130">
        <v>86</v>
      </c>
      <c r="K12" s="130">
        <v>86</v>
      </c>
      <c r="L12" s="130">
        <v>89</v>
      </c>
      <c r="M12" s="130">
        <v>108</v>
      </c>
      <c r="N12" s="130">
        <v>107</v>
      </c>
      <c r="O12" s="130">
        <v>94</v>
      </c>
      <c r="P12" s="131">
        <f t="shared" si="0"/>
        <v>1165</v>
      </c>
      <c r="Q12" s="124"/>
    </row>
    <row r="13" spans="2:17" x14ac:dyDescent="0.3">
      <c r="B13" s="469"/>
      <c r="C13" s="129" t="s">
        <v>359</v>
      </c>
      <c r="D13" s="130">
        <v>102</v>
      </c>
      <c r="E13" s="130">
        <v>102</v>
      </c>
      <c r="F13" s="130">
        <v>102</v>
      </c>
      <c r="G13" s="130">
        <v>106</v>
      </c>
      <c r="H13" s="130">
        <v>109</v>
      </c>
      <c r="I13" s="130">
        <v>102</v>
      </c>
      <c r="J13" s="130">
        <v>102</v>
      </c>
      <c r="K13" s="130">
        <v>110</v>
      </c>
      <c r="L13" s="130">
        <v>95</v>
      </c>
      <c r="M13" s="130">
        <v>102</v>
      </c>
      <c r="N13" s="130">
        <v>102</v>
      </c>
      <c r="O13" s="130">
        <v>102</v>
      </c>
      <c r="P13" s="131">
        <f t="shared" si="0"/>
        <v>1236</v>
      </c>
      <c r="Q13" s="124"/>
    </row>
    <row r="14" spans="2:17" x14ac:dyDescent="0.3">
      <c r="B14" s="469"/>
      <c r="C14" s="129" t="s">
        <v>118</v>
      </c>
      <c r="D14" s="132">
        <f>D12/D13</f>
        <v>1</v>
      </c>
      <c r="E14" s="132">
        <f t="shared" ref="E14:P14" si="4">E12/E13</f>
        <v>0.90196078431372551</v>
      </c>
      <c r="F14" s="132">
        <f t="shared" si="4"/>
        <v>0.97058823529411764</v>
      </c>
      <c r="G14" s="132">
        <f t="shared" si="4"/>
        <v>0.92452830188679247</v>
      </c>
      <c r="H14" s="132">
        <f t="shared" si="4"/>
        <v>0.93577981651376152</v>
      </c>
      <c r="I14" s="132">
        <f t="shared" si="4"/>
        <v>1</v>
      </c>
      <c r="J14" s="132">
        <f t="shared" si="4"/>
        <v>0.84313725490196079</v>
      </c>
      <c r="K14" s="132">
        <f t="shared" si="4"/>
        <v>0.78181818181818186</v>
      </c>
      <c r="L14" s="132">
        <f t="shared" si="4"/>
        <v>0.93684210526315792</v>
      </c>
      <c r="M14" s="132">
        <f t="shared" si="4"/>
        <v>1.0588235294117647</v>
      </c>
      <c r="N14" s="132">
        <f t="shared" si="4"/>
        <v>1.0490196078431373</v>
      </c>
      <c r="O14" s="132">
        <f t="shared" si="4"/>
        <v>0.92156862745098034</v>
      </c>
      <c r="P14" s="133">
        <f t="shared" si="4"/>
        <v>0.94255663430420711</v>
      </c>
      <c r="Q14" s="123">
        <f>IF(P14&gt;=1,0,1-P14)</f>
        <v>5.7443365695792892E-2</v>
      </c>
    </row>
    <row r="15" spans="2:17" x14ac:dyDescent="0.3">
      <c r="B15" s="469" t="s">
        <v>123</v>
      </c>
      <c r="C15" s="129" t="s">
        <v>358</v>
      </c>
      <c r="D15" s="130">
        <v>55</v>
      </c>
      <c r="E15" s="130">
        <v>55</v>
      </c>
      <c r="F15" s="130">
        <v>55</v>
      </c>
      <c r="G15" s="130">
        <v>55</v>
      </c>
      <c r="H15" s="130">
        <v>50</v>
      </c>
      <c r="I15" s="130">
        <v>60</v>
      </c>
      <c r="J15" s="130">
        <v>30</v>
      </c>
      <c r="K15" s="130">
        <v>23</v>
      </c>
      <c r="L15" s="130">
        <v>90</v>
      </c>
      <c r="M15" s="130">
        <v>66</v>
      </c>
      <c r="N15" s="130">
        <v>45</v>
      </c>
      <c r="O15" s="130">
        <v>40</v>
      </c>
      <c r="P15" s="131">
        <f t="shared" ref="P15:P16" si="5">SUM(D15:O15)</f>
        <v>624</v>
      </c>
      <c r="Q15" s="124"/>
    </row>
    <row r="16" spans="2:17" x14ac:dyDescent="0.3">
      <c r="B16" s="469"/>
      <c r="C16" s="129" t="s">
        <v>359</v>
      </c>
      <c r="D16" s="130">
        <v>48</v>
      </c>
      <c r="E16" s="130">
        <v>48</v>
      </c>
      <c r="F16" s="130">
        <v>56</v>
      </c>
      <c r="G16" s="130">
        <v>56</v>
      </c>
      <c r="H16" s="130">
        <v>56</v>
      </c>
      <c r="I16" s="130">
        <v>67</v>
      </c>
      <c r="J16" s="130">
        <v>32</v>
      </c>
      <c r="K16" s="130">
        <v>24</v>
      </c>
      <c r="L16" s="130">
        <v>90</v>
      </c>
      <c r="M16" s="130">
        <v>66</v>
      </c>
      <c r="N16" s="130">
        <v>48</v>
      </c>
      <c r="O16" s="130">
        <v>40</v>
      </c>
      <c r="P16" s="131">
        <f t="shared" si="5"/>
        <v>631</v>
      </c>
      <c r="Q16" s="124"/>
    </row>
    <row r="17" spans="2:17" x14ac:dyDescent="0.3">
      <c r="B17" s="469"/>
      <c r="C17" s="129" t="s">
        <v>118</v>
      </c>
      <c r="D17" s="132">
        <f>D15/D16</f>
        <v>1.1458333333333333</v>
      </c>
      <c r="E17" s="132">
        <f t="shared" ref="E17:P17" si="6">E15/E16</f>
        <v>1.1458333333333333</v>
      </c>
      <c r="F17" s="132">
        <f t="shared" si="6"/>
        <v>0.9821428571428571</v>
      </c>
      <c r="G17" s="132">
        <f t="shared" si="6"/>
        <v>0.9821428571428571</v>
      </c>
      <c r="H17" s="132">
        <f t="shared" si="6"/>
        <v>0.8928571428571429</v>
      </c>
      <c r="I17" s="132">
        <f t="shared" si="6"/>
        <v>0.89552238805970152</v>
      </c>
      <c r="J17" s="132">
        <f t="shared" si="6"/>
        <v>0.9375</v>
      </c>
      <c r="K17" s="132">
        <f t="shared" si="6"/>
        <v>0.95833333333333337</v>
      </c>
      <c r="L17" s="132">
        <f t="shared" si="6"/>
        <v>1</v>
      </c>
      <c r="M17" s="132">
        <f t="shared" si="6"/>
        <v>1</v>
      </c>
      <c r="N17" s="132">
        <f t="shared" si="6"/>
        <v>0.9375</v>
      </c>
      <c r="O17" s="132">
        <f t="shared" si="6"/>
        <v>1</v>
      </c>
      <c r="P17" s="133">
        <f t="shared" si="6"/>
        <v>0.9889064976228209</v>
      </c>
      <c r="Q17" s="123">
        <f>IF(P17&gt;=1,0,1-P17)</f>
        <v>1.1093502377179099E-2</v>
      </c>
    </row>
    <row r="18" spans="2:17" x14ac:dyDescent="0.3">
      <c r="B18" s="469" t="s">
        <v>124</v>
      </c>
      <c r="C18" s="129" t="s">
        <v>358</v>
      </c>
      <c r="D18" s="130">
        <v>16</v>
      </c>
      <c r="E18" s="130">
        <v>9</v>
      </c>
      <c r="F18" s="130">
        <v>21</v>
      </c>
      <c r="G18" s="130">
        <v>24</v>
      </c>
      <c r="H18" s="130">
        <v>24</v>
      </c>
      <c r="I18" s="130">
        <v>34</v>
      </c>
      <c r="J18" s="130">
        <v>52</v>
      </c>
      <c r="K18" s="130">
        <v>72</v>
      </c>
      <c r="L18" s="130">
        <v>70</v>
      </c>
      <c r="M18" s="130">
        <v>24</v>
      </c>
      <c r="N18" s="130">
        <v>40</v>
      </c>
      <c r="O18" s="130">
        <v>24</v>
      </c>
      <c r="P18" s="131">
        <f t="shared" ref="P18:P19" si="7">SUM(D18:O18)</f>
        <v>410</v>
      </c>
      <c r="Q18" s="124"/>
    </row>
    <row r="19" spans="2:17" x14ac:dyDescent="0.3">
      <c r="B19" s="469"/>
      <c r="C19" s="129" t="s">
        <v>359</v>
      </c>
      <c r="D19" s="130">
        <v>16</v>
      </c>
      <c r="E19" s="130">
        <v>10</v>
      </c>
      <c r="F19" s="130">
        <v>21</v>
      </c>
      <c r="G19" s="130">
        <v>24</v>
      </c>
      <c r="H19" s="130">
        <v>26</v>
      </c>
      <c r="I19" s="130">
        <v>32</v>
      </c>
      <c r="J19" s="130">
        <v>48</v>
      </c>
      <c r="K19" s="130">
        <v>72</v>
      </c>
      <c r="L19" s="130">
        <v>72</v>
      </c>
      <c r="M19" s="130">
        <v>24</v>
      </c>
      <c r="N19" s="130">
        <v>48</v>
      </c>
      <c r="O19" s="130">
        <v>30</v>
      </c>
      <c r="P19" s="131">
        <f t="shared" si="7"/>
        <v>423</v>
      </c>
      <c r="Q19" s="124"/>
    </row>
    <row r="20" spans="2:17" x14ac:dyDescent="0.3">
      <c r="B20" s="469"/>
      <c r="C20" s="129" t="s">
        <v>118</v>
      </c>
      <c r="D20" s="132">
        <f>D18/D19</f>
        <v>1</v>
      </c>
      <c r="E20" s="132">
        <f t="shared" ref="E20:P20" si="8">E18/E19</f>
        <v>0.9</v>
      </c>
      <c r="F20" s="132">
        <f t="shared" si="8"/>
        <v>1</v>
      </c>
      <c r="G20" s="132">
        <f t="shared" si="8"/>
        <v>1</v>
      </c>
      <c r="H20" s="132">
        <f t="shared" si="8"/>
        <v>0.92307692307692313</v>
      </c>
      <c r="I20" s="132">
        <f t="shared" si="8"/>
        <v>1.0625</v>
      </c>
      <c r="J20" s="132">
        <f t="shared" si="8"/>
        <v>1.0833333333333333</v>
      </c>
      <c r="K20" s="132">
        <f t="shared" si="8"/>
        <v>1</v>
      </c>
      <c r="L20" s="132">
        <f t="shared" si="8"/>
        <v>0.97222222222222221</v>
      </c>
      <c r="M20" s="132">
        <f t="shared" si="8"/>
        <v>1</v>
      </c>
      <c r="N20" s="132">
        <f t="shared" si="8"/>
        <v>0.83333333333333337</v>
      </c>
      <c r="O20" s="132">
        <f t="shared" si="8"/>
        <v>0.8</v>
      </c>
      <c r="P20" s="133">
        <f t="shared" si="8"/>
        <v>0.96926713947990539</v>
      </c>
      <c r="Q20" s="123">
        <f>IF(P20&gt;=1,0,1-P20)</f>
        <v>3.0732860520094607E-2</v>
      </c>
    </row>
  </sheetData>
  <mergeCells count="6">
    <mergeCell ref="B18:B20"/>
    <mergeCell ref="B3:B5"/>
    <mergeCell ref="B6:B8"/>
    <mergeCell ref="B9:B11"/>
    <mergeCell ref="B12:B14"/>
    <mergeCell ref="B15:B17"/>
  </mergeCells>
  <phoneticPr fontId="7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DB57-8DA6-4AA4-B0FB-3FAA557C6960}">
  <sheetPr codeName="Sheet18"/>
  <dimension ref="B2:P30"/>
  <sheetViews>
    <sheetView showGridLines="0" workbookViewId="0">
      <selection activeCell="B6" sqref="B6:G6"/>
    </sheetView>
  </sheetViews>
  <sheetFormatPr defaultRowHeight="14.4" x14ac:dyDescent="0.3"/>
  <sheetData>
    <row r="2" spans="2:16" ht="18" x14ac:dyDescent="0.35">
      <c r="B2" s="397" t="s">
        <v>334</v>
      </c>
      <c r="C2" s="398"/>
      <c r="D2" s="398"/>
      <c r="E2" s="398"/>
      <c r="F2" s="398"/>
      <c r="G2" s="399"/>
    </row>
    <row r="6" spans="2:16" ht="18" x14ac:dyDescent="0.35">
      <c r="B6" s="397" t="s">
        <v>335</v>
      </c>
      <c r="C6" s="398"/>
      <c r="D6" s="398"/>
      <c r="E6" s="398"/>
      <c r="F6" s="398"/>
      <c r="G6" s="399"/>
    </row>
    <row r="9" spans="2:16" x14ac:dyDescent="0.3">
      <c r="B9" s="417" t="s">
        <v>71</v>
      </c>
      <c r="C9" s="419"/>
      <c r="E9" s="228" t="s">
        <v>32</v>
      </c>
      <c r="F9" s="229" t="s">
        <v>33</v>
      </c>
      <c r="G9" s="229" t="s">
        <v>34</v>
      </c>
      <c r="H9" s="229" t="s">
        <v>35</v>
      </c>
      <c r="I9" s="229" t="s">
        <v>36</v>
      </c>
      <c r="J9" s="229" t="s">
        <v>37</v>
      </c>
      <c r="K9" s="229" t="s">
        <v>38</v>
      </c>
      <c r="L9" s="229" t="s">
        <v>39</v>
      </c>
      <c r="M9" s="229" t="s">
        <v>40</v>
      </c>
      <c r="N9" s="229" t="s">
        <v>41</v>
      </c>
      <c r="O9" s="229" t="s">
        <v>42</v>
      </c>
      <c r="P9" s="230" t="s">
        <v>43</v>
      </c>
    </row>
    <row r="10" spans="2:16" x14ac:dyDescent="0.3">
      <c r="B10" s="417" t="s">
        <v>72</v>
      </c>
      <c r="C10" s="419"/>
      <c r="E10" s="45">
        <f>Calculations!D19</f>
        <v>0.91111111111111109</v>
      </c>
      <c r="F10" s="42">
        <f>Calculations!E19</f>
        <v>0.97777777777777775</v>
      </c>
      <c r="G10" s="42">
        <f>Calculations!F19</f>
        <v>1</v>
      </c>
      <c r="H10" s="42">
        <f>Calculations!G19</f>
        <v>1</v>
      </c>
      <c r="I10" s="42">
        <f>Calculations!H19</f>
        <v>1</v>
      </c>
      <c r="J10" s="42">
        <f>Calculations!I19</f>
        <v>1</v>
      </c>
      <c r="K10" s="42">
        <f>Calculations!J19</f>
        <v>1</v>
      </c>
      <c r="L10" s="42">
        <f>Calculations!K19</f>
        <v>1</v>
      </c>
      <c r="M10" s="42">
        <f>Calculations!L19</f>
        <v>1</v>
      </c>
      <c r="N10" s="42">
        <f>Calculations!M19</f>
        <v>1</v>
      </c>
      <c r="O10" s="42">
        <f>Calculations!N19</f>
        <v>1</v>
      </c>
      <c r="P10" s="46">
        <f>Calculations!O19</f>
        <v>1</v>
      </c>
    </row>
    <row r="11" spans="2:16" x14ac:dyDescent="0.3">
      <c r="B11" s="417" t="s">
        <v>73</v>
      </c>
      <c r="C11" s="419"/>
      <c r="E11" s="45">
        <f>Calculations!D20</f>
        <v>0.72222222222222221</v>
      </c>
      <c r="F11" s="42">
        <f>Calculations!E20</f>
        <v>0.72222222222222221</v>
      </c>
      <c r="G11" s="42">
        <f>Calculations!F20</f>
        <v>0.72222222222222221</v>
      </c>
      <c r="H11" s="42">
        <f>Calculations!G20</f>
        <v>0.77777777777777779</v>
      </c>
      <c r="I11" s="42">
        <f>Calculations!H20</f>
        <v>0.77777777777777779</v>
      </c>
      <c r="J11" s="42">
        <f>Calculations!I20</f>
        <v>0.77777777777777779</v>
      </c>
      <c r="K11" s="42">
        <f>Calculations!J20</f>
        <v>0.88888888888888884</v>
      </c>
      <c r="L11" s="42">
        <f>Calculations!K20</f>
        <v>0.88888888888888884</v>
      </c>
      <c r="M11" s="42">
        <f>Calculations!L20</f>
        <v>0.88888888888888884</v>
      </c>
      <c r="N11" s="42">
        <f>Calculations!M20</f>
        <v>0.88888888888888884</v>
      </c>
      <c r="O11" s="42">
        <f>Calculations!N20</f>
        <v>0.88888888888888884</v>
      </c>
      <c r="P11" s="46">
        <f>Calculations!O20</f>
        <v>1</v>
      </c>
    </row>
    <row r="12" spans="2:16" x14ac:dyDescent="0.3">
      <c r="B12" s="417" t="s">
        <v>1</v>
      </c>
      <c r="C12" s="419"/>
      <c r="E12" s="45">
        <f>Calculations!D21</f>
        <v>0.3888888888888889</v>
      </c>
      <c r="F12" s="42">
        <f>Calculations!E21</f>
        <v>0.3888888888888889</v>
      </c>
      <c r="G12" s="42">
        <f>Calculations!F21</f>
        <v>0.3888888888888889</v>
      </c>
      <c r="H12" s="42">
        <f>Calculations!G21</f>
        <v>0.3888888888888889</v>
      </c>
      <c r="I12" s="42">
        <f>Calculations!H21</f>
        <v>0.44444444444444442</v>
      </c>
      <c r="J12" s="42">
        <f>Calculations!I21</f>
        <v>0.44444444444444442</v>
      </c>
      <c r="K12" s="42">
        <f>Calculations!J21</f>
        <v>0.44444444444444442</v>
      </c>
      <c r="L12" s="42">
        <f>Calculations!K21</f>
        <v>0.5</v>
      </c>
      <c r="M12" s="42">
        <f>Calculations!L21</f>
        <v>0.5</v>
      </c>
      <c r="N12" s="42">
        <f>Calculations!M21</f>
        <v>0.5</v>
      </c>
      <c r="O12" s="42">
        <f>Calculations!N21</f>
        <v>0.5</v>
      </c>
      <c r="P12" s="46">
        <f>Calculations!O21</f>
        <v>0.5</v>
      </c>
    </row>
    <row r="13" spans="2:16" x14ac:dyDescent="0.3"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2:16" ht="18" x14ac:dyDescent="0.35">
      <c r="B14" s="397" t="s">
        <v>74</v>
      </c>
      <c r="C14" s="398"/>
      <c r="D14" s="398"/>
      <c r="E14" s="398"/>
      <c r="F14" s="398"/>
      <c r="G14" s="399"/>
      <c r="H14" s="9"/>
      <c r="I14" s="9"/>
      <c r="J14" s="9"/>
      <c r="K14" s="9"/>
      <c r="L14" s="9"/>
      <c r="M14" s="9"/>
      <c r="N14" s="9"/>
      <c r="O14" s="9"/>
      <c r="P14" s="9"/>
    </row>
    <row r="15" spans="2:16" x14ac:dyDescent="0.3"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2:16" x14ac:dyDescent="0.3">
      <c r="B16" s="417" t="s">
        <v>71</v>
      </c>
      <c r="C16" s="419"/>
      <c r="E16" s="228" t="s">
        <v>32</v>
      </c>
      <c r="F16" s="229" t="s">
        <v>33</v>
      </c>
      <c r="G16" s="229" t="s">
        <v>34</v>
      </c>
      <c r="H16" s="229" t="s">
        <v>35</v>
      </c>
      <c r="I16" s="229" t="s">
        <v>36</v>
      </c>
      <c r="J16" s="229" t="s">
        <v>37</v>
      </c>
      <c r="K16" s="229" t="s">
        <v>38</v>
      </c>
      <c r="L16" s="229" t="s">
        <v>39</v>
      </c>
      <c r="M16" s="229" t="s">
        <v>40</v>
      </c>
      <c r="N16" s="229" t="s">
        <v>41</v>
      </c>
      <c r="O16" s="229" t="s">
        <v>42</v>
      </c>
      <c r="P16" s="230" t="s">
        <v>43</v>
      </c>
    </row>
    <row r="17" spans="2:16" x14ac:dyDescent="0.3">
      <c r="E17" s="45">
        <v>0.1</v>
      </c>
      <c r="F17" s="42">
        <v>0.1</v>
      </c>
      <c r="G17" s="42">
        <v>0.1</v>
      </c>
      <c r="H17" s="42">
        <v>0.1</v>
      </c>
      <c r="I17" s="42">
        <v>0.1</v>
      </c>
      <c r="J17" s="42">
        <v>0.15</v>
      </c>
      <c r="K17" s="42">
        <v>0.2</v>
      </c>
      <c r="L17" s="42">
        <v>0.2</v>
      </c>
      <c r="M17" s="42">
        <v>0.1</v>
      </c>
      <c r="N17" s="42">
        <v>0.1</v>
      </c>
      <c r="O17" s="42">
        <v>0.1</v>
      </c>
      <c r="P17" s="46">
        <v>0.15</v>
      </c>
    </row>
    <row r="18" spans="2:16" x14ac:dyDescent="0.3"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2:16" ht="18" x14ac:dyDescent="0.35">
      <c r="B19" s="397" t="s">
        <v>75</v>
      </c>
      <c r="C19" s="398"/>
      <c r="D19" s="398"/>
      <c r="E19" s="398"/>
      <c r="F19" s="398"/>
      <c r="G19" s="399"/>
      <c r="H19" s="9"/>
      <c r="I19" s="9"/>
      <c r="J19" s="9"/>
      <c r="K19" s="9"/>
      <c r="L19" s="9"/>
      <c r="M19" s="9"/>
      <c r="N19" s="9"/>
      <c r="O19" s="9"/>
      <c r="P19" s="9"/>
    </row>
    <row r="20" spans="2:16" x14ac:dyDescent="0.3"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2:16" x14ac:dyDescent="0.3">
      <c r="B21" s="417" t="s">
        <v>71</v>
      </c>
      <c r="C21" s="419"/>
      <c r="E21" s="228" t="s">
        <v>32</v>
      </c>
      <c r="F21" s="229" t="s">
        <v>33</v>
      </c>
      <c r="G21" s="229" t="s">
        <v>34</v>
      </c>
      <c r="H21" s="229" t="s">
        <v>35</v>
      </c>
      <c r="I21" s="229" t="s">
        <v>36</v>
      </c>
      <c r="J21" s="229" t="s">
        <v>37</v>
      </c>
      <c r="K21" s="229" t="s">
        <v>38</v>
      </c>
      <c r="L21" s="229" t="s">
        <v>39</v>
      </c>
      <c r="M21" s="229" t="s">
        <v>40</v>
      </c>
      <c r="N21" s="229" t="s">
        <v>41</v>
      </c>
      <c r="O21" s="229" t="s">
        <v>42</v>
      </c>
      <c r="P21" s="230" t="s">
        <v>43</v>
      </c>
    </row>
    <row r="22" spans="2:16" x14ac:dyDescent="0.3">
      <c r="B22" s="24" t="s">
        <v>305</v>
      </c>
      <c r="C22" s="25"/>
      <c r="E22" s="47">
        <f>Calculations!E36</f>
        <v>0.58333333333333337</v>
      </c>
      <c r="F22" s="43">
        <f>Calculations!F36</f>
        <v>0.58333333333333337</v>
      </c>
      <c r="G22" s="43">
        <f>Calculations!G36</f>
        <v>0.91666666666666663</v>
      </c>
      <c r="H22" s="43">
        <f>Calculations!H36</f>
        <v>1</v>
      </c>
      <c r="I22" s="43">
        <f>Calculations!I36</f>
        <v>1</v>
      </c>
      <c r="J22" s="43">
        <f>Calculations!J36</f>
        <v>1</v>
      </c>
      <c r="K22" s="43">
        <f>Calculations!K36</f>
        <v>1</v>
      </c>
      <c r="L22" s="43">
        <f>Calculations!L36</f>
        <v>1</v>
      </c>
      <c r="M22" s="43">
        <f>Calculations!M36</f>
        <v>0.66666666666666663</v>
      </c>
      <c r="N22" s="43">
        <f>Calculations!N36</f>
        <v>1</v>
      </c>
      <c r="O22" s="43">
        <f>Calculations!O36</f>
        <v>1</v>
      </c>
      <c r="P22" s="48">
        <f>Calculations!P36</f>
        <v>1</v>
      </c>
    </row>
    <row r="23" spans="2:16" x14ac:dyDescent="0.3">
      <c r="B23" s="24" t="s">
        <v>306</v>
      </c>
      <c r="C23" s="15"/>
      <c r="E23" s="49">
        <f>Calculations!E37</f>
        <v>0.66666666666666663</v>
      </c>
      <c r="F23" s="44">
        <f>Calculations!F37</f>
        <v>0.66666666666666663</v>
      </c>
      <c r="G23" s="44">
        <f>Calculations!G37</f>
        <v>0.66666666666666663</v>
      </c>
      <c r="H23" s="44">
        <f>Calculations!H37</f>
        <v>1</v>
      </c>
      <c r="I23" s="44">
        <f>Calculations!I37</f>
        <v>1</v>
      </c>
      <c r="J23" s="44">
        <f>Calculations!J37</f>
        <v>1</v>
      </c>
      <c r="K23" s="44">
        <f>Calculations!K37</f>
        <v>1</v>
      </c>
      <c r="L23" s="44">
        <f>Calculations!L37</f>
        <v>1</v>
      </c>
      <c r="M23" s="44">
        <f>Calculations!M37</f>
        <v>0.66666666666666663</v>
      </c>
      <c r="N23" s="44">
        <f>Calculations!N37</f>
        <v>1</v>
      </c>
      <c r="O23" s="44">
        <f>Calculations!O37</f>
        <v>1</v>
      </c>
      <c r="P23" s="50">
        <f>Calculations!P37</f>
        <v>1</v>
      </c>
    </row>
    <row r="24" spans="2:16" x14ac:dyDescent="0.3"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3"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3"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3"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3"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3"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3"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</sheetData>
  <mergeCells count="10">
    <mergeCell ref="B21:C21"/>
    <mergeCell ref="B16:C16"/>
    <mergeCell ref="B2:G2"/>
    <mergeCell ref="B6:G6"/>
    <mergeCell ref="B14:G14"/>
    <mergeCell ref="B19:G19"/>
    <mergeCell ref="B9:C9"/>
    <mergeCell ref="B10:C10"/>
    <mergeCell ref="B11:C11"/>
    <mergeCell ref="B12:C12"/>
  </mergeCells>
  <phoneticPr fontId="7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514D8-2720-4BB1-81B2-2B35C4DE18E8}">
  <sheetPr codeName="Sheet20"/>
  <dimension ref="B5:P37"/>
  <sheetViews>
    <sheetView topLeftCell="A13" workbookViewId="0">
      <selection activeCell="B32" sqref="B32:B33"/>
    </sheetView>
  </sheetViews>
  <sheetFormatPr defaultRowHeight="14.4" x14ac:dyDescent="0.3"/>
  <cols>
    <col min="2" max="2" width="23.5546875" customWidth="1"/>
    <col min="3" max="3" width="9.5546875" customWidth="1"/>
  </cols>
  <sheetData>
    <row r="5" spans="2:15" x14ac:dyDescent="0.3">
      <c r="B5" s="156" t="s">
        <v>245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2:15" x14ac:dyDescent="0.3">
      <c r="B6" s="250" t="s">
        <v>71</v>
      </c>
      <c r="C6" s="250"/>
      <c r="D6" s="251" t="s">
        <v>32</v>
      </c>
      <c r="E6" s="251" t="s">
        <v>33</v>
      </c>
      <c r="F6" s="251" t="s">
        <v>34</v>
      </c>
      <c r="G6" s="251" t="s">
        <v>35</v>
      </c>
      <c r="H6" s="251" t="s">
        <v>36</v>
      </c>
      <c r="I6" s="251" t="s">
        <v>37</v>
      </c>
      <c r="J6" s="251" t="s">
        <v>38</v>
      </c>
      <c r="K6" s="251" t="s">
        <v>39</v>
      </c>
      <c r="L6" s="251" t="s">
        <v>40</v>
      </c>
      <c r="M6" s="251" t="s">
        <v>41</v>
      </c>
      <c r="N6" s="251" t="s">
        <v>42</v>
      </c>
      <c r="O6" s="251" t="s">
        <v>43</v>
      </c>
    </row>
    <row r="7" spans="2:15" x14ac:dyDescent="0.3">
      <c r="B7" t="s">
        <v>72</v>
      </c>
      <c r="D7" s="9">
        <v>82</v>
      </c>
      <c r="E7" s="9">
        <v>88</v>
      </c>
      <c r="F7" s="9">
        <v>90</v>
      </c>
      <c r="G7" s="9">
        <v>90</v>
      </c>
      <c r="H7" s="9">
        <v>90</v>
      </c>
      <c r="I7" s="9">
        <v>90</v>
      </c>
      <c r="J7" s="9">
        <v>90</v>
      </c>
      <c r="K7" s="9">
        <v>90</v>
      </c>
      <c r="L7" s="9">
        <v>90</v>
      </c>
      <c r="M7" s="9">
        <v>90</v>
      </c>
      <c r="N7" s="9">
        <v>90</v>
      </c>
      <c r="O7" s="9">
        <v>90</v>
      </c>
    </row>
    <row r="8" spans="2:15" x14ac:dyDescent="0.3">
      <c r="B8" t="s">
        <v>73</v>
      </c>
      <c r="D8" s="9">
        <v>90</v>
      </c>
      <c r="E8" s="9">
        <v>90</v>
      </c>
      <c r="F8" s="9">
        <v>90</v>
      </c>
      <c r="G8" s="9">
        <v>90</v>
      </c>
      <c r="H8" s="9">
        <v>90</v>
      </c>
      <c r="I8" s="9">
        <v>90</v>
      </c>
      <c r="J8" s="9">
        <v>90</v>
      </c>
      <c r="K8" s="9">
        <v>90</v>
      </c>
      <c r="L8" s="9">
        <v>90</v>
      </c>
      <c r="M8" s="9">
        <v>90</v>
      </c>
      <c r="N8" s="9">
        <v>90</v>
      </c>
      <c r="O8" s="9">
        <v>90</v>
      </c>
    </row>
    <row r="9" spans="2:15" x14ac:dyDescent="0.3">
      <c r="B9" t="s">
        <v>1</v>
      </c>
      <c r="D9" s="9">
        <v>90</v>
      </c>
      <c r="E9" s="9">
        <v>90</v>
      </c>
      <c r="F9" s="9">
        <v>90</v>
      </c>
      <c r="G9" s="9">
        <v>90</v>
      </c>
      <c r="H9" s="9">
        <v>90</v>
      </c>
      <c r="I9" s="9">
        <v>90</v>
      </c>
      <c r="J9" s="9">
        <v>90</v>
      </c>
      <c r="K9" s="9">
        <v>90</v>
      </c>
      <c r="L9" s="9">
        <v>90</v>
      </c>
      <c r="M9" s="9">
        <v>90</v>
      </c>
      <c r="N9" s="9">
        <v>90</v>
      </c>
      <c r="O9" s="9">
        <v>90</v>
      </c>
    </row>
    <row r="11" spans="2:15" x14ac:dyDescent="0.3">
      <c r="B11" s="156" t="s">
        <v>245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</row>
    <row r="12" spans="2:15" x14ac:dyDescent="0.3">
      <c r="B12" s="250" t="s">
        <v>71</v>
      </c>
      <c r="C12" s="250"/>
      <c r="D12" s="251" t="s">
        <v>32</v>
      </c>
      <c r="E12" s="251" t="s">
        <v>33</v>
      </c>
      <c r="F12" s="251" t="s">
        <v>34</v>
      </c>
      <c r="G12" s="251" t="s">
        <v>35</v>
      </c>
      <c r="H12" s="251" t="s">
        <v>36</v>
      </c>
      <c r="I12" s="251" t="s">
        <v>37</v>
      </c>
      <c r="J12" s="251" t="s">
        <v>38</v>
      </c>
      <c r="K12" s="251" t="s">
        <v>39</v>
      </c>
      <c r="L12" s="251" t="s">
        <v>40</v>
      </c>
      <c r="M12" s="251" t="s">
        <v>41</v>
      </c>
      <c r="N12" s="251" t="s">
        <v>42</v>
      </c>
      <c r="O12" s="251" t="s">
        <v>43</v>
      </c>
    </row>
    <row r="13" spans="2:15" x14ac:dyDescent="0.3">
      <c r="B13" t="s">
        <v>72</v>
      </c>
      <c r="D13" s="9">
        <v>90</v>
      </c>
      <c r="E13" s="9">
        <v>90</v>
      </c>
      <c r="F13" s="9">
        <v>90</v>
      </c>
      <c r="G13" s="9">
        <v>90</v>
      </c>
      <c r="H13" s="9">
        <v>90</v>
      </c>
      <c r="I13" s="9">
        <v>90</v>
      </c>
      <c r="J13" s="9">
        <v>90</v>
      </c>
      <c r="K13" s="9">
        <v>90</v>
      </c>
      <c r="L13" s="9">
        <v>90</v>
      </c>
      <c r="M13" s="9">
        <v>90</v>
      </c>
      <c r="N13" s="9">
        <v>90</v>
      </c>
      <c r="O13" s="9">
        <v>90</v>
      </c>
    </row>
    <row r="14" spans="2:15" x14ac:dyDescent="0.3">
      <c r="B14" t="s">
        <v>73</v>
      </c>
      <c r="D14" s="9">
        <v>65</v>
      </c>
      <c r="E14" s="9">
        <v>65</v>
      </c>
      <c r="F14" s="9">
        <v>65</v>
      </c>
      <c r="G14" s="9">
        <v>70</v>
      </c>
      <c r="H14" s="9">
        <v>70</v>
      </c>
      <c r="I14" s="9">
        <v>70</v>
      </c>
      <c r="J14" s="9">
        <v>80</v>
      </c>
      <c r="K14" s="9">
        <v>80</v>
      </c>
      <c r="L14" s="9">
        <v>80</v>
      </c>
      <c r="M14" s="9">
        <v>80</v>
      </c>
      <c r="N14" s="9">
        <v>80</v>
      </c>
      <c r="O14" s="9">
        <v>90</v>
      </c>
    </row>
    <row r="15" spans="2:15" x14ac:dyDescent="0.3">
      <c r="B15" t="s">
        <v>1</v>
      </c>
      <c r="D15" s="9">
        <v>35</v>
      </c>
      <c r="E15" s="9">
        <v>35</v>
      </c>
      <c r="F15" s="9">
        <v>35</v>
      </c>
      <c r="G15" s="9">
        <v>35</v>
      </c>
      <c r="H15" s="9">
        <v>40</v>
      </c>
      <c r="I15" s="9">
        <v>40</v>
      </c>
      <c r="J15" s="9">
        <v>40</v>
      </c>
      <c r="K15" s="9">
        <v>45</v>
      </c>
      <c r="L15" s="9">
        <v>45</v>
      </c>
      <c r="M15" s="9">
        <v>45</v>
      </c>
      <c r="N15" s="9">
        <v>45</v>
      </c>
      <c r="O15" s="9">
        <v>45</v>
      </c>
    </row>
    <row r="17" spans="2:16" x14ac:dyDescent="0.3">
      <c r="B17" s="156" t="s">
        <v>245</v>
      </c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</row>
    <row r="18" spans="2:16" x14ac:dyDescent="0.3">
      <c r="B18" s="250" t="s">
        <v>71</v>
      </c>
      <c r="C18" s="250"/>
      <c r="D18" s="251" t="s">
        <v>32</v>
      </c>
      <c r="E18" s="251" t="s">
        <v>33</v>
      </c>
      <c r="F18" s="251" t="s">
        <v>34</v>
      </c>
      <c r="G18" s="251" t="s">
        <v>35</v>
      </c>
      <c r="H18" s="251" t="s">
        <v>36</v>
      </c>
      <c r="I18" s="251" t="s">
        <v>37</v>
      </c>
      <c r="J18" s="251" t="s">
        <v>38</v>
      </c>
      <c r="K18" s="251" t="s">
        <v>39</v>
      </c>
      <c r="L18" s="251" t="s">
        <v>40</v>
      </c>
      <c r="M18" s="251" t="s">
        <v>41</v>
      </c>
      <c r="N18" s="251" t="s">
        <v>42</v>
      </c>
      <c r="O18" s="251" t="s">
        <v>43</v>
      </c>
    </row>
    <row r="19" spans="2:16" x14ac:dyDescent="0.3">
      <c r="B19" t="s">
        <v>72</v>
      </c>
      <c r="D19" s="14">
        <f>D7/D13</f>
        <v>0.91111111111111109</v>
      </c>
      <c r="E19" s="14">
        <f t="shared" ref="E19:O19" si="0">E7/E13</f>
        <v>0.97777777777777775</v>
      </c>
      <c r="F19" s="14">
        <f t="shared" si="0"/>
        <v>1</v>
      </c>
      <c r="G19" s="14">
        <f t="shared" si="0"/>
        <v>1</v>
      </c>
      <c r="H19" s="14">
        <f t="shared" si="0"/>
        <v>1</v>
      </c>
      <c r="I19" s="14">
        <f t="shared" si="0"/>
        <v>1</v>
      </c>
      <c r="J19" s="14">
        <f t="shared" si="0"/>
        <v>1</v>
      </c>
      <c r="K19" s="14">
        <f t="shared" si="0"/>
        <v>1</v>
      </c>
      <c r="L19" s="14">
        <f t="shared" si="0"/>
        <v>1</v>
      </c>
      <c r="M19" s="14">
        <f t="shared" si="0"/>
        <v>1</v>
      </c>
      <c r="N19" s="14">
        <f t="shared" si="0"/>
        <v>1</v>
      </c>
      <c r="O19" s="14">
        <f t="shared" si="0"/>
        <v>1</v>
      </c>
    </row>
    <row r="20" spans="2:16" x14ac:dyDescent="0.3">
      <c r="B20" t="s">
        <v>73</v>
      </c>
      <c r="D20" s="14">
        <f>D14/D8</f>
        <v>0.72222222222222221</v>
      </c>
      <c r="E20" s="14">
        <f t="shared" ref="E20:O20" si="1">E14/E8</f>
        <v>0.72222222222222221</v>
      </c>
      <c r="F20" s="14">
        <f t="shared" si="1"/>
        <v>0.72222222222222221</v>
      </c>
      <c r="G20" s="14">
        <f t="shared" si="1"/>
        <v>0.77777777777777779</v>
      </c>
      <c r="H20" s="14">
        <f t="shared" si="1"/>
        <v>0.77777777777777779</v>
      </c>
      <c r="I20" s="14">
        <f t="shared" si="1"/>
        <v>0.77777777777777779</v>
      </c>
      <c r="J20" s="14">
        <f t="shared" si="1"/>
        <v>0.88888888888888884</v>
      </c>
      <c r="K20" s="14">
        <f t="shared" si="1"/>
        <v>0.88888888888888884</v>
      </c>
      <c r="L20" s="14">
        <f t="shared" si="1"/>
        <v>0.88888888888888884</v>
      </c>
      <c r="M20" s="14">
        <f t="shared" si="1"/>
        <v>0.88888888888888884</v>
      </c>
      <c r="N20" s="14">
        <f t="shared" si="1"/>
        <v>0.88888888888888884</v>
      </c>
      <c r="O20" s="14">
        <f t="shared" si="1"/>
        <v>1</v>
      </c>
    </row>
    <row r="21" spans="2:16" x14ac:dyDescent="0.3">
      <c r="B21" t="s">
        <v>1</v>
      </c>
      <c r="D21" s="14">
        <f>D15/D9</f>
        <v>0.3888888888888889</v>
      </c>
      <c r="E21" s="14">
        <f t="shared" ref="E21:O21" si="2">E15/E9</f>
        <v>0.3888888888888889</v>
      </c>
      <c r="F21" s="14">
        <f t="shared" si="2"/>
        <v>0.3888888888888889</v>
      </c>
      <c r="G21" s="14">
        <f t="shared" si="2"/>
        <v>0.3888888888888889</v>
      </c>
      <c r="H21" s="14">
        <f t="shared" si="2"/>
        <v>0.44444444444444442</v>
      </c>
      <c r="I21" s="14">
        <f t="shared" si="2"/>
        <v>0.44444444444444442</v>
      </c>
      <c r="J21" s="14">
        <f t="shared" si="2"/>
        <v>0.44444444444444442</v>
      </c>
      <c r="K21" s="14">
        <f t="shared" si="2"/>
        <v>0.5</v>
      </c>
      <c r="L21" s="14">
        <f t="shared" si="2"/>
        <v>0.5</v>
      </c>
      <c r="M21" s="14">
        <f t="shared" si="2"/>
        <v>0.5</v>
      </c>
      <c r="N21" s="14">
        <f t="shared" si="2"/>
        <v>0.5</v>
      </c>
      <c r="O21" s="14">
        <f t="shared" si="2"/>
        <v>0.5</v>
      </c>
    </row>
    <row r="25" spans="2:16" ht="18" x14ac:dyDescent="0.35">
      <c r="B25" s="470" t="s">
        <v>75</v>
      </c>
      <c r="C25" s="470"/>
      <c r="D25" s="470"/>
      <c r="E25" s="470"/>
      <c r="F25" s="470"/>
      <c r="G25" s="470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3"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3">
      <c r="B27" s="183" t="s">
        <v>231</v>
      </c>
      <c r="C27" s="183" t="s">
        <v>71</v>
      </c>
      <c r="D27" s="183"/>
      <c r="E27" s="215" t="s">
        <v>32</v>
      </c>
      <c r="F27" s="215" t="s">
        <v>33</v>
      </c>
      <c r="G27" s="215" t="s">
        <v>34</v>
      </c>
      <c r="H27" s="215" t="s">
        <v>35</v>
      </c>
      <c r="I27" s="215" t="s">
        <v>36</v>
      </c>
      <c r="J27" s="215" t="s">
        <v>37</v>
      </c>
      <c r="K27" s="215" t="s">
        <v>38</v>
      </c>
      <c r="L27" s="215" t="s">
        <v>39</v>
      </c>
      <c r="M27" s="215" t="s">
        <v>40</v>
      </c>
      <c r="N27" s="215" t="s">
        <v>41</v>
      </c>
      <c r="O27" s="215" t="s">
        <v>42</v>
      </c>
      <c r="P27" s="215" t="s">
        <v>43</v>
      </c>
    </row>
    <row r="28" spans="2:16" x14ac:dyDescent="0.3">
      <c r="B28" s="24" t="s">
        <v>305</v>
      </c>
      <c r="E28" s="9">
        <v>60</v>
      </c>
      <c r="F28" s="9">
        <v>60</v>
      </c>
      <c r="G28" s="9">
        <v>60</v>
      </c>
      <c r="H28" s="9">
        <v>60</v>
      </c>
      <c r="I28" s="9">
        <v>60</v>
      </c>
      <c r="J28" s="9">
        <v>60</v>
      </c>
      <c r="K28" s="9">
        <v>60</v>
      </c>
      <c r="L28" s="9">
        <v>60</v>
      </c>
      <c r="M28" s="9">
        <v>60</v>
      </c>
      <c r="N28" s="9">
        <v>60</v>
      </c>
      <c r="O28" s="9">
        <v>60</v>
      </c>
      <c r="P28" s="9">
        <v>60</v>
      </c>
    </row>
    <row r="29" spans="2:16" x14ac:dyDescent="0.3">
      <c r="B29" s="24" t="s">
        <v>306</v>
      </c>
      <c r="E29" s="9">
        <v>30</v>
      </c>
      <c r="F29" s="9">
        <v>30</v>
      </c>
      <c r="G29" s="9">
        <v>30</v>
      </c>
      <c r="H29" s="9">
        <v>30</v>
      </c>
      <c r="I29" s="9">
        <v>30</v>
      </c>
      <c r="J29" s="9">
        <v>30</v>
      </c>
      <c r="K29" s="9">
        <v>30</v>
      </c>
      <c r="L29" s="9">
        <v>30</v>
      </c>
      <c r="M29" s="9">
        <v>30</v>
      </c>
      <c r="N29" s="9">
        <v>30</v>
      </c>
      <c r="O29" s="9">
        <v>30</v>
      </c>
      <c r="P29" s="9">
        <v>30</v>
      </c>
    </row>
    <row r="31" spans="2:16" x14ac:dyDescent="0.3">
      <c r="B31" s="183" t="s">
        <v>101</v>
      </c>
      <c r="C31" s="183" t="s">
        <v>71</v>
      </c>
      <c r="D31" s="183"/>
      <c r="E31" s="215" t="s">
        <v>32</v>
      </c>
      <c r="F31" s="215" t="s">
        <v>33</v>
      </c>
      <c r="G31" s="215" t="s">
        <v>34</v>
      </c>
      <c r="H31" s="215" t="s">
        <v>35</v>
      </c>
      <c r="I31" s="215" t="s">
        <v>36</v>
      </c>
      <c r="J31" s="215" t="s">
        <v>37</v>
      </c>
      <c r="K31" s="215" t="s">
        <v>38</v>
      </c>
      <c r="L31" s="215" t="s">
        <v>39</v>
      </c>
      <c r="M31" s="215" t="s">
        <v>40</v>
      </c>
      <c r="N31" s="215" t="s">
        <v>41</v>
      </c>
      <c r="O31" s="215" t="s">
        <v>42</v>
      </c>
      <c r="P31" s="215" t="s">
        <v>43</v>
      </c>
    </row>
    <row r="32" spans="2:16" x14ac:dyDescent="0.3">
      <c r="B32" s="24" t="s">
        <v>305</v>
      </c>
      <c r="E32" s="9">
        <v>35</v>
      </c>
      <c r="F32" s="9">
        <v>35</v>
      </c>
      <c r="G32" s="9">
        <v>55</v>
      </c>
      <c r="H32" s="9">
        <v>60</v>
      </c>
      <c r="I32" s="9">
        <v>60</v>
      </c>
      <c r="J32" s="9">
        <v>60</v>
      </c>
      <c r="K32" s="9">
        <v>60</v>
      </c>
      <c r="L32" s="9">
        <v>60</v>
      </c>
      <c r="M32" s="9">
        <v>40</v>
      </c>
      <c r="N32" s="9">
        <v>60</v>
      </c>
      <c r="O32" s="9">
        <v>60</v>
      </c>
      <c r="P32" s="9">
        <v>60</v>
      </c>
    </row>
    <row r="33" spans="2:16" x14ac:dyDescent="0.3">
      <c r="B33" s="24" t="s">
        <v>306</v>
      </c>
      <c r="E33" s="9">
        <v>20</v>
      </c>
      <c r="F33" s="9">
        <v>20</v>
      </c>
      <c r="G33" s="9">
        <v>20</v>
      </c>
      <c r="H33" s="9">
        <v>30</v>
      </c>
      <c r="I33" s="9">
        <v>30</v>
      </c>
      <c r="J33" s="9">
        <v>30</v>
      </c>
      <c r="K33" s="9">
        <v>30</v>
      </c>
      <c r="L33" s="9">
        <v>30</v>
      </c>
      <c r="M33" s="9">
        <v>20</v>
      </c>
      <c r="N33" s="9">
        <v>30</v>
      </c>
      <c r="O33" s="9">
        <v>30</v>
      </c>
      <c r="P33" s="9">
        <v>30</v>
      </c>
    </row>
    <row r="35" spans="2:16" x14ac:dyDescent="0.3">
      <c r="B35" s="156"/>
      <c r="C35" s="183" t="s">
        <v>71</v>
      </c>
      <c r="D35" s="183"/>
      <c r="E35" s="215" t="s">
        <v>32</v>
      </c>
      <c r="F35" s="215" t="s">
        <v>33</v>
      </c>
      <c r="G35" s="215" t="s">
        <v>34</v>
      </c>
      <c r="H35" s="215" t="s">
        <v>35</v>
      </c>
      <c r="I35" s="215" t="s">
        <v>36</v>
      </c>
      <c r="J35" s="215" t="s">
        <v>37</v>
      </c>
      <c r="K35" s="215" t="s">
        <v>38</v>
      </c>
      <c r="L35" s="215" t="s">
        <v>39</v>
      </c>
      <c r="M35" s="215" t="s">
        <v>40</v>
      </c>
      <c r="N35" s="215" t="s">
        <v>41</v>
      </c>
      <c r="O35" s="215" t="s">
        <v>42</v>
      </c>
      <c r="P35" s="215" t="s">
        <v>43</v>
      </c>
    </row>
    <row r="36" spans="2:16" x14ac:dyDescent="0.3">
      <c r="B36" s="24" t="s">
        <v>305</v>
      </c>
      <c r="E36" s="10">
        <f>E32/E28</f>
        <v>0.58333333333333337</v>
      </c>
      <c r="F36" s="10">
        <f t="shared" ref="F36:P36" si="3">F32/F28</f>
        <v>0.58333333333333337</v>
      </c>
      <c r="G36" s="10">
        <f t="shared" si="3"/>
        <v>0.91666666666666663</v>
      </c>
      <c r="H36" s="10">
        <f t="shared" si="3"/>
        <v>1</v>
      </c>
      <c r="I36" s="10">
        <f t="shared" si="3"/>
        <v>1</v>
      </c>
      <c r="J36" s="10">
        <f t="shared" si="3"/>
        <v>1</v>
      </c>
      <c r="K36" s="10">
        <f t="shared" si="3"/>
        <v>1</v>
      </c>
      <c r="L36" s="10">
        <f t="shared" si="3"/>
        <v>1</v>
      </c>
      <c r="M36" s="10">
        <f t="shared" si="3"/>
        <v>0.66666666666666663</v>
      </c>
      <c r="N36" s="10">
        <f t="shared" si="3"/>
        <v>1</v>
      </c>
      <c r="O36" s="10">
        <f t="shared" si="3"/>
        <v>1</v>
      </c>
      <c r="P36" s="10">
        <f t="shared" si="3"/>
        <v>1</v>
      </c>
    </row>
    <row r="37" spans="2:16" x14ac:dyDescent="0.3">
      <c r="B37" s="24" t="s">
        <v>306</v>
      </c>
      <c r="E37" s="10">
        <f>E33/E29</f>
        <v>0.66666666666666663</v>
      </c>
      <c r="F37" s="10">
        <f t="shared" ref="F37:P37" si="4">F33/F29</f>
        <v>0.66666666666666663</v>
      </c>
      <c r="G37" s="10">
        <f t="shared" si="4"/>
        <v>0.66666666666666663</v>
      </c>
      <c r="H37" s="10">
        <f t="shared" si="4"/>
        <v>1</v>
      </c>
      <c r="I37" s="10">
        <f t="shared" si="4"/>
        <v>1</v>
      </c>
      <c r="J37" s="10">
        <f t="shared" si="4"/>
        <v>1</v>
      </c>
      <c r="K37" s="10">
        <f t="shared" si="4"/>
        <v>1</v>
      </c>
      <c r="L37" s="10">
        <f t="shared" si="4"/>
        <v>1</v>
      </c>
      <c r="M37" s="10">
        <f t="shared" si="4"/>
        <v>0.66666666666666663</v>
      </c>
      <c r="N37" s="10">
        <f t="shared" si="4"/>
        <v>1</v>
      </c>
      <c r="O37" s="10">
        <f t="shared" si="4"/>
        <v>1</v>
      </c>
      <c r="P37" s="10">
        <f t="shared" si="4"/>
        <v>1</v>
      </c>
    </row>
  </sheetData>
  <mergeCells count="1">
    <mergeCell ref="B25:G25"/>
  </mergeCells>
  <phoneticPr fontId="7" type="noConversion"/>
  <pageMargins left="0.7" right="0.7" top="0.75" bottom="0.75" header="0.3" footer="0.3"/>
  <pageSetup paperSize="9" orientation="portrait" horizontalDpi="1200" verticalDpi="1200" r:id="rId1"/>
  <ignoredErrors>
    <ignoredError sqref="D2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CA605-5749-4E77-B2F3-60FEE105176F}">
  <sheetPr codeName="Sheet23"/>
  <dimension ref="A1:Y145"/>
  <sheetViews>
    <sheetView showGridLines="0" tabSelected="1" workbookViewId="0">
      <selection activeCell="H41" sqref="H41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5546875" style="136" bestFit="1" customWidth="1"/>
    <col min="7" max="7" width="9.6640625" customWidth="1"/>
    <col min="8" max="8" width="9.6640625" bestFit="1" customWidth="1"/>
    <col min="9" max="9" width="10.44140625" customWidth="1"/>
    <col min="10" max="13" width="9.5546875" bestFit="1" customWidth="1"/>
    <col min="14" max="14" width="9.5546875" customWidth="1"/>
    <col min="15" max="16" width="9.5546875" bestFit="1" customWidth="1"/>
    <col min="17" max="17" width="10" customWidth="1"/>
    <col min="18" max="18" width="9.5546875" bestFit="1" customWidth="1"/>
    <col min="19" max="19" width="9.33203125" customWidth="1"/>
    <col min="20" max="20" width="9.77734375" customWidth="1"/>
    <col min="21" max="21" width="10.5546875" bestFit="1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184</v>
      </c>
      <c r="F2"/>
    </row>
    <row r="3" spans="1:25" x14ac:dyDescent="0.3">
      <c r="B3" t="s">
        <v>153</v>
      </c>
      <c r="F3"/>
    </row>
    <row r="4" spans="1:25" x14ac:dyDescent="0.3">
      <c r="F4"/>
    </row>
    <row r="5" spans="1:25" x14ac:dyDescent="0.3">
      <c r="A5" s="156"/>
      <c r="B5" s="183" t="s">
        <v>185</v>
      </c>
      <c r="C5" s="156"/>
      <c r="D5" s="156"/>
      <c r="E5" s="156"/>
      <c r="F5" s="215">
        <v>2023</v>
      </c>
      <c r="G5" s="215">
        <v>2023</v>
      </c>
      <c r="H5" s="215">
        <v>2023</v>
      </c>
      <c r="I5" s="215">
        <v>2023</v>
      </c>
      <c r="J5" s="215">
        <v>2023</v>
      </c>
      <c r="K5" s="215">
        <v>2023</v>
      </c>
      <c r="L5" s="215">
        <v>2023</v>
      </c>
      <c r="M5" s="215">
        <v>2023</v>
      </c>
      <c r="N5" s="215">
        <v>2023</v>
      </c>
      <c r="O5" s="215">
        <v>2023</v>
      </c>
      <c r="P5" s="215">
        <v>2023</v>
      </c>
      <c r="Q5" s="215">
        <v>2023</v>
      </c>
      <c r="R5" s="215">
        <v>2024</v>
      </c>
      <c r="S5" s="215">
        <v>2024</v>
      </c>
      <c r="T5" s="215">
        <v>2024</v>
      </c>
      <c r="U5" s="156"/>
    </row>
    <row r="6" spans="1:25" ht="15" thickBot="1" x14ac:dyDescent="0.35">
      <c r="A6" s="168"/>
      <c r="B6" s="169" t="s">
        <v>71</v>
      </c>
      <c r="C6" s="157"/>
      <c r="D6" s="157"/>
      <c r="E6" s="157"/>
      <c r="F6" s="214" t="s">
        <v>32</v>
      </c>
      <c r="G6" s="214" t="s">
        <v>33</v>
      </c>
      <c r="H6" s="214" t="s">
        <v>34</v>
      </c>
      <c r="I6" s="214" t="s">
        <v>35</v>
      </c>
      <c r="J6" s="214" t="s">
        <v>36</v>
      </c>
      <c r="K6" s="214" t="s">
        <v>37</v>
      </c>
      <c r="L6" s="214" t="s">
        <v>38</v>
      </c>
      <c r="M6" s="214" t="s">
        <v>39</v>
      </c>
      <c r="N6" s="214" t="s">
        <v>40</v>
      </c>
      <c r="O6" s="214" t="s">
        <v>41</v>
      </c>
      <c r="P6" s="214" t="s">
        <v>42</v>
      </c>
      <c r="Q6" s="214" t="s">
        <v>43</v>
      </c>
      <c r="R6" s="214" t="s">
        <v>32</v>
      </c>
      <c r="S6" s="214" t="s">
        <v>33</v>
      </c>
      <c r="T6" s="214" t="s">
        <v>34</v>
      </c>
      <c r="U6" s="211" t="s">
        <v>80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78" t="s">
        <v>361</v>
      </c>
      <c r="F8"/>
    </row>
    <row r="9" spans="1:25" x14ac:dyDescent="0.3">
      <c r="C9" s="179"/>
      <c r="F9"/>
    </row>
    <row r="10" spans="1:25" x14ac:dyDescent="0.3">
      <c r="C10" s="178" t="s">
        <v>55</v>
      </c>
      <c r="F10"/>
      <c r="G10" s="180"/>
      <c r="H10" s="180"/>
      <c r="I10" s="180"/>
      <c r="J10" s="180"/>
      <c r="K10" s="180"/>
      <c r="L10" s="179"/>
      <c r="M10" s="180"/>
      <c r="N10" s="180"/>
      <c r="O10" s="180"/>
      <c r="P10" s="180"/>
      <c r="Q10" s="180"/>
      <c r="R10" s="180"/>
      <c r="S10" s="180"/>
      <c r="T10" s="180"/>
      <c r="V10" s="1"/>
    </row>
    <row r="11" spans="1:25" x14ac:dyDescent="0.3">
      <c r="C11" s="179" t="s">
        <v>187</v>
      </c>
      <c r="F11" s="180">
        <f>'CF 2023'!G45</f>
        <v>356910.12639999983</v>
      </c>
      <c r="G11" s="180">
        <f>F14+'CF 2023'!H54</f>
        <v>709344.27199999988</v>
      </c>
      <c r="H11" s="180">
        <f>G14+'CF 2023'!I54</f>
        <v>1076275.2574080001</v>
      </c>
      <c r="I11" s="180">
        <f>H14+'CF 2023'!J54</f>
        <v>1456760.348608</v>
      </c>
      <c r="J11" s="180">
        <f>I14+'CF 2023'!K54</f>
        <v>1862942.857568</v>
      </c>
      <c r="K11" s="180">
        <f>J14+'CF 2023'!L54</f>
        <v>2290445.8049280001</v>
      </c>
      <c r="L11" s="180">
        <f>K14+'CF 2023'!M54</f>
        <v>2731076.3831679998</v>
      </c>
      <c r="M11" s="180">
        <f>L14+'CF 2023'!N54</f>
        <v>3191792.867168</v>
      </c>
      <c r="N11" s="180">
        <f>M14+'CF 2023'!O54</f>
        <v>3673268.6383679998</v>
      </c>
      <c r="O11" s="180">
        <f>N14+'CF 2023'!P54</f>
        <v>4189532.4767680001</v>
      </c>
      <c r="P11" s="180">
        <f>O14+'CF 2023'!Q54</f>
        <v>4723188.6951679997</v>
      </c>
      <c r="Q11" s="180">
        <f>P14+'CF 2023'!R54</f>
        <v>5300048.053568</v>
      </c>
      <c r="R11" s="180">
        <f>'BS 2024'!F11</f>
        <v>5882517.8119680006</v>
      </c>
      <c r="S11" s="180">
        <f>'BS 2024'!G11</f>
        <v>6477329.5895680003</v>
      </c>
      <c r="T11" s="180">
        <f>'BS 2024'!H11</f>
        <v>7084483.3863679999</v>
      </c>
      <c r="U11" s="1"/>
      <c r="V11" s="1"/>
    </row>
    <row r="12" spans="1:25" x14ac:dyDescent="0.3">
      <c r="C12" s="179" t="s">
        <v>188</v>
      </c>
      <c r="F12" s="180"/>
      <c r="G12" s="179"/>
      <c r="H12" s="179"/>
      <c r="I12" s="179" t="s">
        <v>205</v>
      </c>
      <c r="J12" s="179"/>
      <c r="K12" s="179" t="s">
        <v>205</v>
      </c>
      <c r="L12" s="179"/>
      <c r="M12" s="179"/>
      <c r="N12" s="179"/>
      <c r="O12" s="179"/>
      <c r="P12" s="179"/>
      <c r="Q12" s="179"/>
      <c r="R12" s="179"/>
      <c r="S12" s="179" t="s">
        <v>205</v>
      </c>
      <c r="T12" s="179" t="s">
        <v>205</v>
      </c>
      <c r="V12" s="1"/>
    </row>
    <row r="13" spans="1:25" x14ac:dyDescent="0.3">
      <c r="C13" s="179" t="s">
        <v>189</v>
      </c>
      <c r="F13"/>
      <c r="I13" s="180"/>
      <c r="K13" s="180"/>
      <c r="S13" s="180"/>
      <c r="T13" s="180"/>
      <c r="V13" s="1"/>
    </row>
    <row r="14" spans="1:25" x14ac:dyDescent="0.3">
      <c r="C14" s="179" t="s">
        <v>190</v>
      </c>
      <c r="F14" s="180">
        <f>SUM(F11:F13)</f>
        <v>356910.12639999983</v>
      </c>
      <c r="G14" s="180">
        <f t="shared" ref="G14:Q14" si="0">SUM(G11:G13)</f>
        <v>709344.27199999988</v>
      </c>
      <c r="H14" s="180">
        <f t="shared" si="0"/>
        <v>1076275.2574080001</v>
      </c>
      <c r="I14" s="180">
        <f t="shared" si="0"/>
        <v>1456760.348608</v>
      </c>
      <c r="J14" s="180">
        <f t="shared" si="0"/>
        <v>1862942.857568</v>
      </c>
      <c r="K14" s="180">
        <f t="shared" si="0"/>
        <v>2290445.8049280001</v>
      </c>
      <c r="L14" s="180">
        <f t="shared" si="0"/>
        <v>2731076.3831679998</v>
      </c>
      <c r="M14" s="180">
        <f t="shared" si="0"/>
        <v>3191792.867168</v>
      </c>
      <c r="N14" s="180">
        <f t="shared" si="0"/>
        <v>3673268.6383679998</v>
      </c>
      <c r="O14" s="180">
        <f t="shared" si="0"/>
        <v>4189532.4767680001</v>
      </c>
      <c r="P14" s="180">
        <f t="shared" si="0"/>
        <v>4723188.6951679997</v>
      </c>
      <c r="Q14" s="180">
        <f t="shared" si="0"/>
        <v>5300048.053568</v>
      </c>
      <c r="R14" s="180">
        <f t="shared" ref="R14" si="1">SUM(R11:R13)</f>
        <v>5882517.8119680006</v>
      </c>
      <c r="S14" s="180">
        <f t="shared" ref="S14" si="2">SUM(S11:S13)</f>
        <v>6477329.5895680003</v>
      </c>
      <c r="T14" s="180">
        <f t="shared" ref="T14" si="3">SUM(T11:T13)</f>
        <v>7084483.3863679999</v>
      </c>
      <c r="U14" s="225">
        <f>SUM(F14:Q14)</f>
        <v>31561585.781120002</v>
      </c>
      <c r="V14" s="1"/>
    </row>
    <row r="15" spans="1:25" x14ac:dyDescent="0.3">
      <c r="C15" s="178" t="s">
        <v>56</v>
      </c>
      <c r="F15"/>
      <c r="G15" s="179"/>
      <c r="H15" s="179"/>
      <c r="I15" s="179"/>
      <c r="J15" s="182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V15" s="1"/>
    </row>
    <row r="16" spans="1:25" x14ac:dyDescent="0.3">
      <c r="C16" s="181" t="s">
        <v>191</v>
      </c>
      <c r="F16" s="180">
        <f>ABS('CF 2023'!G47)-'IS 2023'!F60</f>
        <v>451711</v>
      </c>
      <c r="G16" s="180">
        <f>F16-'IS 2023'!G60</f>
        <v>453422</v>
      </c>
      <c r="H16" s="180">
        <f>G16-'IS 2023'!H60</f>
        <v>455133</v>
      </c>
      <c r="I16" s="180">
        <f>H16-'IS 2023'!I60</f>
        <v>456844</v>
      </c>
      <c r="J16" s="180">
        <f>I16-'IS 2023'!J60</f>
        <v>458555</v>
      </c>
      <c r="K16" s="180">
        <f>J16-'IS 2023'!K60</f>
        <v>460266</v>
      </c>
      <c r="L16" s="180">
        <f>K16-'IS 2023'!L60</f>
        <v>461977</v>
      </c>
      <c r="M16" s="180">
        <f>L16-'IS 2023'!M60</f>
        <v>463688</v>
      </c>
      <c r="N16" s="180">
        <f>M16-'IS 2023'!N60</f>
        <v>465399</v>
      </c>
      <c r="O16" s="180">
        <f>N16-'IS 2023'!O60</f>
        <v>467110</v>
      </c>
      <c r="P16" s="180">
        <f>O16-'IS 2023'!P60</f>
        <v>468821</v>
      </c>
      <c r="Q16" s="180">
        <f>P16-'IS 2023'!Q60</f>
        <v>470532</v>
      </c>
      <c r="R16" s="180">
        <f>'BS 2024'!F16</f>
        <v>471982</v>
      </c>
      <c r="S16" s="187">
        <f>R16-'IS 2024'!G61</f>
        <v>473432</v>
      </c>
      <c r="T16" s="187">
        <f>S16-'IS 2024'!H61</f>
        <v>474882</v>
      </c>
      <c r="V16" s="1"/>
    </row>
    <row r="17" spans="1:22" x14ac:dyDescent="0.3">
      <c r="C17" s="181" t="s">
        <v>192</v>
      </c>
      <c r="F17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V17" s="1"/>
    </row>
    <row r="18" spans="1:22" x14ac:dyDescent="0.3">
      <c r="C18" s="181" t="s">
        <v>193</v>
      </c>
      <c r="F18" s="187">
        <f>SUM(F16:F17)</f>
        <v>451711</v>
      </c>
      <c r="G18" s="187">
        <f t="shared" ref="G18:T18" si="4">SUM(G16:G17)</f>
        <v>453422</v>
      </c>
      <c r="H18" s="187">
        <f t="shared" si="4"/>
        <v>455133</v>
      </c>
      <c r="I18" s="187">
        <f t="shared" si="4"/>
        <v>456844</v>
      </c>
      <c r="J18" s="187">
        <f t="shared" si="4"/>
        <v>458555</v>
      </c>
      <c r="K18" s="187">
        <f t="shared" si="4"/>
        <v>460266</v>
      </c>
      <c r="L18" s="187">
        <f t="shared" si="4"/>
        <v>461977</v>
      </c>
      <c r="M18" s="187">
        <f t="shared" si="4"/>
        <v>463688</v>
      </c>
      <c r="N18" s="187">
        <f t="shared" si="4"/>
        <v>465399</v>
      </c>
      <c r="O18" s="187">
        <f t="shared" si="4"/>
        <v>467110</v>
      </c>
      <c r="P18" s="187">
        <f t="shared" si="4"/>
        <v>468821</v>
      </c>
      <c r="Q18" s="187">
        <f t="shared" si="4"/>
        <v>470532</v>
      </c>
      <c r="R18" s="187">
        <f t="shared" si="4"/>
        <v>471982</v>
      </c>
      <c r="S18" s="187">
        <f t="shared" si="4"/>
        <v>473432</v>
      </c>
      <c r="T18" s="187">
        <f t="shared" si="4"/>
        <v>474882</v>
      </c>
      <c r="V18" s="1"/>
    </row>
    <row r="19" spans="1:22" x14ac:dyDescent="0.3">
      <c r="A19" s="151"/>
      <c r="B19" s="156"/>
      <c r="C19" s="190" t="s">
        <v>194</v>
      </c>
      <c r="D19" s="156"/>
      <c r="E19" s="156"/>
      <c r="F19" s="191">
        <f>SUM(F17:F18)</f>
        <v>451711</v>
      </c>
      <c r="G19" s="191">
        <f t="shared" ref="G19:T19" si="5">SUM(G17:G18)</f>
        <v>453422</v>
      </c>
      <c r="H19" s="191">
        <f t="shared" si="5"/>
        <v>455133</v>
      </c>
      <c r="I19" s="191">
        <f t="shared" si="5"/>
        <v>456844</v>
      </c>
      <c r="J19" s="191">
        <f t="shared" si="5"/>
        <v>458555</v>
      </c>
      <c r="K19" s="191">
        <f t="shared" si="5"/>
        <v>460266</v>
      </c>
      <c r="L19" s="191">
        <f t="shared" si="5"/>
        <v>461977</v>
      </c>
      <c r="M19" s="191">
        <f t="shared" si="5"/>
        <v>463688</v>
      </c>
      <c r="N19" s="191">
        <f t="shared" si="5"/>
        <v>465399</v>
      </c>
      <c r="O19" s="191">
        <f t="shared" si="5"/>
        <v>467110</v>
      </c>
      <c r="P19" s="191">
        <f t="shared" si="5"/>
        <v>468821</v>
      </c>
      <c r="Q19" s="191">
        <f t="shared" si="5"/>
        <v>470532</v>
      </c>
      <c r="R19" s="191">
        <f t="shared" si="5"/>
        <v>471982</v>
      </c>
      <c r="S19" s="191">
        <f t="shared" si="5"/>
        <v>473432</v>
      </c>
      <c r="T19" s="191">
        <f t="shared" si="5"/>
        <v>474882</v>
      </c>
      <c r="U19" s="164">
        <f>SUM(F19:Q19)</f>
        <v>5533458</v>
      </c>
      <c r="V19" s="1"/>
    </row>
    <row r="20" spans="1:22" x14ac:dyDescent="0.3">
      <c r="A20" s="168"/>
      <c r="B20" s="157"/>
      <c r="C20" s="192" t="s">
        <v>57</v>
      </c>
      <c r="D20" s="157"/>
      <c r="E20" s="157"/>
      <c r="F20" s="193">
        <f>F14+F19</f>
        <v>808621.12639999983</v>
      </c>
      <c r="G20" s="193">
        <f>G14+G19</f>
        <v>1162766.2719999999</v>
      </c>
      <c r="H20" s="193">
        <f t="shared" ref="H20:T20" si="6">H14+H19</f>
        <v>1531408.2574080001</v>
      </c>
      <c r="I20" s="193">
        <f t="shared" si="6"/>
        <v>1913604.348608</v>
      </c>
      <c r="J20" s="193">
        <f t="shared" si="6"/>
        <v>2321497.857568</v>
      </c>
      <c r="K20" s="193">
        <f t="shared" si="6"/>
        <v>2750711.8049280001</v>
      </c>
      <c r="L20" s="193">
        <f t="shared" si="6"/>
        <v>3193053.3831679998</v>
      </c>
      <c r="M20" s="193">
        <f t="shared" si="6"/>
        <v>3655480.867168</v>
      </c>
      <c r="N20" s="193">
        <f t="shared" si="6"/>
        <v>4138667.6383679998</v>
      </c>
      <c r="O20" s="193">
        <f t="shared" si="6"/>
        <v>4656642.4767680001</v>
      </c>
      <c r="P20" s="193">
        <f t="shared" si="6"/>
        <v>5192009.6951679997</v>
      </c>
      <c r="Q20" s="193">
        <f t="shared" si="6"/>
        <v>5770580.053568</v>
      </c>
      <c r="R20" s="193">
        <f t="shared" si="6"/>
        <v>6354499.8119680006</v>
      </c>
      <c r="S20" s="193">
        <f t="shared" si="6"/>
        <v>6950761.5895680003</v>
      </c>
      <c r="T20" s="193">
        <f t="shared" si="6"/>
        <v>7559365.3863679999</v>
      </c>
      <c r="U20" s="158">
        <f>SUM(F20:Q20)</f>
        <v>37095043.781120002</v>
      </c>
      <c r="V20" s="1"/>
    </row>
    <row r="21" spans="1:22" x14ac:dyDescent="0.3">
      <c r="C21" s="189" t="s">
        <v>58</v>
      </c>
      <c r="F21"/>
      <c r="I21" s="182"/>
      <c r="K21" s="182"/>
      <c r="S21" s="182"/>
      <c r="T21" s="182"/>
      <c r="V21" s="1"/>
    </row>
    <row r="22" spans="1:22" x14ac:dyDescent="0.3">
      <c r="C22" s="181" t="s">
        <v>195</v>
      </c>
      <c r="F22" s="182"/>
      <c r="G22" s="182"/>
      <c r="Q22" s="182"/>
      <c r="V22" s="1"/>
    </row>
    <row r="23" spans="1:22" x14ac:dyDescent="0.3">
      <c r="C23" s="181" t="s">
        <v>196</v>
      </c>
      <c r="F23"/>
      <c r="H23" s="182"/>
      <c r="J23" s="182"/>
      <c r="V23" s="1"/>
    </row>
    <row r="24" spans="1:22" x14ac:dyDescent="0.3">
      <c r="C24" s="179" t="s">
        <v>197</v>
      </c>
      <c r="F24" s="225">
        <f>'CF 2023'!G53</f>
        <v>-94400.781599999973</v>
      </c>
      <c r="G24" s="225">
        <f>'CF 2023'!H53</f>
        <v>-96645.386400000018</v>
      </c>
      <c r="H24" s="225">
        <f>'CF 2023'!I53</f>
        <v>-99428.696352000028</v>
      </c>
      <c r="I24" s="225">
        <f>'CF 2023'!J53</f>
        <v>-101976.32279999997</v>
      </c>
      <c r="J24" s="225">
        <f>'CF 2023'!K53</f>
        <v>-107559.77724000002</v>
      </c>
      <c r="K24" s="225">
        <f>'CF 2023'!L53</f>
        <v>-112048.98684000001</v>
      </c>
      <c r="L24" s="225">
        <f>'CF 2023'!M53</f>
        <v>-114489.99456000001</v>
      </c>
      <c r="M24" s="225">
        <f>'CF 2023'!N53</f>
        <v>-118670.571</v>
      </c>
      <c r="N24" s="225">
        <f>'CF 2023'!O53</f>
        <v>-123019.49279999999</v>
      </c>
      <c r="O24" s="225">
        <f>'CF 2023'!P53</f>
        <v>-130875.60960000004</v>
      </c>
      <c r="P24" s="225">
        <f>'CF 2023'!Q53</f>
        <v>-134382.8046</v>
      </c>
      <c r="Q24" s="225">
        <f>'CF 2023'!R53</f>
        <v>-147151.18960000004</v>
      </c>
      <c r="R24" s="225">
        <f>'CF 2023'!S53</f>
        <v>-149268.38960000005</v>
      </c>
      <c r="S24" s="225">
        <f>'CF 2023'!T53</f>
        <v>-151512.9944</v>
      </c>
      <c r="T24" s="225">
        <f>'CF 2023'!U53</f>
        <v>-153757.59920000003</v>
      </c>
      <c r="V24" s="1"/>
    </row>
    <row r="25" spans="1:22" x14ac:dyDescent="0.3">
      <c r="A25" s="156"/>
      <c r="B25" s="156"/>
      <c r="C25" s="183" t="s">
        <v>198</v>
      </c>
      <c r="D25" s="156"/>
      <c r="E25" s="156"/>
      <c r="F25" s="164">
        <f>SUM(F22:F24)</f>
        <v>-94400.781599999973</v>
      </c>
      <c r="G25" s="164">
        <f t="shared" ref="G25:I25" si="7">SUM(G22:G24)</f>
        <v>-96645.386400000018</v>
      </c>
      <c r="H25" s="164">
        <f t="shared" si="7"/>
        <v>-99428.696352000028</v>
      </c>
      <c r="I25" s="164">
        <f t="shared" si="7"/>
        <v>-101976.32279999997</v>
      </c>
      <c r="J25" s="164">
        <f t="shared" ref="J25" si="8">SUM(J22:J24)</f>
        <v>-107559.77724000002</v>
      </c>
      <c r="K25" s="164">
        <f t="shared" ref="K25:L25" si="9">SUM(K22:K24)</f>
        <v>-112048.98684000001</v>
      </c>
      <c r="L25" s="164">
        <f t="shared" si="9"/>
        <v>-114489.99456000001</v>
      </c>
      <c r="M25" s="164">
        <f t="shared" ref="M25" si="10">SUM(M22:M24)</f>
        <v>-118670.571</v>
      </c>
      <c r="N25" s="164">
        <f t="shared" ref="N25:O25" si="11">SUM(N22:N24)</f>
        <v>-123019.49279999999</v>
      </c>
      <c r="O25" s="164">
        <f t="shared" si="11"/>
        <v>-130875.60960000004</v>
      </c>
      <c r="P25" s="164">
        <f t="shared" ref="P25" si="12">SUM(P22:P24)</f>
        <v>-134382.8046</v>
      </c>
      <c r="Q25" s="164">
        <f t="shared" ref="Q25:R25" si="13">SUM(Q22:Q24)</f>
        <v>-147151.18960000004</v>
      </c>
      <c r="R25" s="164">
        <f t="shared" si="13"/>
        <v>-149268.38960000005</v>
      </c>
      <c r="S25" s="164">
        <f t="shared" ref="S25" si="14">SUM(S22:S24)</f>
        <v>-151512.9944</v>
      </c>
      <c r="T25" s="164">
        <f t="shared" ref="T25" si="15">SUM(T22:T24)</f>
        <v>-153757.59920000003</v>
      </c>
      <c r="U25" s="164">
        <f>SUM(F25:Q25)</f>
        <v>-1380649.6133920001</v>
      </c>
      <c r="V25" s="1"/>
    </row>
    <row r="26" spans="1:22" x14ac:dyDescent="0.3">
      <c r="A26" s="157"/>
      <c r="B26" s="157"/>
      <c r="C26" s="194" t="s">
        <v>59</v>
      </c>
      <c r="D26" s="157"/>
      <c r="E26" s="157"/>
      <c r="F26" s="158"/>
      <c r="G26" s="157"/>
      <c r="H26" s="157"/>
      <c r="I26" s="158"/>
      <c r="J26" s="157"/>
      <c r="K26" s="158"/>
      <c r="L26" s="195"/>
      <c r="M26" s="195"/>
      <c r="N26" s="195"/>
      <c r="O26" s="195"/>
      <c r="P26" s="195"/>
      <c r="Q26" s="157"/>
      <c r="R26" s="195"/>
      <c r="S26" s="158"/>
      <c r="T26" s="158"/>
      <c r="U26" s="157"/>
      <c r="V26" s="1"/>
    </row>
    <row r="27" spans="1:22" x14ac:dyDescent="0.3">
      <c r="C27" s="178" t="s">
        <v>199</v>
      </c>
      <c r="F27" s="187">
        <v>-450000</v>
      </c>
      <c r="G27" s="187">
        <f>F27-'CF 2023'!H35</f>
        <v>-433182</v>
      </c>
      <c r="H27" s="187">
        <f>G27-'CF 2023'!I35</f>
        <v>-416364</v>
      </c>
      <c r="I27" s="187">
        <f>H27-'CF 2023'!J35</f>
        <v>-399546</v>
      </c>
      <c r="J27" s="187">
        <f>I27-'CF 2023'!K35</f>
        <v>-382728</v>
      </c>
      <c r="K27" s="187">
        <f>J27-'CF 2023'!L35</f>
        <v>-365910</v>
      </c>
      <c r="L27" s="187">
        <f>K27-'CF 2023'!M35</f>
        <v>-349092</v>
      </c>
      <c r="M27" s="187">
        <f>L27-'CF 2023'!N35</f>
        <v>-332274</v>
      </c>
      <c r="N27" s="187">
        <f>M27-'CF 2023'!O35</f>
        <v>-315456</v>
      </c>
      <c r="O27" s="187">
        <f>N27-'CF 2023'!P35</f>
        <v>-298638</v>
      </c>
      <c r="P27" s="187">
        <f>O27-'CF 2023'!Q35</f>
        <v>-281820</v>
      </c>
      <c r="Q27" s="187">
        <f>P27-'CF 2023'!R35</f>
        <v>-265002</v>
      </c>
      <c r="R27" s="187">
        <f>'BS 2024'!F27</f>
        <v>-248184</v>
      </c>
      <c r="S27" s="187">
        <f>'BS 2024'!G27</f>
        <v>-231366</v>
      </c>
      <c r="T27" s="187">
        <f>'BS 2024'!H27</f>
        <v>-214548</v>
      </c>
      <c r="U27" s="225">
        <f>SUM(F27:Q27)</f>
        <v>-4290012</v>
      </c>
      <c r="V27" s="1"/>
    </row>
    <row r="28" spans="1:22" ht="12.6" customHeight="1" x14ac:dyDescent="0.3">
      <c r="C28" s="179"/>
      <c r="F28"/>
      <c r="J28" s="180" t="s">
        <v>205</v>
      </c>
      <c r="U28" s="358"/>
      <c r="V28" s="1"/>
    </row>
    <row r="29" spans="1:22" x14ac:dyDescent="0.3">
      <c r="C29" s="178" t="s">
        <v>200</v>
      </c>
      <c r="F29" s="180"/>
      <c r="G29" s="180"/>
      <c r="H29" s="180"/>
      <c r="Q29" s="180"/>
      <c r="U29" s="358"/>
      <c r="V29" s="1"/>
    </row>
    <row r="30" spans="1:22" x14ac:dyDescent="0.3">
      <c r="C30" s="181" t="s">
        <v>208</v>
      </c>
      <c r="F30" s="180"/>
      <c r="G30" s="180"/>
      <c r="H30" s="180"/>
      <c r="Q30" s="180"/>
      <c r="U30" s="358"/>
      <c r="V30" s="1"/>
    </row>
    <row r="31" spans="1:22" x14ac:dyDescent="0.3">
      <c r="C31" s="178" t="s">
        <v>201</v>
      </c>
      <c r="F31" s="187">
        <f>SUM(F27:F29)</f>
        <v>-450000</v>
      </c>
      <c r="G31" s="187">
        <f t="shared" ref="G31:T31" si="16">SUM(G27:G29)</f>
        <v>-433182</v>
      </c>
      <c r="H31" s="187">
        <f t="shared" si="16"/>
        <v>-416364</v>
      </c>
      <c r="I31" s="187">
        <f t="shared" si="16"/>
        <v>-399546</v>
      </c>
      <c r="J31" s="187">
        <f t="shared" si="16"/>
        <v>-382728</v>
      </c>
      <c r="K31" s="187">
        <f t="shared" si="16"/>
        <v>-365910</v>
      </c>
      <c r="L31" s="187">
        <f t="shared" si="16"/>
        <v>-349092</v>
      </c>
      <c r="M31" s="187">
        <f t="shared" si="16"/>
        <v>-332274</v>
      </c>
      <c r="N31" s="187">
        <f t="shared" si="16"/>
        <v>-315456</v>
      </c>
      <c r="O31" s="187">
        <f t="shared" si="16"/>
        <v>-298638</v>
      </c>
      <c r="P31" s="187">
        <f t="shared" si="16"/>
        <v>-281820</v>
      </c>
      <c r="Q31" s="187">
        <f t="shared" si="16"/>
        <v>-265002</v>
      </c>
      <c r="R31" s="187">
        <f t="shared" si="16"/>
        <v>-248184</v>
      </c>
      <c r="S31" s="187">
        <f t="shared" si="16"/>
        <v>-231366</v>
      </c>
      <c r="T31" s="187">
        <f t="shared" si="16"/>
        <v>-214548</v>
      </c>
      <c r="U31" s="358"/>
      <c r="V31" s="1"/>
    </row>
    <row r="32" spans="1:22" x14ac:dyDescent="0.3">
      <c r="C32" s="178" t="s">
        <v>60</v>
      </c>
      <c r="F32" s="187">
        <f>F31+F24</f>
        <v>-544400.78159999999</v>
      </c>
      <c r="G32" s="187">
        <f t="shared" ref="G32:I32" si="17">G31+G24</f>
        <v>-529827.38639999996</v>
      </c>
      <c r="H32" s="187">
        <f t="shared" si="17"/>
        <v>-515792.696352</v>
      </c>
      <c r="I32" s="187">
        <f t="shared" si="17"/>
        <v>-501522.32279999997</v>
      </c>
      <c r="J32" s="187">
        <f t="shared" ref="J32" si="18">J31+J24</f>
        <v>-490287.77724000002</v>
      </c>
      <c r="K32" s="187">
        <f t="shared" ref="K32:L32" si="19">K31+K24</f>
        <v>-477958.98684000003</v>
      </c>
      <c r="L32" s="187">
        <f t="shared" si="19"/>
        <v>-463581.99456000002</v>
      </c>
      <c r="M32" s="187">
        <f t="shared" ref="M32" si="20">M31+M24</f>
        <v>-450944.571</v>
      </c>
      <c r="N32" s="187">
        <f t="shared" ref="N32:O32" si="21">N31+N24</f>
        <v>-438475.49280000001</v>
      </c>
      <c r="O32" s="187">
        <f t="shared" si="21"/>
        <v>-429513.60960000003</v>
      </c>
      <c r="P32" s="187">
        <f t="shared" ref="P32" si="22">P31+P24</f>
        <v>-416202.80460000003</v>
      </c>
      <c r="Q32" s="187">
        <f t="shared" ref="Q32:R32" si="23">Q31+Q24</f>
        <v>-412153.18960000004</v>
      </c>
      <c r="R32" s="187">
        <f t="shared" si="23"/>
        <v>-397452.38960000005</v>
      </c>
      <c r="S32" s="187">
        <f t="shared" ref="S32" si="24">S31+S24</f>
        <v>-382878.99439999997</v>
      </c>
      <c r="T32" s="187">
        <f t="shared" ref="T32" si="25">T31+T24</f>
        <v>-368305.59920000006</v>
      </c>
      <c r="U32" s="358"/>
      <c r="V32" s="1"/>
    </row>
    <row r="33" spans="3:22" x14ac:dyDescent="0.3">
      <c r="C33" s="178" t="s">
        <v>61</v>
      </c>
      <c r="F33" s="224">
        <f>F20+F32</f>
        <v>264220.34479999985</v>
      </c>
      <c r="G33" s="224">
        <f t="shared" ref="G33:Q33" si="26">G20+G32</f>
        <v>632938.88559999992</v>
      </c>
      <c r="H33" s="224">
        <f t="shared" si="26"/>
        <v>1015615.5610560001</v>
      </c>
      <c r="I33" s="224">
        <f t="shared" si="26"/>
        <v>1412082.025808</v>
      </c>
      <c r="J33" s="224">
        <f t="shared" si="26"/>
        <v>1831210.080328</v>
      </c>
      <c r="K33" s="224">
        <f t="shared" si="26"/>
        <v>2272752.8180880002</v>
      </c>
      <c r="L33" s="224">
        <f t="shared" si="26"/>
        <v>2729471.3886079998</v>
      </c>
      <c r="M33" s="224">
        <f t="shared" si="26"/>
        <v>3204536.296168</v>
      </c>
      <c r="N33" s="224">
        <f t="shared" si="26"/>
        <v>3700192.1455679997</v>
      </c>
      <c r="O33" s="224">
        <f t="shared" si="26"/>
        <v>4227128.867168</v>
      </c>
      <c r="P33" s="224">
        <f t="shared" si="26"/>
        <v>4775806.8905679993</v>
      </c>
      <c r="Q33" s="224">
        <f t="shared" si="26"/>
        <v>5358426.8639679998</v>
      </c>
      <c r="R33" s="224">
        <f t="shared" ref="R33" si="27">R20+R32</f>
        <v>5957047.4223680003</v>
      </c>
      <c r="S33" s="224">
        <f t="shared" ref="S33" si="28">S20+S32</f>
        <v>6567882.5951680001</v>
      </c>
      <c r="T33" s="224">
        <f t="shared" ref="T33" si="29">T20+T32</f>
        <v>7191059.7871679999</v>
      </c>
      <c r="U33" s="359">
        <f>SUM(F33:Q33)</f>
        <v>31424382.167727996</v>
      </c>
      <c r="V33" s="1"/>
    </row>
    <row r="34" spans="3:22" x14ac:dyDescent="0.3">
      <c r="C34" s="181" t="s">
        <v>63</v>
      </c>
      <c r="F34" s="179"/>
      <c r="G34" s="179"/>
      <c r="H34" s="179"/>
      <c r="I34" s="179"/>
      <c r="J34" s="180"/>
      <c r="K34" s="180"/>
      <c r="L34" s="180"/>
      <c r="M34" s="180"/>
      <c r="N34" s="180"/>
      <c r="O34" s="180"/>
      <c r="P34" s="180"/>
      <c r="Q34" s="179"/>
      <c r="R34" s="180"/>
      <c r="S34" s="180"/>
      <c r="T34" s="180"/>
      <c r="V34" s="1"/>
    </row>
    <row r="35" spans="3:22" x14ac:dyDescent="0.3">
      <c r="C35" s="181" t="s">
        <v>65</v>
      </c>
      <c r="F35" s="180">
        <f>SUM(F33:F34)</f>
        <v>264220.34479999985</v>
      </c>
      <c r="G35" s="180">
        <f t="shared" ref="G35:T35" si="30">SUM(G33:G34)</f>
        <v>632938.88559999992</v>
      </c>
      <c r="H35" s="180">
        <f t="shared" si="30"/>
        <v>1015615.5610560001</v>
      </c>
      <c r="I35" s="180">
        <f t="shared" si="30"/>
        <v>1412082.025808</v>
      </c>
      <c r="J35" s="180">
        <f t="shared" si="30"/>
        <v>1831210.080328</v>
      </c>
      <c r="K35" s="180">
        <f t="shared" si="30"/>
        <v>2272752.8180880002</v>
      </c>
      <c r="L35" s="180">
        <f t="shared" si="30"/>
        <v>2729471.3886079998</v>
      </c>
      <c r="M35" s="180">
        <f t="shared" si="30"/>
        <v>3204536.296168</v>
      </c>
      <c r="N35" s="180">
        <f t="shared" si="30"/>
        <v>3700192.1455679997</v>
      </c>
      <c r="O35" s="180">
        <f t="shared" si="30"/>
        <v>4227128.867168</v>
      </c>
      <c r="P35" s="180">
        <f t="shared" si="30"/>
        <v>4775806.8905679993</v>
      </c>
      <c r="Q35" s="180">
        <f t="shared" si="30"/>
        <v>5358426.8639679998</v>
      </c>
      <c r="R35" s="180">
        <f t="shared" si="30"/>
        <v>5957047.4223680003</v>
      </c>
      <c r="S35" s="180">
        <f t="shared" si="30"/>
        <v>6567882.5951680001</v>
      </c>
      <c r="T35" s="180">
        <f t="shared" si="30"/>
        <v>7191059.7871679999</v>
      </c>
      <c r="V35" s="1"/>
    </row>
    <row r="36" spans="3:22" x14ac:dyDescent="0.3">
      <c r="C36" s="188" t="s">
        <v>66</v>
      </c>
      <c r="F36" s="180">
        <f>F34+F35</f>
        <v>264220.34479999985</v>
      </c>
      <c r="G36" s="180">
        <f t="shared" ref="G36:T36" si="31">G34+G35</f>
        <v>632938.88559999992</v>
      </c>
      <c r="H36" s="180">
        <f t="shared" si="31"/>
        <v>1015615.5610560001</v>
      </c>
      <c r="I36" s="180">
        <f t="shared" si="31"/>
        <v>1412082.025808</v>
      </c>
      <c r="J36" s="180">
        <f t="shared" si="31"/>
        <v>1831210.080328</v>
      </c>
      <c r="K36" s="180">
        <f t="shared" si="31"/>
        <v>2272752.8180880002</v>
      </c>
      <c r="L36" s="180">
        <f t="shared" si="31"/>
        <v>2729471.3886079998</v>
      </c>
      <c r="M36" s="180">
        <f t="shared" si="31"/>
        <v>3204536.296168</v>
      </c>
      <c r="N36" s="180">
        <f t="shared" si="31"/>
        <v>3700192.1455679997</v>
      </c>
      <c r="O36" s="180">
        <f t="shared" si="31"/>
        <v>4227128.867168</v>
      </c>
      <c r="P36" s="180">
        <f t="shared" si="31"/>
        <v>4775806.8905679993</v>
      </c>
      <c r="Q36" s="180">
        <f t="shared" si="31"/>
        <v>5358426.8639679998</v>
      </c>
      <c r="R36" s="180">
        <f t="shared" si="31"/>
        <v>5957047.4223680003</v>
      </c>
      <c r="S36" s="180">
        <f t="shared" si="31"/>
        <v>6567882.5951680001</v>
      </c>
      <c r="T36" s="180">
        <f t="shared" si="31"/>
        <v>7191059.7871679999</v>
      </c>
      <c r="V36" s="1"/>
    </row>
    <row r="37" spans="3:22" x14ac:dyDescent="0.3">
      <c r="C37" s="181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V37" s="1"/>
    </row>
    <row r="38" spans="3:22" x14ac:dyDescent="0.3">
      <c r="C38" s="181" t="s">
        <v>202</v>
      </c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V38" s="1"/>
    </row>
    <row r="39" spans="3:22" x14ac:dyDescent="0.3">
      <c r="C39" s="181" t="s">
        <v>203</v>
      </c>
      <c r="F3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V39" s="1"/>
    </row>
    <row r="40" spans="3:22" x14ac:dyDescent="0.3">
      <c r="C40" s="181" t="s">
        <v>204</v>
      </c>
      <c r="F40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V40" s="1"/>
    </row>
    <row r="41" spans="3:22" x14ac:dyDescent="0.3">
      <c r="C41" s="181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</sheetData>
  <phoneticPr fontId="7" type="noConversion"/>
  <pageMargins left="0.7" right="0.7" top="0.75" bottom="0.75" header="0.3" footer="0.3"/>
  <ignoredErrors>
    <ignoredError sqref="F19:G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2867D-A35F-407E-8EA4-B2A4D82E260A}">
  <sheetPr codeName="Sheet1"/>
  <dimension ref="B2:V99"/>
  <sheetViews>
    <sheetView showGridLines="0" topLeftCell="A59" zoomScale="96" zoomScaleNormal="96" workbookViewId="0">
      <selection activeCell="E52" sqref="E52"/>
    </sheetView>
  </sheetViews>
  <sheetFormatPr defaultRowHeight="14.4" x14ac:dyDescent="0.3"/>
  <cols>
    <col min="1" max="1" width="2.44140625" customWidth="1"/>
    <col min="5" max="5" width="12.6640625" customWidth="1"/>
    <col min="6" max="6" width="11.109375" customWidth="1"/>
    <col min="7" max="7" width="11.5546875" customWidth="1"/>
    <col min="8" max="9" width="11.6640625" customWidth="1"/>
    <col min="10" max="10" width="3.6640625" customWidth="1"/>
    <col min="11" max="11" width="12.77734375" customWidth="1"/>
    <col min="12" max="12" width="10.109375" bestFit="1" customWidth="1"/>
    <col min="13" max="13" width="10.33203125" customWidth="1"/>
    <col min="14" max="15" width="10.109375" customWidth="1"/>
    <col min="16" max="16" width="10" customWidth="1"/>
    <col min="17" max="18" width="10.109375" customWidth="1"/>
    <col min="19" max="20" width="9.77734375" customWidth="1"/>
    <col min="21" max="21" width="9.6640625" customWidth="1"/>
    <col min="22" max="22" width="9.77734375" customWidth="1"/>
  </cols>
  <sheetData>
    <row r="2" spans="2:22" x14ac:dyDescent="0.3">
      <c r="B2" s="183" t="s">
        <v>275</v>
      </c>
      <c r="C2" s="183"/>
      <c r="D2" s="183"/>
      <c r="E2" s="183"/>
      <c r="F2" s="156"/>
      <c r="G2" s="156"/>
      <c r="H2" s="156"/>
      <c r="I2" s="156"/>
      <c r="J2" s="156"/>
      <c r="K2" s="387" t="s">
        <v>279</v>
      </c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</row>
    <row r="4" spans="2:22" x14ac:dyDescent="0.3">
      <c r="B4" s="201" t="s">
        <v>27</v>
      </c>
      <c r="C4" s="201"/>
      <c r="D4" s="201"/>
      <c r="E4" s="202">
        <v>2023</v>
      </c>
      <c r="F4" s="202">
        <v>2024</v>
      </c>
      <c r="G4" s="202">
        <v>2025</v>
      </c>
      <c r="H4" s="202">
        <v>2026</v>
      </c>
      <c r="I4" s="202">
        <v>2027</v>
      </c>
      <c r="J4" s="201"/>
      <c r="K4" s="202" t="s">
        <v>32</v>
      </c>
      <c r="L4" s="202" t="s">
        <v>33</v>
      </c>
      <c r="M4" s="202" t="s">
        <v>34</v>
      </c>
      <c r="N4" s="202" t="s">
        <v>35</v>
      </c>
      <c r="O4" s="202" t="s">
        <v>36</v>
      </c>
      <c r="P4" s="202" t="s">
        <v>37</v>
      </c>
      <c r="Q4" s="202" t="s">
        <v>38</v>
      </c>
      <c r="R4" s="202" t="s">
        <v>39</v>
      </c>
      <c r="S4" s="202" t="s">
        <v>40</v>
      </c>
      <c r="T4" s="202" t="s">
        <v>41</v>
      </c>
      <c r="U4" s="202" t="s">
        <v>42</v>
      </c>
      <c r="V4" s="202" t="s">
        <v>43</v>
      </c>
    </row>
    <row r="5" spans="2:22" x14ac:dyDescent="0.3">
      <c r="B5" t="s">
        <v>44</v>
      </c>
      <c r="E5" s="213">
        <f t="shared" ref="E5:E17" si="0">V5</f>
        <v>794028.94800000021</v>
      </c>
      <c r="F5" s="213">
        <f>'Statements Summary 2024'!V5</f>
        <v>860665.65300000017</v>
      </c>
      <c r="G5" s="213">
        <f>'Statements Summary 2025'!V5</f>
        <v>880113.33675000002</v>
      </c>
      <c r="H5" s="213">
        <f>'Statements Summary 2026'!V5</f>
        <v>994677.8737499998</v>
      </c>
      <c r="I5" s="213">
        <f>'Statements Summary 2027'!V5</f>
        <v>1115374.2525000002</v>
      </c>
      <c r="K5" s="213">
        <f>'CF 2023'!G11</f>
        <v>541510.90799999982</v>
      </c>
      <c r="L5" s="213">
        <f>'CF 2023'!H11</f>
        <v>552733.93200000003</v>
      </c>
      <c r="M5" s="213">
        <f>'CF 2023'!I11</f>
        <v>566650.48176000011</v>
      </c>
      <c r="N5" s="213">
        <f>'CF 2023'!J11</f>
        <v>579388.61399999983</v>
      </c>
      <c r="O5" s="213">
        <f>'CF 2023'!K11</f>
        <v>607305.88620000007</v>
      </c>
      <c r="P5" s="213">
        <f>'CF 2023'!L11</f>
        <v>629751.93420000002</v>
      </c>
      <c r="Q5" s="213">
        <f>'CF 2023'!M11</f>
        <v>641956.97279999999</v>
      </c>
      <c r="R5" s="213">
        <f>'CF 2023'!N11</f>
        <v>662859.85499999998</v>
      </c>
      <c r="S5" s="213">
        <f>'CF 2023'!O11</f>
        <v>684604.46399999992</v>
      </c>
      <c r="T5" s="213">
        <f>'CF 2023'!P11</f>
        <v>723885.04800000018</v>
      </c>
      <c r="U5" s="213">
        <f>'CF 2023'!Q11</f>
        <v>741421.02300000004</v>
      </c>
      <c r="V5" s="213">
        <f>'CF 2023'!R11</f>
        <v>794028.94800000021</v>
      </c>
    </row>
    <row r="6" spans="2:22" x14ac:dyDescent="0.3">
      <c r="B6" t="s">
        <v>45</v>
      </c>
      <c r="E6" s="213">
        <f t="shared" si="0"/>
        <v>-200</v>
      </c>
      <c r="F6" s="213">
        <f>'Statements Summary 2024'!V6</f>
        <v>-200</v>
      </c>
      <c r="G6" s="213">
        <f>'Statements Summary 2025'!V6</f>
        <v>-200</v>
      </c>
      <c r="H6" s="213">
        <f>'Statements Summary 2026'!V6</f>
        <v>-200</v>
      </c>
      <c r="I6" s="213">
        <f>'Statements Summary 2027'!V6</f>
        <v>-200</v>
      </c>
      <c r="K6" s="213">
        <f>'CF 2023'!G19</f>
        <v>-200</v>
      </c>
      <c r="L6" s="213">
        <f>'CF 2023'!H19</f>
        <v>-200</v>
      </c>
      <c r="M6" s="213">
        <f>'CF 2023'!I19</f>
        <v>-200</v>
      </c>
      <c r="N6" s="213">
        <f>'CF 2023'!J19</f>
        <v>-200</v>
      </c>
      <c r="O6" s="213">
        <f>'CF 2023'!K19</f>
        <v>-200</v>
      </c>
      <c r="P6" s="213">
        <f>'CF 2023'!L19</f>
        <v>-200</v>
      </c>
      <c r="Q6" s="213">
        <f>'CF 2023'!M19</f>
        <v>-200</v>
      </c>
      <c r="R6" s="213">
        <f>'CF 2023'!N19</f>
        <v>-200</v>
      </c>
      <c r="S6" s="213">
        <f>'CF 2023'!O19</f>
        <v>-200</v>
      </c>
      <c r="T6" s="213">
        <f>'CF 2023'!P19</f>
        <v>-200</v>
      </c>
      <c r="U6" s="213">
        <f>'CF 2023'!Q19</f>
        <v>-200</v>
      </c>
      <c r="V6" s="213">
        <f>'CF 2023'!R19</f>
        <v>-200</v>
      </c>
    </row>
    <row r="7" spans="2:22" x14ac:dyDescent="0.3">
      <c r="B7" t="s">
        <v>46</v>
      </c>
      <c r="E7" s="213">
        <f t="shared" si="0"/>
        <v>-16818</v>
      </c>
      <c r="F7" s="213">
        <f>'Statements Summary 2024'!V7</f>
        <v>-16818</v>
      </c>
      <c r="G7" s="213">
        <f>'Statements Summary 2025'!V7</f>
        <v>0</v>
      </c>
      <c r="H7" s="213">
        <f>'Statements Summary 2026'!V7</f>
        <v>0</v>
      </c>
      <c r="I7" s="213">
        <f>'Statements Summary 2027'!V7</f>
        <v>0</v>
      </c>
      <c r="K7" s="213" t="s">
        <v>205</v>
      </c>
      <c r="L7" s="213">
        <f>'CF 2023'!H35</f>
        <v>-16818</v>
      </c>
      <c r="M7" s="213">
        <f>'CF 2023'!I35</f>
        <v>-16818</v>
      </c>
      <c r="N7" s="213">
        <f>'CF 2023'!J35</f>
        <v>-16818</v>
      </c>
      <c r="O7" s="213">
        <f>'CF 2023'!K35</f>
        <v>-16818</v>
      </c>
      <c r="P7" s="213">
        <f>'CF 2023'!L35</f>
        <v>-16818</v>
      </c>
      <c r="Q7" s="213">
        <f>'CF 2023'!M35</f>
        <v>-16818</v>
      </c>
      <c r="R7" s="213">
        <f>'CF 2023'!N35</f>
        <v>-16818</v>
      </c>
      <c r="S7" s="213">
        <f>'CF 2023'!O35</f>
        <v>-16818</v>
      </c>
      <c r="T7" s="213">
        <f>'CF 2023'!P35</f>
        <v>-16818</v>
      </c>
      <c r="U7" s="213">
        <f>'CF 2023'!Q35</f>
        <v>-16818</v>
      </c>
      <c r="V7" s="213">
        <f>'CF 2023'!R35</f>
        <v>-16818</v>
      </c>
    </row>
    <row r="8" spans="2:22" x14ac:dyDescent="0.3">
      <c r="B8" t="s">
        <v>18</v>
      </c>
      <c r="E8" s="213">
        <f t="shared" si="0"/>
        <v>571786.75840000017</v>
      </c>
      <c r="F8" s="213">
        <f>'Statements Summary 2024'!V8</f>
        <v>625096.12240000011</v>
      </c>
      <c r="G8" s="213">
        <f>'Statements Summary 2025'!V8</f>
        <v>715545.26939999999</v>
      </c>
      <c r="H8" s="213">
        <f>'Statements Summary 2026'!V8</f>
        <v>749123.89899999986</v>
      </c>
      <c r="I8" s="213">
        <f>'Statements Summary 2027'!V8</f>
        <v>840961.00200000009</v>
      </c>
      <c r="K8" s="213">
        <f>'CF 2023'!G24</f>
        <v>377603.12639999983</v>
      </c>
      <c r="L8" s="213">
        <f>'CF 2023'!H24</f>
        <v>369763.54560000001</v>
      </c>
      <c r="M8" s="213">
        <f>'CF 2023'!I24</f>
        <v>380896.78540800011</v>
      </c>
      <c r="N8" s="213">
        <f>'CF 2023'!J24</f>
        <v>391087.29119999986</v>
      </c>
      <c r="O8" s="213">
        <f>'CF 2023'!K24</f>
        <v>413421.10896000004</v>
      </c>
      <c r="P8" s="213">
        <f>'CF 2023'!L24</f>
        <v>431377.94735999999</v>
      </c>
      <c r="Q8" s="213">
        <f>'CF 2023'!M24</f>
        <v>441141.97823999997</v>
      </c>
      <c r="R8" s="213">
        <f>'CF 2023'!N24</f>
        <v>457864.28399999999</v>
      </c>
      <c r="S8" s="213">
        <f>'CF 2023'!O24</f>
        <v>475259.97119999991</v>
      </c>
      <c r="T8" s="213">
        <f>'CF 2023'!P24</f>
        <v>506684.43840000016</v>
      </c>
      <c r="U8" s="213">
        <f>'CF 2023'!Q24</f>
        <v>520713.21840000001</v>
      </c>
      <c r="V8" s="213">
        <f>'CF 2023'!R24</f>
        <v>571786.75840000017</v>
      </c>
    </row>
    <row r="9" spans="2:22" x14ac:dyDescent="0.3">
      <c r="B9" t="s">
        <v>47</v>
      </c>
      <c r="E9" s="213" t="str">
        <f t="shared" si="0"/>
        <v>-</v>
      </c>
      <c r="F9" s="213" t="str">
        <f>'Statements Summary 2024'!V9</f>
        <v>-</v>
      </c>
      <c r="G9" s="213">
        <f>'Statements Summary 2025'!V9</f>
        <v>0</v>
      </c>
      <c r="H9" s="213">
        <f>'Statements Summary 2026'!V9</f>
        <v>0</v>
      </c>
      <c r="I9" s="213">
        <f>'Statements Summary 2027'!V9</f>
        <v>0</v>
      </c>
      <c r="K9" s="213">
        <f>'CF 2023'!G29</f>
        <v>450000</v>
      </c>
      <c r="L9" s="213" t="s">
        <v>205</v>
      </c>
      <c r="M9" s="213" t="s">
        <v>205</v>
      </c>
      <c r="N9" s="213" t="s">
        <v>205</v>
      </c>
      <c r="O9" s="213" t="s">
        <v>205</v>
      </c>
      <c r="P9" s="213" t="s">
        <v>205</v>
      </c>
      <c r="Q9" s="213" t="s">
        <v>205</v>
      </c>
      <c r="R9" s="213" t="s">
        <v>205</v>
      </c>
      <c r="S9" s="213" t="s">
        <v>205</v>
      </c>
      <c r="T9" s="213" t="s">
        <v>205</v>
      </c>
      <c r="U9" s="213" t="s">
        <v>205</v>
      </c>
      <c r="V9" s="213" t="s">
        <v>205</v>
      </c>
    </row>
    <row r="10" spans="2:22" x14ac:dyDescent="0.3">
      <c r="B10" t="s">
        <v>48</v>
      </c>
      <c r="E10" s="213" t="str">
        <f t="shared" si="0"/>
        <v>-</v>
      </c>
      <c r="F10" s="213" t="str">
        <f>'Statements Summary 2024'!V10</f>
        <v>-</v>
      </c>
      <c r="G10" s="213" t="str">
        <f>'Statements Summary 2025'!V10</f>
        <v>-</v>
      </c>
      <c r="H10" s="213" t="str">
        <f>'Statements Summary 2026'!V10</f>
        <v>-</v>
      </c>
      <c r="I10" s="213" t="str">
        <f>'Statements Summary 2027'!V10</f>
        <v>-</v>
      </c>
      <c r="K10" s="213" t="s">
        <v>205</v>
      </c>
      <c r="L10" s="213" t="s">
        <v>205</v>
      </c>
      <c r="M10" s="213" t="s">
        <v>205</v>
      </c>
      <c r="N10" s="213" t="s">
        <v>205</v>
      </c>
      <c r="O10" s="213" t="s">
        <v>205</v>
      </c>
      <c r="P10" s="213" t="s">
        <v>205</v>
      </c>
      <c r="Q10" s="213" t="s">
        <v>205</v>
      </c>
      <c r="R10" s="213" t="s">
        <v>205</v>
      </c>
      <c r="S10" s="213" t="s">
        <v>205</v>
      </c>
      <c r="T10" s="213" t="s">
        <v>205</v>
      </c>
      <c r="U10" s="213" t="s">
        <v>205</v>
      </c>
      <c r="V10" s="213" t="s">
        <v>205</v>
      </c>
    </row>
    <row r="11" spans="2:22" x14ac:dyDescent="0.3">
      <c r="B11" t="s">
        <v>49</v>
      </c>
      <c r="E11" s="213" t="str">
        <f t="shared" si="0"/>
        <v>-</v>
      </c>
      <c r="F11" s="213" t="str">
        <f>'Statements Summary 2024'!V11</f>
        <v>-</v>
      </c>
      <c r="G11" s="213" t="str">
        <f>'Statements Summary 2025'!V11</f>
        <v>-</v>
      </c>
      <c r="H11" s="213" t="str">
        <f>'Statements Summary 2026'!V11</f>
        <v>-</v>
      </c>
      <c r="I11" s="213" t="str">
        <f>'Statements Summary 2027'!V11</f>
        <v>-</v>
      </c>
      <c r="K11" s="213">
        <f>'CF 2023'!G29</f>
        <v>450000</v>
      </c>
      <c r="L11" s="213" t="s">
        <v>205</v>
      </c>
      <c r="M11" s="213" t="s">
        <v>205</v>
      </c>
      <c r="N11" s="213" t="s">
        <v>205</v>
      </c>
      <c r="O11" s="213" t="s">
        <v>205</v>
      </c>
      <c r="P11" s="213" t="s">
        <v>205</v>
      </c>
      <c r="Q11" s="213" t="s">
        <v>205</v>
      </c>
      <c r="R11" s="213" t="s">
        <v>205</v>
      </c>
      <c r="S11" s="213" t="s">
        <v>205</v>
      </c>
      <c r="T11" s="213" t="s">
        <v>205</v>
      </c>
      <c r="U11" s="213" t="s">
        <v>205</v>
      </c>
      <c r="V11" s="213" t="s">
        <v>205</v>
      </c>
    </row>
    <row r="12" spans="2:22" x14ac:dyDescent="0.3">
      <c r="B12" t="s">
        <v>50</v>
      </c>
      <c r="E12" s="213">
        <f t="shared" si="0"/>
        <v>-16818</v>
      </c>
      <c r="F12" s="213">
        <f>'Statements Summary 2024'!V12</f>
        <v>-16818</v>
      </c>
      <c r="G12" s="213">
        <f>'Statements Summary 2025'!V12</f>
        <v>0</v>
      </c>
      <c r="H12" s="213">
        <f>'Statements Summary 2026'!V12</f>
        <v>0</v>
      </c>
      <c r="I12" s="213">
        <f>'Statements Summary 2027'!V12</f>
        <v>0</v>
      </c>
      <c r="K12" s="213" t="s">
        <v>205</v>
      </c>
      <c r="L12" s="213">
        <f>'CF 2023'!H35</f>
        <v>-16818</v>
      </c>
      <c r="M12" s="213">
        <f>'CF 2023'!I35</f>
        <v>-16818</v>
      </c>
      <c r="N12" s="213">
        <f>'CF 2023'!J35</f>
        <v>-16818</v>
      </c>
      <c r="O12" s="213">
        <f>'CF 2023'!K35</f>
        <v>-16818</v>
      </c>
      <c r="P12" s="213">
        <f>'CF 2023'!L35</f>
        <v>-16818</v>
      </c>
      <c r="Q12" s="213">
        <f>'CF 2023'!M35</f>
        <v>-16818</v>
      </c>
      <c r="R12" s="213">
        <f>'CF 2023'!N35</f>
        <v>-16818</v>
      </c>
      <c r="S12" s="213">
        <f>'CF 2023'!O35</f>
        <v>-16818</v>
      </c>
      <c r="T12" s="213">
        <f>'CF 2023'!P35</f>
        <v>-16818</v>
      </c>
      <c r="U12" s="213">
        <f>'CF 2023'!Q35</f>
        <v>-16818</v>
      </c>
      <c r="V12" s="213">
        <f>'CF 2023'!R35</f>
        <v>-16818</v>
      </c>
    </row>
    <row r="13" spans="2:22" x14ac:dyDescent="0.3">
      <c r="B13" t="s">
        <v>51</v>
      </c>
      <c r="E13" s="213" t="str">
        <f t="shared" si="0"/>
        <v>-</v>
      </c>
      <c r="F13" s="213" t="str">
        <f>'Statements Summary 2024'!V13</f>
        <v>-</v>
      </c>
      <c r="G13" s="213" t="str">
        <f>'Statements Summary 2025'!V13</f>
        <v>-</v>
      </c>
      <c r="H13" s="213" t="str">
        <f>'Statements Summary 2026'!V13</f>
        <v>-</v>
      </c>
      <c r="I13" s="213" t="str">
        <f>'Statements Summary 2027'!V13</f>
        <v>-</v>
      </c>
      <c r="K13" s="213" t="s">
        <v>205</v>
      </c>
      <c r="L13" s="213" t="s">
        <v>205</v>
      </c>
      <c r="M13" s="213" t="s">
        <v>205</v>
      </c>
      <c r="N13" s="213" t="s">
        <v>205</v>
      </c>
      <c r="O13" s="213" t="s">
        <v>205</v>
      </c>
      <c r="P13" s="213" t="s">
        <v>205</v>
      </c>
      <c r="Q13" s="213" t="s">
        <v>205</v>
      </c>
      <c r="R13" s="213" t="s">
        <v>205</v>
      </c>
      <c r="S13" s="213" t="s">
        <v>205</v>
      </c>
      <c r="T13" s="213" t="s">
        <v>205</v>
      </c>
      <c r="U13" s="213" t="s">
        <v>205</v>
      </c>
      <c r="V13" s="213" t="s">
        <v>205</v>
      </c>
    </row>
    <row r="14" spans="2:22" x14ac:dyDescent="0.3">
      <c r="B14" t="s">
        <v>52</v>
      </c>
      <c r="E14" s="213" t="str">
        <f t="shared" si="0"/>
        <v>-</v>
      </c>
      <c r="F14" s="213" t="str">
        <f>'Statements Summary 2024'!V14</f>
        <v>-</v>
      </c>
      <c r="G14" s="213" t="str">
        <f>'Statements Summary 2025'!V14</f>
        <v>-</v>
      </c>
      <c r="H14" s="213" t="str">
        <f>'Statements Summary 2026'!V14</f>
        <v>-</v>
      </c>
      <c r="I14" s="213" t="str">
        <f>'Statements Summary 2027'!V14</f>
        <v>-</v>
      </c>
      <c r="K14" s="213" t="s">
        <v>205</v>
      </c>
      <c r="L14" s="213" t="s">
        <v>205</v>
      </c>
      <c r="M14" s="213" t="s">
        <v>205</v>
      </c>
      <c r="N14" s="213" t="s">
        <v>205</v>
      </c>
      <c r="O14" s="213" t="s">
        <v>205</v>
      </c>
      <c r="P14" s="213" t="s">
        <v>205</v>
      </c>
      <c r="Q14" s="213" t="s">
        <v>205</v>
      </c>
      <c r="R14" s="213" t="s">
        <v>205</v>
      </c>
      <c r="S14" s="213" t="s">
        <v>205</v>
      </c>
      <c r="T14" s="213" t="s">
        <v>205</v>
      </c>
      <c r="U14" s="213" t="s">
        <v>205</v>
      </c>
      <c r="V14" s="213" t="s">
        <v>205</v>
      </c>
    </row>
    <row r="15" spans="2:22" x14ac:dyDescent="0.3">
      <c r="B15" t="s">
        <v>53</v>
      </c>
      <c r="E15" s="213">
        <f t="shared" si="0"/>
        <v>-16818</v>
      </c>
      <c r="F15" s="213">
        <f>'Statements Summary 2024'!V15</f>
        <v>-16818</v>
      </c>
      <c r="G15" s="213">
        <f>'Statements Summary 2025'!V15</f>
        <v>0</v>
      </c>
      <c r="H15" s="213">
        <f>'Statements Summary 2026'!V15</f>
        <v>0</v>
      </c>
      <c r="I15" s="213">
        <f>'Statements Summary 2027'!V15</f>
        <v>0</v>
      </c>
      <c r="K15" s="213" t="s">
        <v>205</v>
      </c>
      <c r="L15" s="213">
        <f>'CF 2023'!H35</f>
        <v>-16818</v>
      </c>
      <c r="M15" s="213">
        <f>'CF 2023'!I35</f>
        <v>-16818</v>
      </c>
      <c r="N15" s="213">
        <f>'CF 2023'!J35</f>
        <v>-16818</v>
      </c>
      <c r="O15" s="213">
        <f>'CF 2023'!K35</f>
        <v>-16818</v>
      </c>
      <c r="P15" s="213">
        <f>'CF 2023'!L35</f>
        <v>-16818</v>
      </c>
      <c r="Q15" s="213">
        <f>'CF 2023'!M35</f>
        <v>-16818</v>
      </c>
      <c r="R15" s="213">
        <f>'CF 2023'!N35</f>
        <v>-16818</v>
      </c>
      <c r="S15" s="213">
        <f>'CF 2023'!O35</f>
        <v>-16818</v>
      </c>
      <c r="T15" s="213">
        <f>'CF 2023'!P35</f>
        <v>-16818</v>
      </c>
      <c r="U15" s="213">
        <f>'CF 2023'!Q35</f>
        <v>-16818</v>
      </c>
      <c r="V15" s="213">
        <f>'CF 2023'!R35</f>
        <v>-16818</v>
      </c>
    </row>
    <row r="16" spans="2:22" x14ac:dyDescent="0.3">
      <c r="B16" t="s">
        <v>210</v>
      </c>
      <c r="E16" s="213">
        <f t="shared" si="0"/>
        <v>571786.75840000017</v>
      </c>
      <c r="F16" s="213">
        <f>'Statements Summary 2024'!V16</f>
        <v>625096.12240000011</v>
      </c>
      <c r="G16" s="213">
        <f>'Statements Summary 2025'!V16</f>
        <v>715545.26939999999</v>
      </c>
      <c r="H16" s="213">
        <f>'Statements Summary 2026'!V16</f>
        <v>749123.89899999986</v>
      </c>
      <c r="I16" s="213">
        <f>'Statements Summary 2027'!V16</f>
        <v>840961.00200000009</v>
      </c>
      <c r="K16" s="213">
        <f>'CF 2023'!G47</f>
        <v>450000</v>
      </c>
      <c r="L16" s="213">
        <f>'CF 2023'!H24</f>
        <v>369763.54560000001</v>
      </c>
      <c r="M16" s="213">
        <f>'CF 2023'!I24</f>
        <v>380896.78540800011</v>
      </c>
      <c r="N16" s="213">
        <f>'CF 2023'!J24</f>
        <v>391087.29119999986</v>
      </c>
      <c r="O16" s="213">
        <f>'CF 2023'!K24</f>
        <v>413421.10896000004</v>
      </c>
      <c r="P16" s="213">
        <f>'CF 2023'!L24</f>
        <v>431377.94735999999</v>
      </c>
      <c r="Q16" s="213">
        <f>'CF 2023'!M24</f>
        <v>441141.97823999997</v>
      </c>
      <c r="R16" s="213">
        <f>'CF 2023'!N24</f>
        <v>457864.28399999999</v>
      </c>
      <c r="S16" s="213">
        <f>'CF 2023'!O24</f>
        <v>475259.97119999991</v>
      </c>
      <c r="T16" s="213">
        <f>'CF 2023'!P24</f>
        <v>506684.43840000016</v>
      </c>
      <c r="U16" s="213">
        <f>'CF 2023'!Q24</f>
        <v>520713.21840000001</v>
      </c>
      <c r="V16" s="213">
        <f>'CF 2023'!R24</f>
        <v>571786.75840000017</v>
      </c>
    </row>
    <row r="17" spans="2:22" x14ac:dyDescent="0.3">
      <c r="B17" t="s">
        <v>54</v>
      </c>
      <c r="E17" s="213">
        <f t="shared" si="0"/>
        <v>1148646.1168000004</v>
      </c>
      <c r="F17" s="213">
        <f>'Statements Summary 2024'!V17</f>
        <v>1295628.0448</v>
      </c>
      <c r="G17" s="213">
        <f>'Statements Summary 2025'!V17</f>
        <v>1431090.5387999997</v>
      </c>
      <c r="H17" s="213">
        <f>'Statements Summary 2026'!V17</f>
        <v>1556320.7979999995</v>
      </c>
      <c r="I17" s="213">
        <f>'Statements Summary 2027'!V17</f>
        <v>1745895.0040000002</v>
      </c>
      <c r="K17" s="213">
        <f>'CF 2023'!G45+'CF 2023'!G22+'CF 2023'!G23</f>
        <v>713820.25279999967</v>
      </c>
      <c r="L17" s="213">
        <f>'CF 2023'!H45+'CF 2023'!H22+'CF 2023'!H23</f>
        <v>722197.6912</v>
      </c>
      <c r="M17" s="213">
        <f>'CF 2023'!I45+'CF 2023'!I22+'CF 2023'!I23</f>
        <v>747827.77081600018</v>
      </c>
      <c r="N17" s="213">
        <f>'CF 2023'!J45+'CF 2023'!J22+'CF 2023'!J23</f>
        <v>771572.38239999977</v>
      </c>
      <c r="O17" s="213">
        <f>'CF 2023'!K45+'CF 2023'!K22+'CF 2023'!K23</f>
        <v>819603.61792000011</v>
      </c>
      <c r="P17" s="213">
        <f>'CF 2023'!L45+'CF 2023'!L22+'CF 2023'!L23</f>
        <v>858880.89471999998</v>
      </c>
      <c r="Q17" s="213">
        <f>'CF 2023'!M45+'CF 2023'!M22+'CF 2023'!M23</f>
        <v>881772.55647999991</v>
      </c>
      <c r="R17" s="213">
        <f>'CF 2023'!N45+'CF 2023'!N22+'CF 2023'!N23</f>
        <v>918580.76799999992</v>
      </c>
      <c r="S17" s="213">
        <f>'CF 2023'!O45+'CF 2023'!O22+'CF 2023'!O23</f>
        <v>956735.74239999976</v>
      </c>
      <c r="T17" s="213">
        <f>'CF 2023'!P45+'CF 2023'!P22+'CF 2023'!P23</f>
        <v>1022948.2768000002</v>
      </c>
      <c r="U17" s="213">
        <f>'CF 2023'!Q45+'CF 2023'!Q22+'CF 2023'!Q23</f>
        <v>1054369.4368000003</v>
      </c>
      <c r="V17" s="213">
        <f>'CF 2023'!R45+'CF 2023'!R22+'CF 2023'!R23</f>
        <v>1148646.1168000004</v>
      </c>
    </row>
    <row r="19" spans="2:22" x14ac:dyDescent="0.3">
      <c r="B19" s="183" t="s">
        <v>275</v>
      </c>
      <c r="C19" s="156"/>
      <c r="D19" s="156"/>
      <c r="E19" s="156"/>
      <c r="F19" s="156"/>
      <c r="G19" s="156"/>
      <c r="H19" s="156"/>
      <c r="I19" s="156"/>
      <c r="K19" s="387" t="s">
        <v>279</v>
      </c>
      <c r="L19" s="387"/>
      <c r="M19" s="387"/>
      <c r="N19" s="387"/>
      <c r="O19" s="387"/>
      <c r="P19" s="387"/>
      <c r="Q19" s="387"/>
      <c r="R19" s="387"/>
      <c r="S19" s="387"/>
      <c r="T19" s="387"/>
      <c r="U19" s="387"/>
      <c r="V19" s="387"/>
    </row>
    <row r="41" spans="2:22" x14ac:dyDescent="0.3">
      <c r="B41" s="183" t="s">
        <v>276</v>
      </c>
      <c r="C41" s="183"/>
      <c r="D41" s="183"/>
      <c r="E41" s="183"/>
      <c r="F41" s="156"/>
      <c r="G41" s="156"/>
      <c r="H41" s="156"/>
      <c r="I41" s="156"/>
      <c r="J41" s="156"/>
      <c r="K41" s="387" t="s">
        <v>212</v>
      </c>
      <c r="L41" s="387"/>
      <c r="M41" s="387"/>
      <c r="N41" s="387"/>
      <c r="O41" s="387"/>
      <c r="P41" s="387"/>
      <c r="Q41" s="387"/>
      <c r="R41" s="387"/>
      <c r="S41" s="387"/>
      <c r="T41" s="387"/>
      <c r="U41" s="387"/>
      <c r="V41" s="387"/>
    </row>
    <row r="43" spans="2:22" x14ac:dyDescent="0.3">
      <c r="B43" s="201" t="s">
        <v>27</v>
      </c>
      <c r="C43" s="201"/>
      <c r="D43" s="201"/>
      <c r="E43" s="202">
        <v>2023</v>
      </c>
      <c r="F43" s="202">
        <v>2024</v>
      </c>
      <c r="G43" s="202">
        <v>2025</v>
      </c>
      <c r="H43" s="202">
        <v>2026</v>
      </c>
      <c r="I43" s="202">
        <v>2027</v>
      </c>
      <c r="J43" s="201"/>
      <c r="K43" s="202" t="s">
        <v>32</v>
      </c>
      <c r="L43" s="202" t="s">
        <v>33</v>
      </c>
      <c r="M43" s="202" t="s">
        <v>34</v>
      </c>
      <c r="N43" s="202" t="s">
        <v>35</v>
      </c>
      <c r="O43" s="202" t="s">
        <v>36</v>
      </c>
      <c r="P43" s="202" t="s">
        <v>37</v>
      </c>
      <c r="Q43" s="202" t="s">
        <v>38</v>
      </c>
      <c r="R43" s="202" t="s">
        <v>39</v>
      </c>
      <c r="S43" s="202" t="s">
        <v>40</v>
      </c>
      <c r="T43" s="202" t="s">
        <v>41</v>
      </c>
      <c r="U43" s="202" t="s">
        <v>42</v>
      </c>
      <c r="V43" s="202" t="s">
        <v>43</v>
      </c>
    </row>
    <row r="44" spans="2:22" x14ac:dyDescent="0.3">
      <c r="B44" s="23" t="s">
        <v>2</v>
      </c>
      <c r="C44" s="23"/>
      <c r="D44" s="23"/>
      <c r="E44" s="217">
        <f t="shared" ref="E44:E64" si="1">V44</f>
        <v>794028.94800000021</v>
      </c>
      <c r="F44" s="217">
        <f>'Statements Summary 2024'!V45</f>
        <v>860665.65300000017</v>
      </c>
      <c r="G44" s="217">
        <f>'Statements Summary 2025'!V45</f>
        <v>880113.33675000002</v>
      </c>
      <c r="H44" s="217">
        <f>'Statements Summary 2026'!V45</f>
        <v>994677.8737499998</v>
      </c>
      <c r="I44" s="217">
        <f>'Statements Summary 2027'!V45</f>
        <v>1115374.2525000002</v>
      </c>
      <c r="K44" s="217">
        <f>'IS 2023'!F17</f>
        <v>541510.90799999982</v>
      </c>
      <c r="L44" s="217">
        <f>'IS 2023'!G17</f>
        <v>552733.93200000003</v>
      </c>
      <c r="M44" s="217">
        <f>'IS 2023'!H17</f>
        <v>566650.48176000011</v>
      </c>
      <c r="N44" s="217">
        <f>'IS 2023'!I17</f>
        <v>579388.61399999983</v>
      </c>
      <c r="O44" s="217">
        <f>'IS 2023'!J17</f>
        <v>607305.88620000007</v>
      </c>
      <c r="P44" s="217">
        <f>'IS 2023'!K17</f>
        <v>629751.93420000002</v>
      </c>
      <c r="Q44" s="217">
        <f>'IS 2023'!L17</f>
        <v>641956.97279999999</v>
      </c>
      <c r="R44" s="217">
        <f>'IS 2023'!M17</f>
        <v>662859.85499999998</v>
      </c>
      <c r="S44" s="217">
        <f>'IS 2023'!N17</f>
        <v>684604.46399999992</v>
      </c>
      <c r="T44" s="217">
        <f>'IS 2023'!O17</f>
        <v>723885.04800000018</v>
      </c>
      <c r="U44" s="217">
        <f>'IS 2023'!P17</f>
        <v>741421.02300000004</v>
      </c>
      <c r="V44" s="217">
        <f>'IS 2023'!Q17</f>
        <v>794028.94800000021</v>
      </c>
    </row>
    <row r="45" spans="2:22" x14ac:dyDescent="0.3">
      <c r="B45" t="s">
        <v>28</v>
      </c>
      <c r="E45" s="213">
        <f t="shared" si="1"/>
        <v>7.095553453169369E-2</v>
      </c>
      <c r="F45" s="10">
        <f>'Statements Summary 2024'!V46</f>
        <v>4.0916530278233164E-3</v>
      </c>
      <c r="G45" s="10">
        <f>'Statements Summary 2025'!V46</f>
        <v>3.5401362952473458E-3</v>
      </c>
      <c r="H45" s="10">
        <f>'Statements Summary 2026'!V46</f>
        <v>6.2819002748327451E-3</v>
      </c>
      <c r="I45" s="10">
        <f>'Statements Summary 2027'!V46</f>
        <v>5.5983205038490219E-3</v>
      </c>
      <c r="K45" s="10"/>
      <c r="L45" s="10">
        <f t="shared" ref="L45" si="2">(L44-K44)/K44</f>
        <v>2.0725388601036662E-2</v>
      </c>
      <c r="M45" s="10">
        <f>(M44-L44)/L44</f>
        <v>2.5177664974619436E-2</v>
      </c>
      <c r="N45" s="10">
        <f>(N44-M44)/M44</f>
        <v>2.2479698950286679E-2</v>
      </c>
      <c r="O45" s="10">
        <f t="shared" ref="O45:T45" si="3">(O44-N44)/N44</f>
        <v>4.8184019370460476E-2</v>
      </c>
      <c r="P45" s="10">
        <f t="shared" si="3"/>
        <v>3.6960036960036878E-2</v>
      </c>
      <c r="Q45" s="10">
        <f t="shared" si="3"/>
        <v>1.9380708398306926E-2</v>
      </c>
      <c r="R45" s="10">
        <f t="shared" si="3"/>
        <v>3.2561188811188801E-2</v>
      </c>
      <c r="S45" s="10">
        <f t="shared" si="3"/>
        <v>3.2804232804232711E-2</v>
      </c>
      <c r="T45" s="10">
        <f t="shared" si="3"/>
        <v>5.7377049180328259E-2</v>
      </c>
      <c r="U45" s="10">
        <f>(U44-T44)/T44</f>
        <v>2.4224806201550188E-2</v>
      </c>
      <c r="V45" s="10">
        <f t="shared" ref="V45" si="4">(V44-U44)/U44</f>
        <v>7.095553453169369E-2</v>
      </c>
    </row>
    <row r="46" spans="2:22" x14ac:dyDescent="0.3">
      <c r="B46" t="s">
        <v>3</v>
      </c>
      <c r="E46" s="213">
        <f t="shared" si="1"/>
        <v>-32544</v>
      </c>
      <c r="F46" s="213">
        <f>'Statements Summary 2024'!V47</f>
        <v>-32544</v>
      </c>
      <c r="G46" s="213">
        <f>'Statements Summary 2025'!V47</f>
        <v>-32544</v>
      </c>
      <c r="H46" s="213">
        <f>'Statements Summary 2026'!V47</f>
        <v>-32544</v>
      </c>
      <c r="I46" s="213">
        <f>'Statements Summary 2027'!V47</f>
        <v>-38444</v>
      </c>
      <c r="K46" s="213">
        <f>'IS 2023'!F18</f>
        <v>-32544</v>
      </c>
      <c r="L46" s="213">
        <f>'IS 2023'!G18</f>
        <v>-32544</v>
      </c>
      <c r="M46" s="213">
        <f>'IS 2023'!H18</f>
        <v>-32544</v>
      </c>
      <c r="N46" s="213">
        <f>'IS 2023'!I18</f>
        <v>-32544</v>
      </c>
      <c r="O46" s="213">
        <f>'IS 2023'!J18</f>
        <v>-32544</v>
      </c>
      <c r="P46" s="213">
        <f>'IS 2023'!K18</f>
        <v>-32544</v>
      </c>
      <c r="Q46" s="213">
        <f>'IS 2023'!L18</f>
        <v>-32544</v>
      </c>
      <c r="R46" s="213">
        <f>'IS 2023'!M18</f>
        <v>-32544</v>
      </c>
      <c r="S46" s="213">
        <f>'IS 2023'!N18</f>
        <v>-32544</v>
      </c>
      <c r="T46" s="213">
        <f>'IS 2023'!O18</f>
        <v>-32544</v>
      </c>
      <c r="U46" s="213">
        <f>'IS 2023'!P18</f>
        <v>-32544</v>
      </c>
      <c r="V46" s="213">
        <f>'IS 2023'!Q18</f>
        <v>-32544</v>
      </c>
    </row>
    <row r="47" spans="2:22" x14ac:dyDescent="0.3">
      <c r="B47" t="s">
        <v>29</v>
      </c>
      <c r="E47" s="10">
        <f t="shared" si="1"/>
        <v>-4.0985911259245417E-2</v>
      </c>
      <c r="F47" s="10">
        <f>'Statements Summary 2024'!V48</f>
        <v>-3.7812592946589903E-2</v>
      </c>
      <c r="G47" s="10">
        <f>'Statements Summary 2025'!V48</f>
        <v>-3.6977055841666294E-2</v>
      </c>
      <c r="H47" s="10">
        <f>'Statements Summary 2026'!V48</f>
        <v>-3.2718130018623032E-2</v>
      </c>
      <c r="I47" s="10">
        <f>'Statements Summary 2027'!V48</f>
        <v>-3.4467354714197145E-2</v>
      </c>
      <c r="K47" s="10">
        <f>K46/K44</f>
        <v>-6.009851236459305E-2</v>
      </c>
      <c r="L47" s="10">
        <f t="shared" ref="L47:V47" si="5">L46/L44</f>
        <v>-5.8878238001860178E-2</v>
      </c>
      <c r="M47" s="10">
        <f t="shared" si="5"/>
        <v>-5.743222859163425E-2</v>
      </c>
      <c r="N47" s="10">
        <f t="shared" si="5"/>
        <v>-5.6169553929135391E-2</v>
      </c>
      <c r="O47" s="10">
        <f t="shared" si="5"/>
        <v>-5.3587493122506137E-2</v>
      </c>
      <c r="P47" s="10">
        <f t="shared" si="5"/>
        <v>-5.1677491139970839E-2</v>
      </c>
      <c r="Q47" s="10">
        <f t="shared" si="5"/>
        <v>-5.0694986391461784E-2</v>
      </c>
      <c r="R47" s="10">
        <f t="shared" si="5"/>
        <v>-4.9096350841762774E-2</v>
      </c>
      <c r="S47" s="10">
        <f t="shared" si="5"/>
        <v>-4.7536938058878923E-2</v>
      </c>
      <c r="T47" s="10">
        <f t="shared" si="5"/>
        <v>-4.4957414288242063E-2</v>
      </c>
      <c r="U47" s="10">
        <f t="shared" si="5"/>
        <v>-4.3894088500913732E-2</v>
      </c>
      <c r="V47" s="10">
        <f t="shared" si="5"/>
        <v>-4.0985911259245417E-2</v>
      </c>
    </row>
    <row r="48" spans="2:22" x14ac:dyDescent="0.3">
      <c r="B48" t="s">
        <v>4</v>
      </c>
      <c r="E48" s="213">
        <f t="shared" si="1"/>
        <v>761484.94800000021</v>
      </c>
      <c r="F48" s="213">
        <f>'Statements Summary 2024'!V49</f>
        <v>828121.65300000017</v>
      </c>
      <c r="G48" s="213">
        <f>'Statements Summary 2025'!V49</f>
        <v>847569.33675000002</v>
      </c>
      <c r="H48" s="213">
        <f>'Statements Summary 2026'!V49</f>
        <v>962133.8737499998</v>
      </c>
      <c r="I48" s="213">
        <f>'Statements Summary 2027'!V49</f>
        <v>1076930.2525000002</v>
      </c>
      <c r="K48" s="213">
        <f>'IS 2023'!F26</f>
        <v>508966.90799999982</v>
      </c>
      <c r="L48" s="213">
        <f>'IS 2023'!G26</f>
        <v>520189.93200000003</v>
      </c>
      <c r="M48" s="213">
        <f>'IS 2023'!H26</f>
        <v>534106.48176000011</v>
      </c>
      <c r="N48" s="213">
        <f>'IS 2023'!I26</f>
        <v>546844.61399999983</v>
      </c>
      <c r="O48" s="213">
        <f>'IS 2023'!J26</f>
        <v>574761.88620000007</v>
      </c>
      <c r="P48" s="213">
        <f>'IS 2023'!K26</f>
        <v>597207.93420000002</v>
      </c>
      <c r="Q48" s="213">
        <f>'IS 2023'!L26</f>
        <v>609412.97279999999</v>
      </c>
      <c r="R48" s="213">
        <f>'IS 2023'!M26</f>
        <v>630315.85499999998</v>
      </c>
      <c r="S48" s="213">
        <f>'IS 2023'!N26</f>
        <v>652060.46399999992</v>
      </c>
      <c r="T48" s="213">
        <f>'IS 2023'!O26</f>
        <v>691341.04800000018</v>
      </c>
      <c r="U48" s="213">
        <f>'IS 2023'!P26</f>
        <v>708877.02300000004</v>
      </c>
      <c r="V48" s="213">
        <f>'IS 2023'!Q26</f>
        <v>761484.94800000021</v>
      </c>
    </row>
    <row r="49" spans="2:22" x14ac:dyDescent="0.3">
      <c r="B49" t="s">
        <v>30</v>
      </c>
      <c r="E49" s="10">
        <f t="shared" si="1"/>
        <v>0.95901408874075456</v>
      </c>
      <c r="F49" s="10">
        <f>'Statements Summary 2024'!V50</f>
        <v>0.9621874070534101</v>
      </c>
      <c r="G49" s="10">
        <f>'Statements Summary 2025'!V50</f>
        <v>0.96302294415833367</v>
      </c>
      <c r="H49" s="10">
        <f>'Statements Summary 2026'!V50</f>
        <v>0.967281869981377</v>
      </c>
      <c r="I49" s="10">
        <f>'Statements Summary 2027'!V50</f>
        <v>0.96553264528580285</v>
      </c>
      <c r="K49" s="10">
        <f>K48/K44</f>
        <v>0.93990148763540693</v>
      </c>
      <c r="L49" s="10">
        <f t="shared" ref="L49:V49" si="6">L48/L44</f>
        <v>0.94112176199813979</v>
      </c>
      <c r="M49" s="10">
        <f t="shared" si="6"/>
        <v>0.94256777140836578</v>
      </c>
      <c r="N49" s="10">
        <f t="shared" si="6"/>
        <v>0.94383044607086464</v>
      </c>
      <c r="O49" s="10">
        <f t="shared" si="6"/>
        <v>0.9464125068774939</v>
      </c>
      <c r="P49" s="10">
        <f t="shared" si="6"/>
        <v>0.94832250886002911</v>
      </c>
      <c r="Q49" s="10">
        <f t="shared" si="6"/>
        <v>0.94930501360853825</v>
      </c>
      <c r="R49" s="10">
        <f t="shared" si="6"/>
        <v>0.95090364915823722</v>
      </c>
      <c r="S49" s="10">
        <f t="shared" si="6"/>
        <v>0.95246306194112107</v>
      </c>
      <c r="T49" s="10">
        <f t="shared" si="6"/>
        <v>0.95504258571175793</v>
      </c>
      <c r="U49" s="10">
        <f t="shared" si="6"/>
        <v>0.9561059114990863</v>
      </c>
      <c r="V49" s="10">
        <f t="shared" si="6"/>
        <v>0.95901408874075456</v>
      </c>
    </row>
    <row r="50" spans="2:22" x14ac:dyDescent="0.3">
      <c r="B50" t="s">
        <v>6</v>
      </c>
      <c r="E50" s="213">
        <f t="shared" si="1"/>
        <v>-17479</v>
      </c>
      <c r="F50" s="213">
        <f>'Statements Summary 2024'!V51</f>
        <v>-17479</v>
      </c>
      <c r="G50" s="213">
        <f>'Statements Summary 2025'!V51</f>
        <v>-17479</v>
      </c>
      <c r="H50" s="213">
        <f>'Statements Summary 2026'!V51</f>
        <v>-17479</v>
      </c>
      <c r="I50" s="213">
        <f>'Statements Summary 2027'!V51</f>
        <v>-17479</v>
      </c>
      <c r="K50" s="213">
        <f>'IS 2023'!F38</f>
        <v>-28713</v>
      </c>
      <c r="L50" s="213">
        <f>'IS 2023'!G38</f>
        <v>-28713</v>
      </c>
      <c r="M50" s="213">
        <f>'IS 2023'!H38</f>
        <v>-28713</v>
      </c>
      <c r="N50" s="213">
        <f>'IS 2023'!I38</f>
        <v>-28713</v>
      </c>
      <c r="O50" s="213">
        <f>'IS 2023'!J38</f>
        <v>-28713</v>
      </c>
      <c r="P50" s="213">
        <f>'IS 2023'!K38</f>
        <v>-28713</v>
      </c>
      <c r="Q50" s="213">
        <f>'IS 2023'!L38</f>
        <v>-28713</v>
      </c>
      <c r="R50" s="213">
        <f>'IS 2023'!M38</f>
        <v>-28713</v>
      </c>
      <c r="S50" s="213">
        <f>'IS 2023'!N38</f>
        <v>-28713</v>
      </c>
      <c r="T50" s="213">
        <f>'IS 2023'!O38</f>
        <v>-28713</v>
      </c>
      <c r="U50" s="213">
        <f>'IS 2023'!P38</f>
        <v>-28713</v>
      </c>
      <c r="V50" s="213">
        <f>'IS 2023'!Q38</f>
        <v>-17479</v>
      </c>
    </row>
    <row r="51" spans="2:22" x14ac:dyDescent="0.3">
      <c r="B51" t="s">
        <v>29</v>
      </c>
      <c r="E51" s="10">
        <f t="shared" si="1"/>
        <v>-2.2013051342808218E-2</v>
      </c>
      <c r="F51" s="10">
        <f>'Statements Summary 2024'!V52</f>
        <v>-2.0308699364351184E-2</v>
      </c>
      <c r="G51" s="10">
        <f>'Statements Summary 2025'!V52</f>
        <v>-1.9859942203063086E-2</v>
      </c>
      <c r="H51" s="10">
        <f>'Statements Summary 2026'!V52</f>
        <v>-1.7572523186931907E-2</v>
      </c>
      <c r="I51" s="10">
        <f>'Statements Summary 2027'!V52</f>
        <v>-1.5670973183057223E-2</v>
      </c>
      <c r="K51" s="10">
        <f>K50/K44</f>
        <v>-5.3023862632883494E-2</v>
      </c>
      <c r="L51" s="10">
        <f t="shared" ref="L51:V51" si="7">L50/L44</f>
        <v>-5.1947235980439134E-2</v>
      </c>
      <c r="M51" s="10">
        <f t="shared" si="7"/>
        <v>-5.0671447257607985E-2</v>
      </c>
      <c r="N51" s="10">
        <f t="shared" si="7"/>
        <v>-4.9557411564874157E-2</v>
      </c>
      <c r="O51" s="10">
        <f t="shared" si="7"/>
        <v>-4.7279304634541504E-2</v>
      </c>
      <c r="P51" s="10">
        <f t="shared" si="7"/>
        <v>-4.5594143408984225E-2</v>
      </c>
      <c r="Q51" s="10">
        <f t="shared" si="7"/>
        <v>-4.4727296713927056E-2</v>
      </c>
      <c r="R51" s="10">
        <f t="shared" si="7"/>
        <v>-4.3316848627075175E-2</v>
      </c>
      <c r="S51" s="10">
        <f t="shared" si="7"/>
        <v>-4.1941006098961113E-2</v>
      </c>
      <c r="T51" s="10">
        <f t="shared" si="7"/>
        <v>-3.9665137550955458E-2</v>
      </c>
      <c r="U51" s="10">
        <f t="shared" si="7"/>
        <v>-3.8726983871888401E-2</v>
      </c>
      <c r="V51" s="10">
        <f t="shared" si="7"/>
        <v>-2.2013051342808218E-2</v>
      </c>
    </row>
    <row r="52" spans="2:22" x14ac:dyDescent="0.3">
      <c r="B52" t="s">
        <v>206</v>
      </c>
      <c r="E52" s="213">
        <f t="shared" si="1"/>
        <v>-45063</v>
      </c>
      <c r="F52" s="213">
        <f>'Statements Summary 2024'!V53</f>
        <v>-45063</v>
      </c>
      <c r="G52" s="213">
        <f>'Statements Summary 2025'!V53</f>
        <v>-45063</v>
      </c>
      <c r="H52" s="213">
        <f>'Statements Summary 2026'!V53</f>
        <v>-45063</v>
      </c>
      <c r="I52" s="213">
        <f>'Statements Summary 2027'!V53</f>
        <v>-45063</v>
      </c>
      <c r="K52" s="213">
        <f>'IS 2023'!F39</f>
        <v>-45063</v>
      </c>
      <c r="L52" s="213">
        <f>'IS 2023'!G39</f>
        <v>-45063</v>
      </c>
      <c r="M52" s="213">
        <f>'IS 2023'!H39</f>
        <v>-45063</v>
      </c>
      <c r="N52" s="213">
        <f>'IS 2023'!I39</f>
        <v>-45063</v>
      </c>
      <c r="O52" s="213">
        <f>'IS 2023'!J39</f>
        <v>-45063</v>
      </c>
      <c r="P52" s="213">
        <f>'IS 2023'!K39</f>
        <v>-45063</v>
      </c>
      <c r="Q52" s="213">
        <f>'IS 2023'!L39</f>
        <v>-45063</v>
      </c>
      <c r="R52" s="213">
        <f>'IS 2023'!M39</f>
        <v>-45063</v>
      </c>
      <c r="S52" s="213">
        <f>'IS 2023'!N39</f>
        <v>-45063</v>
      </c>
      <c r="T52" s="213">
        <f>'IS 2023'!O39</f>
        <v>-45063</v>
      </c>
      <c r="U52" s="213">
        <f>'IS 2023'!P39</f>
        <v>-45063</v>
      </c>
      <c r="V52" s="213">
        <f>'IS 2023'!Q39</f>
        <v>-45063</v>
      </c>
    </row>
    <row r="53" spans="2:22" x14ac:dyDescent="0.3">
      <c r="B53" t="s">
        <v>29</v>
      </c>
      <c r="E53" s="10">
        <f t="shared" si="1"/>
        <v>-5.6752338958805805E-2</v>
      </c>
      <c r="F53" s="10">
        <f>'Statements Summary 2024'!V54</f>
        <v>-5.2358311085059638E-2</v>
      </c>
      <c r="G53" s="10">
        <f>'Statements Summary 2025'!V54</f>
        <v>-5.1201360232086039E-2</v>
      </c>
      <c r="H53" s="10">
        <f>'Statements Summary 2026'!V54</f>
        <v>-4.5304114215499319E-2</v>
      </c>
      <c r="I53" s="10">
        <f>'Statements Summary 2027'!V54</f>
        <v>-4.040168571131688E-2</v>
      </c>
      <c r="K53" s="10">
        <f>K52/K44</f>
        <v>-8.3217160234932919E-2</v>
      </c>
      <c r="L53" s="10">
        <f t="shared" ref="L53:V53" si="8">L52/L44</f>
        <v>-8.1527471702243892E-2</v>
      </c>
      <c r="M53" s="10">
        <f t="shared" si="8"/>
        <v>-7.9525212543781157E-2</v>
      </c>
      <c r="N53" s="10">
        <f t="shared" si="8"/>
        <v>-7.7776813197782332E-2</v>
      </c>
      <c r="O53" s="10">
        <f t="shared" si="8"/>
        <v>-7.4201487296567545E-2</v>
      </c>
      <c r="P53" s="10">
        <f t="shared" si="8"/>
        <v>-7.1556747272631088E-2</v>
      </c>
      <c r="Q53" s="10">
        <f t="shared" si="8"/>
        <v>-7.0196293379991462E-2</v>
      </c>
      <c r="R53" s="10">
        <f t="shared" si="8"/>
        <v>-6.7982695980283794E-2</v>
      </c>
      <c r="S53" s="10">
        <f t="shared" si="8"/>
        <v>-6.582340953009036E-2</v>
      </c>
      <c r="T53" s="10">
        <f t="shared" si="8"/>
        <v>-6.2251596609852876E-2</v>
      </c>
      <c r="U53" s="10">
        <f t="shared" si="8"/>
        <v>-6.0779231505551735E-2</v>
      </c>
      <c r="V53" s="10">
        <f t="shared" si="8"/>
        <v>-5.6752338958805805E-2</v>
      </c>
    </row>
    <row r="54" spans="2:22" x14ac:dyDescent="0.3">
      <c r="B54" t="s">
        <v>31</v>
      </c>
      <c r="E54" s="213">
        <f t="shared" si="1"/>
        <v>-8250</v>
      </c>
      <c r="F54" s="213">
        <f>'Statements Summary 2024'!V55</f>
        <v>-8250</v>
      </c>
      <c r="G54" s="213">
        <f>'Statements Summary 2025'!V55</f>
        <v>-8250</v>
      </c>
      <c r="H54" s="213">
        <f>'Statements Summary 2026'!V55</f>
        <v>-8250</v>
      </c>
      <c r="I54" s="213">
        <f>'Statements Summary 2027'!V55</f>
        <v>-8250</v>
      </c>
      <c r="K54" s="213">
        <f>'IS 2023'!F58</f>
        <v>-8250</v>
      </c>
      <c r="L54" s="213">
        <f>'IS 2023'!G58</f>
        <v>-8250</v>
      </c>
      <c r="M54" s="213">
        <f>'IS 2023'!H58</f>
        <v>-8250</v>
      </c>
      <c r="N54" s="213">
        <f>'IS 2023'!I58</f>
        <v>-8250</v>
      </c>
      <c r="O54" s="213">
        <f>'IS 2023'!J58</f>
        <v>-8250</v>
      </c>
      <c r="P54" s="213">
        <f>'IS 2023'!K58</f>
        <v>-8250</v>
      </c>
      <c r="Q54" s="213">
        <f>'IS 2023'!L58</f>
        <v>-8250</v>
      </c>
      <c r="R54" s="213">
        <f>'IS 2023'!M58</f>
        <v>-8250</v>
      </c>
      <c r="S54" s="213">
        <f>'IS 2023'!N58</f>
        <v>-8250</v>
      </c>
      <c r="T54" s="213">
        <f>'IS 2023'!O58</f>
        <v>-8250</v>
      </c>
      <c r="U54" s="213">
        <f>'IS 2023'!P58</f>
        <v>-8250</v>
      </c>
      <c r="V54" s="213">
        <f>'IS 2023'!Q58</f>
        <v>-8250</v>
      </c>
    </row>
    <row r="55" spans="2:22" x14ac:dyDescent="0.3">
      <c r="B55" t="s">
        <v>29</v>
      </c>
      <c r="E55" s="10">
        <f t="shared" si="1"/>
        <v>-1.0390049406611807E-2</v>
      </c>
      <c r="F55" s="10">
        <f>'Statements Summary 2024'!V56</f>
        <v>-9.5856038535326541E-3</v>
      </c>
      <c r="G55" s="10">
        <f>'Statements Summary 2025'!V56</f>
        <v>-9.3737927327232941E-3</v>
      </c>
      <c r="H55" s="10">
        <f>'Statements Summary 2026'!V56</f>
        <v>-8.294142473378811E-3</v>
      </c>
      <c r="I55" s="10">
        <f>'Statements Summary 2027'!V56</f>
        <v>-7.3966204451182621E-3</v>
      </c>
      <c r="K55" s="10">
        <f>K54/K44</f>
        <v>-1.5235150166171727E-2</v>
      </c>
      <c r="L55" s="10">
        <f t="shared" ref="L55:V55" si="9">L54/L44</f>
        <v>-1.4925807015589555E-2</v>
      </c>
      <c r="M55" s="10">
        <f t="shared" si="9"/>
        <v>-1.4559239364582798E-2</v>
      </c>
      <c r="N55" s="10">
        <f t="shared" si="9"/>
        <v>-1.4239147612935318E-2</v>
      </c>
      <c r="O55" s="10">
        <f t="shared" si="9"/>
        <v>-1.3584587581756258E-2</v>
      </c>
      <c r="P55" s="10">
        <f t="shared" si="9"/>
        <v>-1.3100396444959422E-2</v>
      </c>
      <c r="Q55" s="10">
        <f t="shared" si="9"/>
        <v>-1.2851328592968279E-2</v>
      </c>
      <c r="R55" s="10">
        <f t="shared" si="9"/>
        <v>-1.2446069765380497E-2</v>
      </c>
      <c r="S55" s="10">
        <f t="shared" si="9"/>
        <v>-1.2050754024881732E-2</v>
      </c>
      <c r="T55" s="10">
        <f t="shared" si="9"/>
        <v>-1.1396837139810627E-2</v>
      </c>
      <c r="U55" s="10">
        <f t="shared" si="9"/>
        <v>-1.1127280916068655E-2</v>
      </c>
      <c r="V55" s="10">
        <f t="shared" si="9"/>
        <v>-1.0390049406611807E-2</v>
      </c>
    </row>
    <row r="56" spans="2:22" x14ac:dyDescent="0.3">
      <c r="B56" s="23" t="s">
        <v>10</v>
      </c>
      <c r="C56" s="23"/>
      <c r="D56" s="23"/>
      <c r="E56" s="217">
        <f t="shared" si="1"/>
        <v>735755.94800000021</v>
      </c>
      <c r="F56" s="217">
        <f>'Statements Summary 2024'!V57</f>
        <v>802392.65300000017</v>
      </c>
      <c r="G56" s="217">
        <f>'Statements Summary 2025'!V57</f>
        <v>821840.33675000002</v>
      </c>
      <c r="H56" s="217">
        <f>'Statements Summary 2026'!V57</f>
        <v>936404.8737499998</v>
      </c>
      <c r="I56" s="217">
        <f>'Statements Summary 2027'!V57</f>
        <v>1051201.2525000002</v>
      </c>
      <c r="K56" s="217">
        <f>'IS 2023'!F59</f>
        <v>472003.90799999982</v>
      </c>
      <c r="L56" s="217">
        <f>'IS 2023'!G59</f>
        <v>483226.93200000003</v>
      </c>
      <c r="M56" s="217">
        <f>'IS 2023'!H59</f>
        <v>497143.48176000011</v>
      </c>
      <c r="N56" s="217">
        <f>'IS 2023'!I59</f>
        <v>509881.61399999983</v>
      </c>
      <c r="O56" s="217">
        <f>'IS 2023'!J59</f>
        <v>537798.88620000007</v>
      </c>
      <c r="P56" s="217">
        <f>'IS 2023'!K59</f>
        <v>560244.93420000002</v>
      </c>
      <c r="Q56" s="217">
        <f>'IS 2023'!L59</f>
        <v>572449.97279999999</v>
      </c>
      <c r="R56" s="217">
        <f>'IS 2023'!M59</f>
        <v>593352.85499999998</v>
      </c>
      <c r="S56" s="217">
        <f>'IS 2023'!N59</f>
        <v>615097.46399999992</v>
      </c>
      <c r="T56" s="217">
        <f>'IS 2023'!O59</f>
        <v>654378.04800000018</v>
      </c>
      <c r="U56" s="217">
        <f>'IS 2023'!P59</f>
        <v>671914.02300000004</v>
      </c>
      <c r="V56" s="217">
        <f>'IS 2023'!Q59</f>
        <v>735755.94800000021</v>
      </c>
    </row>
    <row r="57" spans="2:22" x14ac:dyDescent="0.3">
      <c r="B57" t="s">
        <v>22</v>
      </c>
      <c r="E57" s="10">
        <f t="shared" si="1"/>
        <v>0.92661098799133457</v>
      </c>
      <c r="F57" s="10">
        <f>'Statements Summary 2024'!V58</f>
        <v>0.93229310383552622</v>
      </c>
      <c r="G57" s="10">
        <f>'Statements Summary 2025'!V58</f>
        <v>0.93378920922254738</v>
      </c>
      <c r="H57" s="10">
        <f>'Statements Summary 2026'!V58</f>
        <v>0.94141520432106629</v>
      </c>
      <c r="I57" s="10">
        <f>'Statements Summary 2027'!V58</f>
        <v>0.9424650516576274</v>
      </c>
      <c r="K57" s="10">
        <f>K56/K44</f>
        <v>0.87164247483635171</v>
      </c>
      <c r="L57" s="10">
        <f t="shared" ref="L57:V57" si="10">L56/L44</f>
        <v>0.8742487190021111</v>
      </c>
      <c r="M57" s="10">
        <f t="shared" si="10"/>
        <v>0.877337084786175</v>
      </c>
      <c r="N57" s="10">
        <f t="shared" si="10"/>
        <v>0.88003388689305517</v>
      </c>
      <c r="O57" s="10">
        <f t="shared" si="10"/>
        <v>0.88554861466119605</v>
      </c>
      <c r="P57" s="10">
        <f t="shared" si="10"/>
        <v>0.88962796900608554</v>
      </c>
      <c r="Q57" s="10">
        <f t="shared" si="10"/>
        <v>0.89172638830164286</v>
      </c>
      <c r="R57" s="10">
        <f t="shared" si="10"/>
        <v>0.8951407307657816</v>
      </c>
      <c r="S57" s="10">
        <f t="shared" si="10"/>
        <v>0.89847130181727819</v>
      </c>
      <c r="T57" s="10">
        <f t="shared" si="10"/>
        <v>0.90398061102099181</v>
      </c>
      <c r="U57" s="10">
        <f t="shared" si="10"/>
        <v>0.90625164671112923</v>
      </c>
      <c r="V57" s="10">
        <f t="shared" si="10"/>
        <v>0.92661098799133457</v>
      </c>
    </row>
    <row r="58" spans="2:22" x14ac:dyDescent="0.3">
      <c r="B58" t="s">
        <v>11</v>
      </c>
      <c r="E58" s="213">
        <f t="shared" si="1"/>
        <v>-1711</v>
      </c>
      <c r="F58" s="213">
        <f>'Statements Summary 2024'!V59</f>
        <v>-1850</v>
      </c>
      <c r="G58" s="213">
        <f>'Statements Summary 2025'!V59</f>
        <v>-1911</v>
      </c>
      <c r="H58" s="213">
        <f>'Statements Summary 2026'!V59</f>
        <v>-1756</v>
      </c>
      <c r="I58" s="213">
        <f>'Statements Summary 2027'!V59</f>
        <v>-1800</v>
      </c>
      <c r="K58" s="9">
        <f>'IS 2023'!F60</f>
        <v>-1711</v>
      </c>
      <c r="L58" s="9">
        <f>'IS 2023'!G60</f>
        <v>-1711</v>
      </c>
      <c r="M58" s="9">
        <f>'IS 2023'!H60</f>
        <v>-1711</v>
      </c>
      <c r="N58" s="9">
        <f>'IS 2023'!I60</f>
        <v>-1711</v>
      </c>
      <c r="O58" s="9">
        <f>'IS 2023'!J60</f>
        <v>-1711</v>
      </c>
      <c r="P58" s="9">
        <f>'IS 2023'!K60</f>
        <v>-1711</v>
      </c>
      <c r="Q58" s="9">
        <f>'IS 2023'!L60</f>
        <v>-1711</v>
      </c>
      <c r="R58" s="9">
        <f>'IS 2023'!M60</f>
        <v>-1711</v>
      </c>
      <c r="S58" s="9">
        <f>'IS 2023'!N60</f>
        <v>-1711</v>
      </c>
      <c r="T58" s="9">
        <f>'IS 2023'!O60</f>
        <v>-1711</v>
      </c>
      <c r="U58" s="9">
        <f>'IS 2023'!P60</f>
        <v>-1711</v>
      </c>
      <c r="V58" s="9">
        <f>'IS 2023'!Q60</f>
        <v>-1711</v>
      </c>
    </row>
    <row r="59" spans="2:22" x14ac:dyDescent="0.3">
      <c r="B59" t="s">
        <v>12</v>
      </c>
      <c r="E59" s="213">
        <f t="shared" si="1"/>
        <v>734044.94800000021</v>
      </c>
      <c r="F59" s="213">
        <f>'Statements Summary 2024'!V60</f>
        <v>800542.65300000017</v>
      </c>
      <c r="G59" s="213">
        <f>'Statements Summary 2025'!V60</f>
        <v>823751.33675000002</v>
      </c>
      <c r="H59" s="213">
        <f>'Statements Summary 2026'!V60</f>
        <v>934648.8737499998</v>
      </c>
      <c r="I59" s="213">
        <f>'Statements Summary 2027'!V60</f>
        <v>1049401.2525000002</v>
      </c>
      <c r="K59" s="213">
        <f>'IS 2023'!F61</f>
        <v>470292.90799999982</v>
      </c>
      <c r="L59" s="213">
        <f>'IS 2023'!G61</f>
        <v>481515.93200000003</v>
      </c>
      <c r="M59" s="213">
        <f>'IS 2023'!H61</f>
        <v>495432.48176000011</v>
      </c>
      <c r="N59" s="213">
        <f>'IS 2023'!I61</f>
        <v>508170.61399999983</v>
      </c>
      <c r="O59" s="213">
        <f>'IS 2023'!J61</f>
        <v>536087.88620000007</v>
      </c>
      <c r="P59" s="213">
        <f>'IS 2023'!K61</f>
        <v>558533.93420000002</v>
      </c>
      <c r="Q59" s="213">
        <f>'IS 2023'!L61</f>
        <v>570738.97279999999</v>
      </c>
      <c r="R59" s="213">
        <f>'IS 2023'!M61</f>
        <v>591641.85499999998</v>
      </c>
      <c r="S59" s="213">
        <f>'IS 2023'!N61</f>
        <v>613386.46399999992</v>
      </c>
      <c r="T59" s="213">
        <f>'IS 2023'!O61</f>
        <v>652667.04800000018</v>
      </c>
      <c r="U59" s="213">
        <f>'IS 2023'!P61</f>
        <v>670203.02300000004</v>
      </c>
      <c r="V59" s="213">
        <f>'IS 2023'!Q61</f>
        <v>734044.94800000021</v>
      </c>
    </row>
    <row r="60" spans="2:22" x14ac:dyDescent="0.3">
      <c r="B60" t="s">
        <v>13</v>
      </c>
      <c r="E60" s="213">
        <f t="shared" si="1"/>
        <v>-53000.4</v>
      </c>
      <c r="F60" s="213">
        <f>'Statements Summary 2024'!V61</f>
        <v>-12637.2</v>
      </c>
      <c r="G60" s="213">
        <f>'Statements Summary 2025'!V61</f>
        <v>0</v>
      </c>
      <c r="H60" s="213">
        <f>'Statements Summary 2026'!V61</f>
        <v>0</v>
      </c>
      <c r="I60" s="213">
        <f>'Statements Summary 2027'!V61</f>
        <v>0</v>
      </c>
      <c r="K60" s="223">
        <f>'IS 2023'!F62</f>
        <v>-90000</v>
      </c>
      <c r="L60" s="223">
        <f>'IS 2023'!G62</f>
        <v>-86636.400000000009</v>
      </c>
      <c r="M60" s="223">
        <f>'IS 2023'!H62</f>
        <v>-83272.800000000003</v>
      </c>
      <c r="N60" s="223">
        <f>'IS 2023'!I62</f>
        <v>-79909.200000000012</v>
      </c>
      <c r="O60" s="223">
        <f>'IS 2023'!J62</f>
        <v>-76545.600000000006</v>
      </c>
      <c r="P60" s="223">
        <f>'IS 2023'!K62</f>
        <v>-73182</v>
      </c>
      <c r="Q60" s="223">
        <f>'IS 2023'!L62</f>
        <v>-69818.400000000009</v>
      </c>
      <c r="R60" s="223">
        <f>'IS 2023'!M62</f>
        <v>-66454.8</v>
      </c>
      <c r="S60" s="223">
        <f>'IS 2023'!N62</f>
        <v>-63091.200000000004</v>
      </c>
      <c r="T60" s="223">
        <f>'IS 2023'!O62</f>
        <v>-59727.600000000006</v>
      </c>
      <c r="U60" s="223">
        <f>'IS 2023'!P62</f>
        <v>-56364</v>
      </c>
      <c r="V60" s="223">
        <f>'IS 2023'!Q62</f>
        <v>-53000.4</v>
      </c>
    </row>
    <row r="61" spans="2:22" x14ac:dyDescent="0.3">
      <c r="B61" t="s">
        <v>14</v>
      </c>
      <c r="E61" s="213">
        <f t="shared" si="1"/>
        <v>735755.94800000021</v>
      </c>
      <c r="F61" s="213">
        <f>'Statements Summary 2024'!V62</f>
        <v>802392.65300000017</v>
      </c>
      <c r="G61" s="213">
        <f>'Statements Summary 2025'!V62</f>
        <v>821840.33675000002</v>
      </c>
      <c r="H61" s="213">
        <f>'Statements Summary 2026'!V62</f>
        <v>936404.8737499998</v>
      </c>
      <c r="I61" s="213">
        <f>'Statements Summary 2027'!V62</f>
        <v>1051201.2525000002</v>
      </c>
      <c r="K61" s="213">
        <f>'IS 2023'!F63</f>
        <v>472003.90799999982</v>
      </c>
      <c r="L61" s="213">
        <f>'IS 2023'!G63</f>
        <v>483226.93200000003</v>
      </c>
      <c r="M61" s="213">
        <f>'IS 2023'!H63</f>
        <v>497143.48176000011</v>
      </c>
      <c r="N61" s="213">
        <f>'IS 2023'!I63</f>
        <v>509881.61399999983</v>
      </c>
      <c r="O61" s="213">
        <f>'IS 2023'!J63</f>
        <v>537798.88620000007</v>
      </c>
      <c r="P61" s="213">
        <f>'IS 2023'!K63</f>
        <v>560244.93420000002</v>
      </c>
      <c r="Q61" s="213">
        <f>'IS 2023'!L63</f>
        <v>572449.97279999999</v>
      </c>
      <c r="R61" s="213">
        <f>'IS 2023'!M63</f>
        <v>593352.85499999998</v>
      </c>
      <c r="S61" s="213">
        <f>'IS 2023'!N63</f>
        <v>615097.46399999992</v>
      </c>
      <c r="T61" s="213">
        <f>'IS 2023'!O63</f>
        <v>654378.04800000018</v>
      </c>
      <c r="U61" s="213">
        <f>'IS 2023'!P63</f>
        <v>671914.02300000004</v>
      </c>
      <c r="V61" s="213">
        <f>'IS 2023'!Q63</f>
        <v>735755.94800000021</v>
      </c>
    </row>
    <row r="62" spans="2:22" x14ac:dyDescent="0.3">
      <c r="B62" t="s">
        <v>15</v>
      </c>
      <c r="E62" s="213">
        <f t="shared" si="1"/>
        <v>-147151.18960000004</v>
      </c>
      <c r="F62" s="213">
        <f>'Statements Summary 2024'!V63</f>
        <v>-160478.53060000006</v>
      </c>
      <c r="G62" s="213">
        <f>'Statements Summary 2025'!V63</f>
        <v>-164368.06735000003</v>
      </c>
      <c r="H62" s="213">
        <f>'Statements Summary 2026'!V63</f>
        <v>-187280.97474999996</v>
      </c>
      <c r="I62" s="213">
        <f>'Statements Summary 2027'!V63</f>
        <v>-187280.97474999996</v>
      </c>
      <c r="K62" s="213">
        <f>'IS 2023'!F64</f>
        <v>-94400.781599999973</v>
      </c>
      <c r="L62" s="213">
        <f>'IS 2023'!G64</f>
        <v>-96645.386400000018</v>
      </c>
      <c r="M62" s="213">
        <f>'IS 2023'!H64</f>
        <v>-99428.696352000028</v>
      </c>
      <c r="N62" s="213">
        <f>'IS 2023'!I64</f>
        <v>-101976.32279999997</v>
      </c>
      <c r="O62" s="213">
        <f>'IS 2023'!J64</f>
        <v>-107559.77724000002</v>
      </c>
      <c r="P62" s="213">
        <f>'IS 2023'!K64</f>
        <v>-112048.98684000001</v>
      </c>
      <c r="Q62" s="213">
        <f>'IS 2023'!L64</f>
        <v>-114489.99456000001</v>
      </c>
      <c r="R62" s="213">
        <f>'IS 2023'!M64</f>
        <v>-118670.571</v>
      </c>
      <c r="S62" s="213">
        <f>'IS 2023'!N64</f>
        <v>-123019.49279999999</v>
      </c>
      <c r="T62" s="213">
        <f>'IS 2023'!O64</f>
        <v>-130875.60960000004</v>
      </c>
      <c r="U62" s="213">
        <f>'IS 2023'!P64</f>
        <v>-134382.8046</v>
      </c>
      <c r="V62" s="213">
        <f>'IS 2023'!Q64</f>
        <v>-147151.18960000004</v>
      </c>
    </row>
    <row r="63" spans="2:22" x14ac:dyDescent="0.3">
      <c r="B63" s="23" t="s">
        <v>16</v>
      </c>
      <c r="C63" s="23"/>
      <c r="D63" s="23"/>
      <c r="E63" s="217">
        <f t="shared" si="1"/>
        <v>588604.75840000017</v>
      </c>
      <c r="F63" s="217">
        <f>'Statements Summary 2024'!V64</f>
        <v>641914.12240000011</v>
      </c>
      <c r="G63" s="217">
        <f>'Statements Summary 2025'!V64</f>
        <v>657472.26939999999</v>
      </c>
      <c r="H63" s="217">
        <f>'Statements Summary 2026'!V64</f>
        <v>749123.89899999986</v>
      </c>
      <c r="I63" s="217">
        <f>'Statements Summary 2027'!V64</f>
        <v>840961.00200000009</v>
      </c>
      <c r="K63" s="217">
        <f>'IS 2023'!F65</f>
        <v>377603.12639999983</v>
      </c>
      <c r="L63" s="217">
        <f>'IS 2023'!G65</f>
        <v>386581.54560000001</v>
      </c>
      <c r="M63" s="217">
        <f>'IS 2023'!H65</f>
        <v>397714.78540800011</v>
      </c>
      <c r="N63" s="217">
        <f>'IS 2023'!I65</f>
        <v>407905.29119999986</v>
      </c>
      <c r="O63" s="217">
        <f>'IS 2023'!J65</f>
        <v>430239.10896000004</v>
      </c>
      <c r="P63" s="217">
        <f>'IS 2023'!K65</f>
        <v>448195.94735999999</v>
      </c>
      <c r="Q63" s="217">
        <f>'IS 2023'!L65</f>
        <v>457959.97823999997</v>
      </c>
      <c r="R63" s="217">
        <f>'IS 2023'!M65</f>
        <v>474682.28399999999</v>
      </c>
      <c r="S63" s="217">
        <f>'IS 2023'!N65</f>
        <v>492077.97119999991</v>
      </c>
      <c r="T63" s="217">
        <f>'IS 2023'!O65</f>
        <v>523502.43840000016</v>
      </c>
      <c r="U63" s="217">
        <f>'IS 2023'!P65</f>
        <v>537531.21840000001</v>
      </c>
      <c r="V63" s="217">
        <f>'IS 2023'!Q65</f>
        <v>588604.75840000017</v>
      </c>
    </row>
    <row r="64" spans="2:22" x14ac:dyDescent="0.3">
      <c r="B64" t="s">
        <v>17</v>
      </c>
      <c r="E64" s="10">
        <f t="shared" si="1"/>
        <v>0.74128879039306761</v>
      </c>
      <c r="F64" s="10">
        <f>'Statements Summary 2024'!V65</f>
        <v>0.74583448306842093</v>
      </c>
      <c r="G64" s="10">
        <f>'Statements Summary 2025'!V65</f>
        <v>0.74703136737803788</v>
      </c>
      <c r="H64" s="10">
        <f>'Statements Summary 2026'!V65</f>
        <v>0.75313216345685308</v>
      </c>
      <c r="I64" s="10">
        <f>'Statements Summary 2027'!V65</f>
        <v>0.75397204132610185</v>
      </c>
      <c r="K64" s="10">
        <f>K63/K44</f>
        <v>0.69731397986908139</v>
      </c>
      <c r="L64" s="10">
        <f t="shared" ref="L64:V64" si="11">L63/L44</f>
        <v>0.69939897520168892</v>
      </c>
      <c r="M64" s="10">
        <f t="shared" si="11"/>
        <v>0.70186966782894</v>
      </c>
      <c r="N64" s="10">
        <f t="shared" si="11"/>
        <v>0.70402710951444414</v>
      </c>
      <c r="O64" s="10">
        <f t="shared" si="11"/>
        <v>0.70843889172895691</v>
      </c>
      <c r="P64" s="10">
        <f t="shared" si="11"/>
        <v>0.71170237520486834</v>
      </c>
      <c r="Q64" s="10">
        <f t="shared" si="11"/>
        <v>0.71338111064131426</v>
      </c>
      <c r="R64" s="10">
        <f t="shared" si="11"/>
        <v>0.71611258461262528</v>
      </c>
      <c r="S64" s="10">
        <f t="shared" si="11"/>
        <v>0.7187770414538226</v>
      </c>
      <c r="T64" s="10">
        <f t="shared" si="11"/>
        <v>0.72318448881679354</v>
      </c>
      <c r="U64" s="10">
        <f t="shared" si="11"/>
        <v>0.72500131736890339</v>
      </c>
      <c r="V64" s="10">
        <f t="shared" si="11"/>
        <v>0.74128879039306761</v>
      </c>
    </row>
    <row r="66" spans="2:22" x14ac:dyDescent="0.3">
      <c r="B66" s="183" t="s">
        <v>276</v>
      </c>
      <c r="C66" s="156"/>
      <c r="D66" s="156"/>
      <c r="E66" s="156"/>
      <c r="F66" s="156"/>
      <c r="G66" s="156"/>
      <c r="H66" s="156"/>
      <c r="I66" s="156"/>
      <c r="K66" s="387" t="s">
        <v>212</v>
      </c>
      <c r="L66" s="387"/>
      <c r="M66" s="387"/>
      <c r="N66" s="387"/>
      <c r="O66" s="387"/>
      <c r="P66" s="387"/>
      <c r="Q66" s="387"/>
      <c r="R66" s="387"/>
      <c r="S66" s="387"/>
      <c r="T66" s="387"/>
      <c r="U66" s="387"/>
      <c r="V66" s="387"/>
    </row>
    <row r="83" spans="2:22" x14ac:dyDescent="0.3">
      <c r="B83" s="183" t="s">
        <v>277</v>
      </c>
      <c r="C83" s="183"/>
      <c r="D83" s="183"/>
      <c r="E83" s="183"/>
      <c r="F83" s="156"/>
      <c r="G83" s="156"/>
      <c r="H83" s="156"/>
      <c r="I83" s="156"/>
      <c r="J83" s="156"/>
      <c r="K83" s="387" t="s">
        <v>99</v>
      </c>
      <c r="L83" s="387"/>
      <c r="M83" s="387"/>
      <c r="N83" s="387"/>
      <c r="O83" s="387"/>
      <c r="P83" s="387"/>
      <c r="Q83" s="387"/>
      <c r="R83" s="387"/>
      <c r="S83" s="387"/>
      <c r="T83" s="387"/>
      <c r="U83" s="387"/>
      <c r="V83" s="387"/>
    </row>
    <row r="85" spans="2:22" x14ac:dyDescent="0.3">
      <c r="B85" s="201" t="s">
        <v>27</v>
      </c>
      <c r="C85" s="201"/>
      <c r="D85" s="201"/>
      <c r="E85" s="202">
        <v>2023</v>
      </c>
      <c r="F85" s="202">
        <v>2024</v>
      </c>
      <c r="G85" s="202">
        <v>2025</v>
      </c>
      <c r="H85" s="202">
        <v>2026</v>
      </c>
      <c r="I85" s="202">
        <v>2027</v>
      </c>
      <c r="J85" s="201"/>
      <c r="K85" s="202" t="s">
        <v>32</v>
      </c>
      <c r="L85" s="202" t="s">
        <v>33</v>
      </c>
      <c r="M85" s="202" t="s">
        <v>34</v>
      </c>
      <c r="N85" s="202" t="s">
        <v>35</v>
      </c>
      <c r="O85" s="202" t="s">
        <v>36</v>
      </c>
      <c r="P85" s="202" t="s">
        <v>37</v>
      </c>
      <c r="Q85" s="202" t="s">
        <v>38</v>
      </c>
      <c r="R85" s="202" t="s">
        <v>39</v>
      </c>
      <c r="S85" s="202" t="s">
        <v>40</v>
      </c>
      <c r="T85" s="202" t="s">
        <v>41</v>
      </c>
      <c r="U85" s="202" t="s">
        <v>42</v>
      </c>
      <c r="V85" s="202" t="s">
        <v>43</v>
      </c>
    </row>
    <row r="86" spans="2:22" x14ac:dyDescent="0.3">
      <c r="B86" t="s">
        <v>55</v>
      </c>
      <c r="E86" s="213">
        <f t="shared" ref="E86:E97" si="12">V86</f>
        <v>5300048.053568</v>
      </c>
      <c r="F86" s="213">
        <f>'Statements Summary 2024'!V88</f>
        <v>12937033.168768</v>
      </c>
      <c r="G86" s="213">
        <f>'Statements Summary 2025'!V88</f>
        <v>21347934.268282287</v>
      </c>
      <c r="H86" s="213">
        <f>'Statements Summary 2026'!V88</f>
        <v>29790310.365282293</v>
      </c>
      <c r="I86" s="213">
        <f>'Statements Summary 2027'!V88</f>
        <v>40151893.008882284</v>
      </c>
      <c r="K86" s="213">
        <f>'BS 2023'!F14</f>
        <v>356910.12639999983</v>
      </c>
      <c r="L86" s="213">
        <f>'BS 2023'!G14</f>
        <v>709344.27199999988</v>
      </c>
      <c r="M86" s="213">
        <f>'BS 2023'!H14</f>
        <v>1076275.2574080001</v>
      </c>
      <c r="N86" s="213">
        <f>'BS 2023'!I14</f>
        <v>1456760.348608</v>
      </c>
      <c r="O86" s="213">
        <f>'BS 2023'!J14</f>
        <v>1862942.857568</v>
      </c>
      <c r="P86" s="213">
        <f>'BS 2023'!K14</f>
        <v>2290445.8049280001</v>
      </c>
      <c r="Q86" s="213">
        <f>'BS 2023'!L14</f>
        <v>2731076.3831679998</v>
      </c>
      <c r="R86" s="213">
        <f>'BS 2023'!M14</f>
        <v>3191792.867168</v>
      </c>
      <c r="S86" s="213">
        <f>'BS 2023'!N14</f>
        <v>3673268.6383679998</v>
      </c>
      <c r="T86" s="213">
        <f>'BS 2023'!O14</f>
        <v>4189532.4767680001</v>
      </c>
      <c r="U86" s="213">
        <f>'BS 2023'!P14</f>
        <v>4723188.6951679997</v>
      </c>
      <c r="V86" s="213">
        <f>'BS 2023'!Q14</f>
        <v>5300048.053568</v>
      </c>
    </row>
    <row r="87" spans="2:22" x14ac:dyDescent="0.3">
      <c r="B87" t="s">
        <v>56</v>
      </c>
      <c r="E87" s="213">
        <f t="shared" si="12"/>
        <v>470532</v>
      </c>
      <c r="F87" s="213">
        <f>'Statements Summary 2024'!V89</f>
        <v>488332</v>
      </c>
      <c r="G87" s="213">
        <f>'Statements Summary 2025'!V89</f>
        <v>509481</v>
      </c>
      <c r="H87" s="213">
        <f>'Statements Summary 2026'!V89</f>
        <v>531018</v>
      </c>
      <c r="I87" s="213">
        <f>'Statements Summary 2027'!V89</f>
        <v>552400</v>
      </c>
      <c r="K87" s="213">
        <f>'BS 2023'!F19</f>
        <v>451711</v>
      </c>
      <c r="L87" s="213">
        <f>'BS 2023'!G19</f>
        <v>453422</v>
      </c>
      <c r="M87" s="213">
        <f>'BS 2023'!H19</f>
        <v>455133</v>
      </c>
      <c r="N87" s="213">
        <f>'BS 2023'!I19</f>
        <v>456844</v>
      </c>
      <c r="O87" s="213">
        <f>'BS 2023'!J19</f>
        <v>458555</v>
      </c>
      <c r="P87" s="213">
        <f>'BS 2023'!K19</f>
        <v>460266</v>
      </c>
      <c r="Q87" s="213">
        <f>'BS 2023'!L19</f>
        <v>461977</v>
      </c>
      <c r="R87" s="213">
        <f>'BS 2023'!M19</f>
        <v>463688</v>
      </c>
      <c r="S87" s="213">
        <f>'BS 2023'!N19</f>
        <v>465399</v>
      </c>
      <c r="T87" s="213">
        <f>'BS 2023'!O19</f>
        <v>467110</v>
      </c>
      <c r="U87" s="213">
        <f>'BS 2023'!P19</f>
        <v>468821</v>
      </c>
      <c r="V87" s="213">
        <f>'BS 2023'!Q19</f>
        <v>470532</v>
      </c>
    </row>
    <row r="88" spans="2:22" x14ac:dyDescent="0.3">
      <c r="B88" t="s">
        <v>57</v>
      </c>
      <c r="E88" s="213">
        <f t="shared" si="12"/>
        <v>5770580.053568</v>
      </c>
      <c r="F88" s="213">
        <f>'Statements Summary 2024'!V90</f>
        <v>13425365.168768</v>
      </c>
      <c r="G88" s="213">
        <f>'Statements Summary 2025'!V90</f>
        <v>21857415.268282287</v>
      </c>
      <c r="H88" s="213">
        <f>'Statements Summary 2026'!V90</f>
        <v>30321328.365282293</v>
      </c>
      <c r="I88" s="213">
        <f>'Statements Summary 2027'!V90</f>
        <v>40704293.008882284</v>
      </c>
      <c r="K88" s="213">
        <f>'BS 2023'!F20</f>
        <v>808621.12639999983</v>
      </c>
      <c r="L88" s="213">
        <f>'BS 2023'!G20</f>
        <v>1162766.2719999999</v>
      </c>
      <c r="M88" s="213">
        <f>'BS 2023'!H20</f>
        <v>1531408.2574080001</v>
      </c>
      <c r="N88" s="213">
        <f>'BS 2023'!I20</f>
        <v>1913604.348608</v>
      </c>
      <c r="O88" s="213">
        <f>'BS 2023'!J20</f>
        <v>2321497.857568</v>
      </c>
      <c r="P88" s="213">
        <f>'BS 2023'!K20</f>
        <v>2750711.8049280001</v>
      </c>
      <c r="Q88" s="213">
        <f>'BS 2023'!L20</f>
        <v>3193053.3831679998</v>
      </c>
      <c r="R88" s="213">
        <f>'BS 2023'!M20</f>
        <v>3655480.867168</v>
      </c>
      <c r="S88" s="213">
        <f>'BS 2023'!N20</f>
        <v>4138667.6383679998</v>
      </c>
      <c r="T88" s="213">
        <f>'BS 2023'!O20</f>
        <v>4656642.4767680001</v>
      </c>
      <c r="U88" s="213">
        <f>'BS 2023'!P20</f>
        <v>5192009.6951679997</v>
      </c>
      <c r="V88" s="213">
        <f>'BS 2023'!Q20</f>
        <v>5770580.053568</v>
      </c>
    </row>
    <row r="89" spans="2:22" x14ac:dyDescent="0.3">
      <c r="B89" t="s">
        <v>58</v>
      </c>
      <c r="E89" s="213">
        <f t="shared" si="12"/>
        <v>-147151.18960000004</v>
      </c>
      <c r="F89" s="213">
        <f>'Statements Summary 2024'!V91</f>
        <v>-160478.53060000006</v>
      </c>
      <c r="G89" s="213">
        <f>'Statements Summary 2025'!V91</f>
        <v>-164368.06735000003</v>
      </c>
      <c r="H89" s="213">
        <f>'Statements Summary 2026'!V91</f>
        <v>-187280.97474999996</v>
      </c>
      <c r="I89" s="213">
        <f>'Statements Summary 2027'!V91</f>
        <v>-210240.25050000005</v>
      </c>
      <c r="K89" s="213"/>
      <c r="L89" s="213">
        <f>'BS 2023'!G25</f>
        <v>-96645.386400000018</v>
      </c>
      <c r="M89" s="213">
        <f>'BS 2023'!H25</f>
        <v>-99428.696352000028</v>
      </c>
      <c r="N89" s="213">
        <f>'BS 2023'!I25</f>
        <v>-101976.32279999997</v>
      </c>
      <c r="O89" s="213">
        <f>'BS 2023'!J25</f>
        <v>-107559.77724000002</v>
      </c>
      <c r="P89" s="213">
        <f>'BS 2023'!K25</f>
        <v>-112048.98684000001</v>
      </c>
      <c r="Q89" s="213">
        <f>'BS 2023'!L25</f>
        <v>-114489.99456000001</v>
      </c>
      <c r="R89" s="213">
        <f>'BS 2023'!M25</f>
        <v>-118670.571</v>
      </c>
      <c r="S89" s="213">
        <f>'BS 2023'!N25</f>
        <v>-123019.49279999999</v>
      </c>
      <c r="T89" s="213">
        <f>'BS 2023'!O25</f>
        <v>-130875.60960000004</v>
      </c>
      <c r="U89" s="213">
        <f>'BS 2023'!P25</f>
        <v>-134382.8046</v>
      </c>
      <c r="V89" s="213">
        <f>'BS 2023'!Q25</f>
        <v>-147151.18960000004</v>
      </c>
    </row>
    <row r="90" spans="2:22" x14ac:dyDescent="0.3">
      <c r="B90" t="s">
        <v>211</v>
      </c>
      <c r="E90" s="213">
        <f t="shared" si="12"/>
        <v>-265002</v>
      </c>
      <c r="F90" s="213">
        <f>'Statements Summary 2024'!V92</f>
        <v>-63186</v>
      </c>
      <c r="G90" s="213">
        <f>'Statements Summary 2025'!V92</f>
        <v>0</v>
      </c>
      <c r="H90" s="213">
        <f>'Statements Summary 2026'!V92</f>
        <v>0</v>
      </c>
      <c r="I90" s="213">
        <f>'Statements Summary 2027'!V92</f>
        <v>0</v>
      </c>
      <c r="K90" s="213">
        <f>'BS 2023'!F27</f>
        <v>-450000</v>
      </c>
      <c r="L90" s="213">
        <f>'BS 2023'!G27</f>
        <v>-433182</v>
      </c>
      <c r="M90" s="213">
        <f>'BS 2023'!H27</f>
        <v>-416364</v>
      </c>
      <c r="N90" s="213">
        <f>'BS 2023'!I27</f>
        <v>-399546</v>
      </c>
      <c r="O90" s="213">
        <f>'BS 2023'!J27</f>
        <v>-382728</v>
      </c>
      <c r="P90" s="213">
        <f>'BS 2023'!K27</f>
        <v>-365910</v>
      </c>
      <c r="Q90" s="213">
        <f>'BS 2023'!L27</f>
        <v>-349092</v>
      </c>
      <c r="R90" s="213">
        <f>'BS 2023'!M27</f>
        <v>-332274</v>
      </c>
      <c r="S90" s="213">
        <f>'BS 2023'!N27</f>
        <v>-315456</v>
      </c>
      <c r="T90" s="213">
        <f>'BS 2023'!O27</f>
        <v>-298638</v>
      </c>
      <c r="U90" s="213">
        <f>'BS 2023'!P27</f>
        <v>-281820</v>
      </c>
      <c r="V90" s="213">
        <f>'BS 2023'!Q27</f>
        <v>-265002</v>
      </c>
    </row>
    <row r="91" spans="2:22" x14ac:dyDescent="0.3">
      <c r="B91" t="s">
        <v>60</v>
      </c>
      <c r="E91" s="213">
        <f t="shared" si="12"/>
        <v>-412153.18960000004</v>
      </c>
      <c r="F91" s="213">
        <f>'Statements Summary 2024'!V93</f>
        <v>-223664.53060000006</v>
      </c>
      <c r="G91" s="213">
        <f>'Statements Summary 2025'!V93</f>
        <v>-164368.06735000003</v>
      </c>
      <c r="H91" s="213">
        <f>'Statements Summary 2026'!V93</f>
        <v>-187280.97474999996</v>
      </c>
      <c r="I91" s="213">
        <f>'Statements Summary 2027'!V93</f>
        <v>-210240.25050000005</v>
      </c>
      <c r="K91" s="213">
        <f>'BS 2023'!F32</f>
        <v>-544400.78159999999</v>
      </c>
      <c r="L91" s="213">
        <f>'BS 2023'!G32</f>
        <v>-529827.38639999996</v>
      </c>
      <c r="M91" s="213">
        <f>'BS 2023'!H32</f>
        <v>-515792.696352</v>
      </c>
      <c r="N91" s="213">
        <f>'BS 2023'!I32</f>
        <v>-501522.32279999997</v>
      </c>
      <c r="O91" s="213">
        <f>'BS 2023'!J32</f>
        <v>-490287.77724000002</v>
      </c>
      <c r="P91" s="213">
        <f>'BS 2023'!K32</f>
        <v>-477958.98684000003</v>
      </c>
      <c r="Q91" s="213">
        <f>'BS 2023'!L32</f>
        <v>-463581.99456000002</v>
      </c>
      <c r="R91" s="213">
        <f>'BS 2023'!M32</f>
        <v>-450944.571</v>
      </c>
      <c r="S91" s="213">
        <f>'BS 2023'!N32</f>
        <v>-438475.49280000001</v>
      </c>
      <c r="T91" s="213">
        <f>'BS 2023'!O32</f>
        <v>-429513.60960000003</v>
      </c>
      <c r="U91" s="213">
        <f>'BS 2023'!P32</f>
        <v>-416202.80460000003</v>
      </c>
      <c r="V91" s="213">
        <f>'BS 2023'!Q32</f>
        <v>-412153.18960000004</v>
      </c>
    </row>
    <row r="92" spans="2:22" x14ac:dyDescent="0.3">
      <c r="B92" t="s">
        <v>61</v>
      </c>
      <c r="E92" s="213">
        <f t="shared" si="12"/>
        <v>5358426.8639679998</v>
      </c>
      <c r="F92" s="213">
        <f>'Statements Summary 2024'!V94</f>
        <v>13201700.638168</v>
      </c>
      <c r="G92" s="213">
        <f>'Statements Summary 2025'!V94</f>
        <v>21693047.200932287</v>
      </c>
      <c r="H92" s="213">
        <f>'Statements Summary 2026'!V94</f>
        <v>30134047.390532292</v>
      </c>
      <c r="I92" s="213">
        <f>'Statements Summary 2027'!V94</f>
        <v>40494052.758382283</v>
      </c>
      <c r="K92" s="213">
        <f>'BS 2023'!F33</f>
        <v>264220.34479999985</v>
      </c>
      <c r="L92" s="213">
        <f>'BS 2023'!G33</f>
        <v>632938.88559999992</v>
      </c>
      <c r="M92" s="213">
        <f>'BS 2023'!H33</f>
        <v>1015615.5610560001</v>
      </c>
      <c r="N92" s="213">
        <f>'BS 2023'!I33</f>
        <v>1412082.025808</v>
      </c>
      <c r="O92" s="213">
        <f>'BS 2023'!J33</f>
        <v>1831210.080328</v>
      </c>
      <c r="P92" s="213">
        <f>'BS 2023'!K33</f>
        <v>2272752.8180880002</v>
      </c>
      <c r="Q92" s="213">
        <f>'BS 2023'!L33</f>
        <v>2729471.3886079998</v>
      </c>
      <c r="R92" s="213">
        <f>'BS 2023'!M33</f>
        <v>3204536.296168</v>
      </c>
      <c r="S92" s="213">
        <f>'BS 2023'!N33</f>
        <v>3700192.1455679997</v>
      </c>
      <c r="T92" s="213">
        <f>'BS 2023'!O33</f>
        <v>4227128.867168</v>
      </c>
      <c r="U92" s="213">
        <f>'BS 2023'!P33</f>
        <v>4775806.8905679993</v>
      </c>
      <c r="V92" s="213">
        <f>'BS 2023'!Q33</f>
        <v>5358426.8639679998</v>
      </c>
    </row>
    <row r="93" spans="2:22" x14ac:dyDescent="0.3">
      <c r="B93" t="s">
        <v>62</v>
      </c>
      <c r="E93" s="213">
        <f t="shared" si="12"/>
        <v>5300048.053568</v>
      </c>
      <c r="F93" s="213">
        <f>'Statements Summary 2024'!V95</f>
        <v>12937033.168768</v>
      </c>
      <c r="G93" s="213">
        <f>'Statements Summary 2025'!V95</f>
        <v>21347934.268282287</v>
      </c>
      <c r="H93" s="213">
        <f>'Statements Summary 2026'!V95</f>
        <v>29790310.365282293</v>
      </c>
      <c r="I93" s="213">
        <f>'Statements Summary 2027'!V95</f>
        <v>40151893.008882284</v>
      </c>
      <c r="K93" s="213">
        <f>'BS 2023'!F14</f>
        <v>356910.12639999983</v>
      </c>
      <c r="L93" s="213">
        <f>'BS 2023'!G14</f>
        <v>709344.27199999988</v>
      </c>
      <c r="M93" s="213">
        <f>'BS 2023'!H14</f>
        <v>1076275.2574080001</v>
      </c>
      <c r="N93" s="213">
        <f>'BS 2023'!I14</f>
        <v>1456760.348608</v>
      </c>
      <c r="O93" s="213">
        <f>'BS 2023'!J14</f>
        <v>1862942.857568</v>
      </c>
      <c r="P93" s="213">
        <f>'BS 2023'!K14</f>
        <v>2290445.8049280001</v>
      </c>
      <c r="Q93" s="213">
        <f>'BS 2023'!L14</f>
        <v>2731076.3831679998</v>
      </c>
      <c r="R93" s="213">
        <f>'BS 2023'!M14</f>
        <v>3191792.867168</v>
      </c>
      <c r="S93" s="213">
        <f>'BS 2023'!N14</f>
        <v>3673268.6383679998</v>
      </c>
      <c r="T93" s="213">
        <f>'BS 2023'!O14</f>
        <v>4189532.4767680001</v>
      </c>
      <c r="U93" s="213">
        <f>'BS 2023'!P14</f>
        <v>4723188.6951679997</v>
      </c>
      <c r="V93" s="213">
        <f>'BS 2023'!Q14</f>
        <v>5300048.053568</v>
      </c>
    </row>
    <row r="94" spans="2:22" x14ac:dyDescent="0.3">
      <c r="B94" t="s">
        <v>63</v>
      </c>
      <c r="E94" s="213" t="str">
        <f t="shared" si="12"/>
        <v>-</v>
      </c>
      <c r="F94" s="213" t="str">
        <f>'Statements Summary 2024'!V96</f>
        <v>-</v>
      </c>
      <c r="G94" s="213" t="str">
        <f>'Statements Summary 2025'!V96</f>
        <v>-</v>
      </c>
      <c r="H94" s="213" t="str">
        <f>'Statements Summary 2026'!V96</f>
        <v>-</v>
      </c>
      <c r="I94" s="213" t="str">
        <f>'Statements Summary 2027'!V96</f>
        <v>-</v>
      </c>
      <c r="K94" s="213" t="s">
        <v>205</v>
      </c>
      <c r="L94" s="213" t="s">
        <v>205</v>
      </c>
      <c r="M94" s="213" t="s">
        <v>205</v>
      </c>
      <c r="N94" s="213" t="s">
        <v>205</v>
      </c>
      <c r="O94" s="213" t="s">
        <v>205</v>
      </c>
      <c r="P94" s="213" t="s">
        <v>205</v>
      </c>
      <c r="Q94" s="213" t="s">
        <v>205</v>
      </c>
      <c r="R94" s="213" t="s">
        <v>205</v>
      </c>
      <c r="S94" s="213" t="s">
        <v>205</v>
      </c>
      <c r="T94" s="213" t="s">
        <v>205</v>
      </c>
      <c r="U94" s="213" t="s">
        <v>205</v>
      </c>
      <c r="V94" s="213" t="s">
        <v>205</v>
      </c>
    </row>
    <row r="95" spans="2:22" x14ac:dyDescent="0.3">
      <c r="B95" t="s">
        <v>64</v>
      </c>
      <c r="E95" s="213">
        <f t="shared" si="12"/>
        <v>0</v>
      </c>
      <c r="F95" s="213">
        <f>'Statements Summary 2024'!V97</f>
        <v>0</v>
      </c>
      <c r="G95" s="213">
        <f>'Statements Summary 2025'!V97</f>
        <v>0</v>
      </c>
      <c r="H95" s="213">
        <f>'Statements Summary 2026'!V97</f>
        <v>0</v>
      </c>
      <c r="I95" s="213">
        <f>'Statements Summary 2027'!V97</f>
        <v>0</v>
      </c>
      <c r="K95" s="213" t="s">
        <v>205</v>
      </c>
      <c r="L95" s="213" t="s">
        <v>205</v>
      </c>
      <c r="M95" s="213" t="s">
        <v>205</v>
      </c>
      <c r="N95" s="213" t="s">
        <v>205</v>
      </c>
      <c r="O95" s="213" t="s">
        <v>205</v>
      </c>
      <c r="P95" s="213" t="s">
        <v>205</v>
      </c>
      <c r="Q95" s="213" t="s">
        <v>205</v>
      </c>
      <c r="R95" s="213" t="s">
        <v>205</v>
      </c>
      <c r="S95" s="213" t="s">
        <v>205</v>
      </c>
      <c r="T95" s="213" t="s">
        <v>205</v>
      </c>
      <c r="U95" s="213" t="s">
        <v>205</v>
      </c>
      <c r="V95" s="213"/>
    </row>
    <row r="96" spans="2:22" x14ac:dyDescent="0.3">
      <c r="B96" t="s">
        <v>65</v>
      </c>
      <c r="E96" s="213">
        <f t="shared" si="12"/>
        <v>5358426.8639679998</v>
      </c>
      <c r="F96" s="213">
        <f>'Statements Summary 2024'!V98</f>
        <v>13201700.638168</v>
      </c>
      <c r="G96" s="213">
        <f>'Statements Summary 2025'!V98</f>
        <v>21693047.200932287</v>
      </c>
      <c r="H96" s="213">
        <f>'Statements Summary 2026'!V98</f>
        <v>30134047.390532292</v>
      </c>
      <c r="I96" s="213">
        <f>'Statements Summary 2027'!V98</f>
        <v>40494052.758382283</v>
      </c>
      <c r="K96" s="213">
        <f>K92</f>
        <v>264220.34479999985</v>
      </c>
      <c r="L96" s="213">
        <f t="shared" ref="L96:V96" si="13">L92</f>
        <v>632938.88559999992</v>
      </c>
      <c r="M96" s="213">
        <f t="shared" si="13"/>
        <v>1015615.5610560001</v>
      </c>
      <c r="N96" s="213">
        <f t="shared" si="13"/>
        <v>1412082.025808</v>
      </c>
      <c r="O96" s="213">
        <f t="shared" si="13"/>
        <v>1831210.080328</v>
      </c>
      <c r="P96" s="213">
        <f t="shared" si="13"/>
        <v>2272752.8180880002</v>
      </c>
      <c r="Q96" s="213">
        <f t="shared" si="13"/>
        <v>2729471.3886079998</v>
      </c>
      <c r="R96" s="213">
        <f t="shared" si="13"/>
        <v>3204536.296168</v>
      </c>
      <c r="S96" s="213">
        <f t="shared" si="13"/>
        <v>3700192.1455679997</v>
      </c>
      <c r="T96" s="213">
        <f t="shared" si="13"/>
        <v>4227128.867168</v>
      </c>
      <c r="U96" s="213">
        <f t="shared" si="13"/>
        <v>4775806.8905679993</v>
      </c>
      <c r="V96" s="213">
        <f t="shared" si="13"/>
        <v>5358426.8639679998</v>
      </c>
    </row>
    <row r="97" spans="2:22" x14ac:dyDescent="0.3">
      <c r="B97" t="s">
        <v>66</v>
      </c>
      <c r="E97" s="213">
        <f t="shared" si="12"/>
        <v>5358426.8639679998</v>
      </c>
      <c r="F97" s="213">
        <f>'Statements Summary 2024'!V99</f>
        <v>13201700.638168</v>
      </c>
      <c r="G97" s="213">
        <f>'Statements Summary 2025'!V99</f>
        <v>21693047.200932287</v>
      </c>
      <c r="H97" s="213">
        <f>'Statements Summary 2026'!V99</f>
        <v>30134047.390532292</v>
      </c>
      <c r="I97" s="213">
        <f>'Statements Summary 2027'!V99</f>
        <v>40494052.758382283</v>
      </c>
      <c r="K97" s="213">
        <f>K96</f>
        <v>264220.34479999985</v>
      </c>
      <c r="L97" s="213">
        <f t="shared" ref="L97:V97" si="14">L96</f>
        <v>632938.88559999992</v>
      </c>
      <c r="M97" s="213">
        <f t="shared" si="14"/>
        <v>1015615.5610560001</v>
      </c>
      <c r="N97" s="213">
        <f t="shared" si="14"/>
        <v>1412082.025808</v>
      </c>
      <c r="O97" s="213">
        <f t="shared" si="14"/>
        <v>1831210.080328</v>
      </c>
      <c r="P97" s="213">
        <f t="shared" si="14"/>
        <v>2272752.8180880002</v>
      </c>
      <c r="Q97" s="213">
        <f t="shared" si="14"/>
        <v>2729471.3886079998</v>
      </c>
      <c r="R97" s="213">
        <f t="shared" si="14"/>
        <v>3204536.296168</v>
      </c>
      <c r="S97" s="213">
        <f t="shared" si="14"/>
        <v>3700192.1455679997</v>
      </c>
      <c r="T97" s="213">
        <f t="shared" si="14"/>
        <v>4227128.867168</v>
      </c>
      <c r="U97" s="213">
        <f t="shared" si="14"/>
        <v>4775806.8905679993</v>
      </c>
      <c r="V97" s="213">
        <f t="shared" si="14"/>
        <v>5358426.8639679998</v>
      </c>
    </row>
    <row r="99" spans="2:22" x14ac:dyDescent="0.3">
      <c r="B99" s="183" t="s">
        <v>277</v>
      </c>
      <c r="C99" s="156"/>
      <c r="D99" s="156"/>
      <c r="E99" s="156"/>
      <c r="F99" s="156"/>
      <c r="G99" s="156"/>
      <c r="H99" s="156"/>
      <c r="I99" s="156"/>
      <c r="K99" s="387" t="s">
        <v>99</v>
      </c>
      <c r="L99" s="387"/>
      <c r="M99" s="387"/>
      <c r="N99" s="387"/>
      <c r="O99" s="387"/>
      <c r="P99" s="387"/>
      <c r="Q99" s="387"/>
      <c r="R99" s="387"/>
      <c r="S99" s="387"/>
      <c r="T99" s="387"/>
      <c r="U99" s="387"/>
      <c r="V99" s="387"/>
    </row>
  </sheetData>
  <mergeCells count="6">
    <mergeCell ref="K99:V99"/>
    <mergeCell ref="K83:V83"/>
    <mergeCell ref="K2:V2"/>
    <mergeCell ref="K19:V19"/>
    <mergeCell ref="K41:V41"/>
    <mergeCell ref="K66:V66"/>
  </mergeCells>
  <phoneticPr fontId="7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F61C7-D6CE-4149-858E-99174DB54BFC}">
  <dimension ref="B2:X63"/>
  <sheetViews>
    <sheetView showGridLines="0" topLeftCell="A49" zoomScale="95" zoomScaleNormal="95" workbookViewId="0">
      <selection activeCell="B25" sqref="B25:B37"/>
    </sheetView>
  </sheetViews>
  <sheetFormatPr defaultRowHeight="14.4" x14ac:dyDescent="0.3"/>
  <cols>
    <col min="1" max="1" width="1.77734375" customWidth="1"/>
    <col min="2" max="2" width="24.5546875" customWidth="1"/>
    <col min="3" max="3" width="8.44140625" customWidth="1"/>
    <col min="4" max="4" width="7.44140625" customWidth="1"/>
    <col min="5" max="5" width="7.109375" customWidth="1"/>
    <col min="6" max="6" width="3.6640625" customWidth="1"/>
    <col min="7" max="7" width="10.44140625" customWidth="1"/>
    <col min="8" max="8" width="11.88671875" customWidth="1"/>
    <col min="9" max="9" width="11.77734375" customWidth="1"/>
    <col min="10" max="10" width="11.44140625" customWidth="1"/>
    <col min="11" max="12" width="12.109375" customWidth="1"/>
    <col min="13" max="13" width="10.6640625" customWidth="1"/>
    <col min="14" max="14" width="12" customWidth="1"/>
    <col min="17" max="17" width="11.6640625" customWidth="1"/>
    <col min="19" max="19" width="11.21875" customWidth="1"/>
    <col min="22" max="22" width="10" bestFit="1" customWidth="1"/>
  </cols>
  <sheetData>
    <row r="2" spans="2:24" ht="15" customHeight="1" x14ac:dyDescent="0.35">
      <c r="B2" s="8" t="s">
        <v>268</v>
      </c>
      <c r="C2" s="8"/>
    </row>
    <row r="3" spans="2:24" ht="13.8" customHeight="1" x14ac:dyDescent="0.35">
      <c r="B3" s="8"/>
      <c r="C3" s="8"/>
    </row>
    <row r="4" spans="2:24" s="13" customFormat="1" ht="15" customHeight="1" x14ac:dyDescent="0.3">
      <c r="B4" s="151"/>
      <c r="C4" s="151"/>
      <c r="D4" s="151"/>
      <c r="E4" s="151"/>
      <c r="F4" s="151"/>
      <c r="G4" s="218">
        <v>2024</v>
      </c>
      <c r="H4" s="218">
        <v>2024</v>
      </c>
      <c r="I4" s="218">
        <v>2024</v>
      </c>
      <c r="J4" s="218">
        <v>2024</v>
      </c>
      <c r="K4" s="218">
        <v>2024</v>
      </c>
      <c r="L4" s="218">
        <v>2024</v>
      </c>
      <c r="M4" s="218">
        <v>2024</v>
      </c>
      <c r="N4" s="218">
        <v>2024</v>
      </c>
      <c r="O4" s="218">
        <v>2024</v>
      </c>
      <c r="P4" s="218">
        <v>2024</v>
      </c>
      <c r="Q4" s="218">
        <v>2024</v>
      </c>
      <c r="R4" s="218">
        <v>2024</v>
      </c>
      <c r="S4" s="218"/>
      <c r="T4" s="218"/>
      <c r="U4" s="218"/>
      <c r="V4" s="156"/>
      <c r="W4" s="156"/>
      <c r="X4" s="151"/>
    </row>
    <row r="5" spans="2:24" ht="15" customHeight="1" x14ac:dyDescent="0.3">
      <c r="B5" s="325" t="s">
        <v>0</v>
      </c>
      <c r="C5" s="168"/>
      <c r="D5" s="168"/>
      <c r="E5" s="168"/>
      <c r="F5" s="168"/>
      <c r="G5" s="326" t="s">
        <v>32</v>
      </c>
      <c r="H5" s="326" t="s">
        <v>33</v>
      </c>
      <c r="I5" s="326" t="s">
        <v>34</v>
      </c>
      <c r="J5" s="326" t="s">
        <v>35</v>
      </c>
      <c r="K5" s="326" t="s">
        <v>36</v>
      </c>
      <c r="L5" s="326" t="s">
        <v>37</v>
      </c>
      <c r="M5" s="326" t="s">
        <v>38</v>
      </c>
      <c r="N5" s="326" t="s">
        <v>39</v>
      </c>
      <c r="O5" s="326" t="s">
        <v>40</v>
      </c>
      <c r="P5" s="326" t="s">
        <v>41</v>
      </c>
      <c r="Q5" s="326" t="s">
        <v>42</v>
      </c>
      <c r="R5" s="326" t="s">
        <v>43</v>
      </c>
      <c r="S5" s="168"/>
      <c r="T5" s="168"/>
      <c r="U5" s="168"/>
      <c r="V5" s="168"/>
      <c r="W5" s="168"/>
      <c r="X5" s="168"/>
    </row>
    <row r="6" spans="2:24" ht="15" customHeight="1" x14ac:dyDescent="0.3">
      <c r="B6" s="4"/>
      <c r="G6" s="388" t="s">
        <v>266</v>
      </c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</row>
    <row r="7" spans="2:24" ht="14.4" customHeight="1" x14ac:dyDescent="0.3">
      <c r="B7" s="4" t="s">
        <v>265</v>
      </c>
      <c r="G7" s="222">
        <v>7000</v>
      </c>
      <c r="H7" s="222">
        <v>7100</v>
      </c>
      <c r="I7" s="222">
        <v>7200</v>
      </c>
      <c r="J7" s="222">
        <v>7300</v>
      </c>
      <c r="K7" s="222">
        <v>7400</v>
      </c>
      <c r="L7" s="222">
        <v>7500</v>
      </c>
      <c r="M7" s="222">
        <v>7600</v>
      </c>
      <c r="N7" s="222">
        <v>7700</v>
      </c>
      <c r="O7" s="222">
        <v>7800</v>
      </c>
      <c r="P7" s="222">
        <v>7850</v>
      </c>
      <c r="Q7" s="222">
        <v>7900</v>
      </c>
      <c r="R7" s="222">
        <v>7950</v>
      </c>
    </row>
    <row r="8" spans="2:24" x14ac:dyDescent="0.3">
      <c r="B8" s="4" t="s">
        <v>248</v>
      </c>
      <c r="G8" s="329">
        <v>3</v>
      </c>
      <c r="H8" s="329">
        <v>3</v>
      </c>
      <c r="I8" s="329">
        <v>3</v>
      </c>
      <c r="J8" s="329">
        <v>3</v>
      </c>
      <c r="K8" s="329">
        <v>3</v>
      </c>
      <c r="L8" s="329">
        <v>3</v>
      </c>
      <c r="M8" s="329">
        <v>3</v>
      </c>
      <c r="N8" s="329">
        <v>3</v>
      </c>
      <c r="O8" s="329">
        <v>3</v>
      </c>
      <c r="P8" s="329">
        <v>3</v>
      </c>
      <c r="Q8" s="329">
        <v>3</v>
      </c>
      <c r="R8" s="329">
        <v>3</v>
      </c>
    </row>
    <row r="9" spans="2:24" x14ac:dyDescent="0.3">
      <c r="B9" s="4" t="s">
        <v>251</v>
      </c>
      <c r="G9" s="319">
        <f t="shared" ref="G9:R9" si="0">G7/G8</f>
        <v>2333.3333333333335</v>
      </c>
      <c r="H9" s="319">
        <f t="shared" si="0"/>
        <v>2366.6666666666665</v>
      </c>
      <c r="I9" s="319">
        <f t="shared" si="0"/>
        <v>2400</v>
      </c>
      <c r="J9" s="319">
        <f t="shared" si="0"/>
        <v>2433.3333333333335</v>
      </c>
      <c r="K9" s="319">
        <f t="shared" si="0"/>
        <v>2466.6666666666665</v>
      </c>
      <c r="L9" s="319">
        <f t="shared" si="0"/>
        <v>2500</v>
      </c>
      <c r="M9" s="319">
        <f t="shared" si="0"/>
        <v>2533.3333333333335</v>
      </c>
      <c r="N9" s="319">
        <f t="shared" si="0"/>
        <v>2566.6666666666665</v>
      </c>
      <c r="O9" s="319">
        <f t="shared" si="0"/>
        <v>2600</v>
      </c>
      <c r="P9" s="319">
        <f t="shared" si="0"/>
        <v>2616.6666666666665</v>
      </c>
      <c r="Q9" s="319">
        <f t="shared" si="0"/>
        <v>2633.3333333333335</v>
      </c>
      <c r="R9" s="319">
        <f t="shared" si="0"/>
        <v>2650</v>
      </c>
    </row>
    <row r="10" spans="2:24" x14ac:dyDescent="0.3">
      <c r="B10" s="4" t="s">
        <v>261</v>
      </c>
      <c r="G10" s="322">
        <v>1050</v>
      </c>
      <c r="H10" s="322">
        <v>1075</v>
      </c>
      <c r="I10" s="322">
        <v>1100</v>
      </c>
      <c r="J10" s="322">
        <v>1125</v>
      </c>
      <c r="K10" s="322">
        <v>1050</v>
      </c>
      <c r="L10" s="322">
        <v>1050</v>
      </c>
      <c r="M10" s="322">
        <v>1150</v>
      </c>
      <c r="N10" s="322">
        <v>1050</v>
      </c>
      <c r="O10" s="322">
        <v>1200</v>
      </c>
      <c r="P10" s="322">
        <v>1200</v>
      </c>
      <c r="Q10" s="322">
        <v>1050</v>
      </c>
      <c r="R10" s="322">
        <v>1050</v>
      </c>
    </row>
    <row r="11" spans="2:24" x14ac:dyDescent="0.3">
      <c r="B11" s="4" t="s">
        <v>262</v>
      </c>
      <c r="G11" s="327">
        <v>0.8</v>
      </c>
      <c r="H11" s="327">
        <v>0.8</v>
      </c>
      <c r="I11" s="327">
        <v>0.8</v>
      </c>
      <c r="J11" s="327">
        <v>0.8</v>
      </c>
      <c r="K11" s="327">
        <v>0.8</v>
      </c>
      <c r="L11" s="327">
        <v>0.8</v>
      </c>
      <c r="M11" s="327">
        <v>0.8</v>
      </c>
      <c r="N11" s="327">
        <v>0.8</v>
      </c>
      <c r="O11" s="327">
        <v>0.8</v>
      </c>
      <c r="P11" s="327">
        <v>0.8</v>
      </c>
      <c r="Q11" s="327">
        <v>0.8</v>
      </c>
      <c r="R11" s="327">
        <v>0.8</v>
      </c>
    </row>
    <row r="12" spans="2:24" x14ac:dyDescent="0.3">
      <c r="B12" s="4" t="s">
        <v>263</v>
      </c>
      <c r="G12" s="328">
        <f t="shared" ref="G12:R12" si="1">G10*G11</f>
        <v>840</v>
      </c>
      <c r="H12" s="328">
        <f t="shared" si="1"/>
        <v>860</v>
      </c>
      <c r="I12" s="328">
        <f t="shared" si="1"/>
        <v>880</v>
      </c>
      <c r="J12" s="328">
        <f t="shared" si="1"/>
        <v>900</v>
      </c>
      <c r="K12" s="328">
        <f t="shared" si="1"/>
        <v>840</v>
      </c>
      <c r="L12" s="328">
        <f t="shared" si="1"/>
        <v>840</v>
      </c>
      <c r="M12" s="328">
        <f t="shared" si="1"/>
        <v>920</v>
      </c>
      <c r="N12" s="328">
        <f t="shared" si="1"/>
        <v>840</v>
      </c>
      <c r="O12" s="328">
        <f t="shared" si="1"/>
        <v>960</v>
      </c>
      <c r="P12" s="328">
        <f t="shared" si="1"/>
        <v>960</v>
      </c>
      <c r="Q12" s="328">
        <f t="shared" si="1"/>
        <v>840</v>
      </c>
      <c r="R12" s="328">
        <f t="shared" si="1"/>
        <v>840</v>
      </c>
    </row>
    <row r="13" spans="2:24" x14ac:dyDescent="0.3">
      <c r="B13" s="4" t="s">
        <v>249</v>
      </c>
      <c r="G13" s="322">
        <v>7500</v>
      </c>
      <c r="H13" s="322">
        <v>7500</v>
      </c>
      <c r="I13" s="322">
        <v>7500</v>
      </c>
      <c r="J13" s="322">
        <v>7500</v>
      </c>
      <c r="K13" s="322">
        <v>7500</v>
      </c>
      <c r="L13" s="322">
        <v>7500</v>
      </c>
      <c r="M13" s="322">
        <v>7500</v>
      </c>
      <c r="N13" s="322">
        <v>7500</v>
      </c>
      <c r="O13" s="322">
        <v>7500</v>
      </c>
      <c r="P13" s="322">
        <v>7500</v>
      </c>
      <c r="Q13" s="322">
        <v>7500</v>
      </c>
      <c r="R13" s="322">
        <v>7500</v>
      </c>
    </row>
    <row r="14" spans="2:24" x14ac:dyDescent="0.3">
      <c r="B14" s="4" t="s">
        <v>252</v>
      </c>
      <c r="G14" s="323">
        <v>600</v>
      </c>
      <c r="H14" s="323">
        <v>600</v>
      </c>
      <c r="I14" s="323">
        <v>600</v>
      </c>
      <c r="J14" s="323">
        <v>600</v>
      </c>
      <c r="K14" s="323">
        <v>600</v>
      </c>
      <c r="L14" s="323">
        <v>600</v>
      </c>
      <c r="M14" s="323">
        <v>600</v>
      </c>
      <c r="N14" s="323">
        <v>600</v>
      </c>
      <c r="O14" s="323">
        <v>600</v>
      </c>
      <c r="P14" s="323">
        <v>600</v>
      </c>
      <c r="Q14" s="323">
        <v>600</v>
      </c>
      <c r="R14" s="323">
        <v>600</v>
      </c>
    </row>
    <row r="15" spans="2:24" x14ac:dyDescent="0.3">
      <c r="B15" s="4" t="s">
        <v>250</v>
      </c>
      <c r="G15" s="320">
        <f t="shared" ref="G15:R15" si="2">G9+G12+G14</f>
        <v>3773.3333333333335</v>
      </c>
      <c r="H15" s="320">
        <f t="shared" si="2"/>
        <v>3826.6666666666665</v>
      </c>
      <c r="I15" s="320">
        <f t="shared" si="2"/>
        <v>3880</v>
      </c>
      <c r="J15" s="320">
        <f t="shared" si="2"/>
        <v>3933.3333333333335</v>
      </c>
      <c r="K15" s="320">
        <f t="shared" si="2"/>
        <v>3906.6666666666665</v>
      </c>
      <c r="L15" s="320">
        <f t="shared" si="2"/>
        <v>3940</v>
      </c>
      <c r="M15" s="320">
        <f t="shared" si="2"/>
        <v>4053.3333333333335</v>
      </c>
      <c r="N15" s="320">
        <f t="shared" si="2"/>
        <v>4006.6666666666665</v>
      </c>
      <c r="O15" s="320">
        <f t="shared" si="2"/>
        <v>4160</v>
      </c>
      <c r="P15" s="320">
        <f t="shared" si="2"/>
        <v>4176.6666666666661</v>
      </c>
      <c r="Q15" s="320">
        <f t="shared" si="2"/>
        <v>4073.3333333333335</v>
      </c>
      <c r="R15" s="320">
        <f t="shared" si="2"/>
        <v>4090</v>
      </c>
    </row>
    <row r="16" spans="2:24" x14ac:dyDescent="0.3">
      <c r="B16" s="24"/>
      <c r="C16" s="330"/>
      <c r="D16" s="330"/>
      <c r="E16" s="330"/>
      <c r="F16" s="330"/>
      <c r="G16" s="384" t="s">
        <v>253</v>
      </c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30"/>
      <c r="T16" s="330"/>
      <c r="U16" s="330"/>
      <c r="V16" s="330"/>
      <c r="W16" s="330"/>
    </row>
    <row r="17" spans="2:23" x14ac:dyDescent="0.3">
      <c r="B17" s="4" t="s">
        <v>254</v>
      </c>
      <c r="G17" s="324">
        <v>0.61</v>
      </c>
      <c r="H17" s="324">
        <v>0.61</v>
      </c>
      <c r="I17" s="324">
        <v>0.61</v>
      </c>
      <c r="J17" s="324">
        <v>0.61</v>
      </c>
      <c r="K17" s="324">
        <v>0.61</v>
      </c>
      <c r="L17" s="324">
        <v>0.61</v>
      </c>
      <c r="M17" s="324">
        <v>0.61</v>
      </c>
      <c r="N17" s="324">
        <v>0.61</v>
      </c>
      <c r="O17" s="324">
        <v>0.61</v>
      </c>
      <c r="P17" s="324">
        <v>0.61</v>
      </c>
      <c r="Q17" s="324">
        <v>0.61</v>
      </c>
      <c r="R17" s="324">
        <v>0.61</v>
      </c>
    </row>
    <row r="18" spans="2:23" x14ac:dyDescent="0.3">
      <c r="B18" s="4" t="s">
        <v>255</v>
      </c>
      <c r="G18" s="222">
        <f t="shared" ref="G18:R18" si="3">G15*G17</f>
        <v>2301.7333333333336</v>
      </c>
      <c r="H18" s="222">
        <f t="shared" si="3"/>
        <v>2334.2666666666664</v>
      </c>
      <c r="I18" s="222">
        <f t="shared" si="3"/>
        <v>2366.7999999999997</v>
      </c>
      <c r="J18" s="222">
        <f t="shared" si="3"/>
        <v>2399.3333333333335</v>
      </c>
      <c r="K18" s="222">
        <f t="shared" si="3"/>
        <v>2383.0666666666666</v>
      </c>
      <c r="L18" s="222">
        <f t="shared" si="3"/>
        <v>2403.4</v>
      </c>
      <c r="M18" s="222">
        <f t="shared" si="3"/>
        <v>2472.5333333333333</v>
      </c>
      <c r="N18" s="222">
        <f t="shared" si="3"/>
        <v>2444.0666666666666</v>
      </c>
      <c r="O18" s="222">
        <f t="shared" si="3"/>
        <v>2537.6</v>
      </c>
      <c r="P18" s="222">
        <f t="shared" si="3"/>
        <v>2547.7666666666664</v>
      </c>
      <c r="Q18" s="222">
        <f t="shared" si="3"/>
        <v>2484.7333333333336</v>
      </c>
      <c r="R18" s="222">
        <f t="shared" si="3"/>
        <v>2494.9</v>
      </c>
    </row>
    <row r="19" spans="2:23" x14ac:dyDescent="0.3">
      <c r="B19" s="4" t="s">
        <v>257</v>
      </c>
      <c r="G19" s="324">
        <v>0.1</v>
      </c>
      <c r="H19" s="324">
        <v>0.1</v>
      </c>
      <c r="I19" s="324">
        <v>0.1</v>
      </c>
      <c r="J19" s="324">
        <v>0.1</v>
      </c>
      <c r="K19" s="324">
        <v>0.1</v>
      </c>
      <c r="L19" s="324">
        <v>0.1</v>
      </c>
      <c r="M19" s="324">
        <v>0.1</v>
      </c>
      <c r="N19" s="324">
        <v>0.1</v>
      </c>
      <c r="O19" s="324">
        <v>0.1</v>
      </c>
      <c r="P19" s="324">
        <v>0.1</v>
      </c>
      <c r="Q19" s="324">
        <v>0.1</v>
      </c>
      <c r="R19" s="324">
        <v>0.1</v>
      </c>
    </row>
    <row r="20" spans="2:23" x14ac:dyDescent="0.3">
      <c r="B20" s="4" t="s">
        <v>258</v>
      </c>
      <c r="G20" s="222">
        <f t="shared" ref="G20:R20" si="4">G18*G19</f>
        <v>230.17333333333337</v>
      </c>
      <c r="H20" s="222">
        <f t="shared" si="4"/>
        <v>233.42666666666665</v>
      </c>
      <c r="I20" s="222">
        <f t="shared" si="4"/>
        <v>236.67999999999998</v>
      </c>
      <c r="J20" s="222">
        <f t="shared" si="4"/>
        <v>239.93333333333337</v>
      </c>
      <c r="K20" s="222">
        <f t="shared" si="4"/>
        <v>238.30666666666667</v>
      </c>
      <c r="L20" s="222">
        <f t="shared" si="4"/>
        <v>240.34000000000003</v>
      </c>
      <c r="M20" s="222">
        <f t="shared" si="4"/>
        <v>247.25333333333333</v>
      </c>
      <c r="N20" s="222">
        <f t="shared" si="4"/>
        <v>244.40666666666667</v>
      </c>
      <c r="O20" s="222">
        <f t="shared" si="4"/>
        <v>253.76</v>
      </c>
      <c r="P20" s="222">
        <f t="shared" si="4"/>
        <v>254.77666666666664</v>
      </c>
      <c r="Q20" s="222">
        <f t="shared" si="4"/>
        <v>248.47333333333336</v>
      </c>
      <c r="R20" s="222">
        <f t="shared" si="4"/>
        <v>249.49</v>
      </c>
    </row>
    <row r="21" spans="2:23" x14ac:dyDescent="0.3">
      <c r="B21" s="4" t="s">
        <v>259</v>
      </c>
      <c r="G21" s="324">
        <f t="shared" ref="G21:R21" si="5">1-G19</f>
        <v>0.9</v>
      </c>
      <c r="H21" s="324">
        <f t="shared" si="5"/>
        <v>0.9</v>
      </c>
      <c r="I21" s="324">
        <f t="shared" si="5"/>
        <v>0.9</v>
      </c>
      <c r="J21" s="324">
        <f t="shared" si="5"/>
        <v>0.9</v>
      </c>
      <c r="K21" s="324">
        <f t="shared" si="5"/>
        <v>0.9</v>
      </c>
      <c r="L21" s="324">
        <f t="shared" si="5"/>
        <v>0.9</v>
      </c>
      <c r="M21" s="324">
        <f t="shared" si="5"/>
        <v>0.9</v>
      </c>
      <c r="N21" s="324">
        <f t="shared" si="5"/>
        <v>0.9</v>
      </c>
      <c r="O21" s="324">
        <f t="shared" si="5"/>
        <v>0.9</v>
      </c>
      <c r="P21" s="324">
        <f t="shared" si="5"/>
        <v>0.9</v>
      </c>
      <c r="Q21" s="324">
        <f t="shared" si="5"/>
        <v>0.9</v>
      </c>
      <c r="R21" s="324">
        <f t="shared" si="5"/>
        <v>0.9</v>
      </c>
    </row>
    <row r="22" spans="2:23" x14ac:dyDescent="0.3">
      <c r="B22" s="4" t="s">
        <v>256</v>
      </c>
      <c r="G22" s="222">
        <f t="shared" ref="G22:R22" si="6">G18*G21</f>
        <v>2071.5600000000004</v>
      </c>
      <c r="H22" s="222">
        <f t="shared" si="6"/>
        <v>2100.8399999999997</v>
      </c>
      <c r="I22" s="222">
        <f t="shared" si="6"/>
        <v>2130.12</v>
      </c>
      <c r="J22" s="222">
        <f t="shared" si="6"/>
        <v>2159.4</v>
      </c>
      <c r="K22" s="222">
        <f t="shared" si="6"/>
        <v>2144.7600000000002</v>
      </c>
      <c r="L22" s="222">
        <f t="shared" si="6"/>
        <v>2163.06</v>
      </c>
      <c r="M22" s="222">
        <f t="shared" si="6"/>
        <v>2225.2800000000002</v>
      </c>
      <c r="N22" s="222">
        <f t="shared" si="6"/>
        <v>2199.66</v>
      </c>
      <c r="O22" s="222">
        <f t="shared" si="6"/>
        <v>2283.84</v>
      </c>
      <c r="P22" s="222">
        <f t="shared" si="6"/>
        <v>2292.9899999999998</v>
      </c>
      <c r="Q22" s="222">
        <f t="shared" si="6"/>
        <v>2236.2600000000002</v>
      </c>
      <c r="R22" s="222">
        <f t="shared" si="6"/>
        <v>2245.4100000000003</v>
      </c>
    </row>
    <row r="23" spans="2:23" x14ac:dyDescent="0.3">
      <c r="B23" s="4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</row>
    <row r="24" spans="2:23" ht="15" customHeight="1" x14ac:dyDescent="0.3">
      <c r="B24" s="24"/>
      <c r="C24" s="330"/>
      <c r="D24" s="330"/>
      <c r="E24" s="330"/>
      <c r="F24" s="330"/>
      <c r="G24" s="385" t="s">
        <v>260</v>
      </c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30"/>
      <c r="T24" s="330"/>
      <c r="U24" s="330"/>
      <c r="V24" s="330"/>
      <c r="W24" s="330"/>
    </row>
    <row r="25" spans="2:23" x14ac:dyDescent="0.3">
      <c r="B25" s="345" t="s">
        <v>290</v>
      </c>
      <c r="C25" s="343" t="s">
        <v>289</v>
      </c>
      <c r="D25">
        <v>135</v>
      </c>
      <c r="G25" s="324">
        <v>0.06</v>
      </c>
      <c r="H25" s="324">
        <v>0.06</v>
      </c>
      <c r="I25" s="324">
        <v>0.06</v>
      </c>
      <c r="J25" s="324">
        <v>0.06</v>
      </c>
      <c r="K25" s="324">
        <v>0.06</v>
      </c>
      <c r="L25" s="324">
        <v>0.06</v>
      </c>
      <c r="M25" s="324">
        <v>0.06</v>
      </c>
      <c r="N25" s="324">
        <v>0.06</v>
      </c>
      <c r="O25" s="324">
        <v>0.06</v>
      </c>
      <c r="P25" s="324">
        <v>0.06</v>
      </c>
      <c r="Q25" s="324">
        <v>0.06</v>
      </c>
      <c r="R25" s="324">
        <v>0.06</v>
      </c>
    </row>
    <row r="26" spans="2:23" x14ac:dyDescent="0.3">
      <c r="B26" s="345"/>
      <c r="C26" s="343"/>
      <c r="G26" s="331">
        <f t="shared" ref="G26:R26" si="7">G22*G25</f>
        <v>124.29360000000003</v>
      </c>
      <c r="H26" s="331">
        <f t="shared" si="7"/>
        <v>126.05039999999998</v>
      </c>
      <c r="I26" s="331">
        <f t="shared" si="7"/>
        <v>127.80719999999999</v>
      </c>
      <c r="J26" s="331">
        <f t="shared" si="7"/>
        <v>129.56399999999999</v>
      </c>
      <c r="K26" s="331">
        <f t="shared" si="7"/>
        <v>128.68560000000002</v>
      </c>
      <c r="L26" s="331">
        <f t="shared" si="7"/>
        <v>129.78359999999998</v>
      </c>
      <c r="M26" s="331">
        <f t="shared" si="7"/>
        <v>133.51680000000002</v>
      </c>
      <c r="N26" s="331">
        <f t="shared" si="7"/>
        <v>131.97959999999998</v>
      </c>
      <c r="O26" s="331">
        <f t="shared" si="7"/>
        <v>137.03040000000001</v>
      </c>
      <c r="P26" s="331">
        <f t="shared" si="7"/>
        <v>137.57939999999999</v>
      </c>
      <c r="Q26" s="331">
        <f t="shared" si="7"/>
        <v>134.1756</v>
      </c>
      <c r="R26" s="331">
        <f t="shared" si="7"/>
        <v>134.72460000000001</v>
      </c>
    </row>
    <row r="27" spans="2:23" x14ac:dyDescent="0.3">
      <c r="B27" s="345"/>
      <c r="C27" s="343"/>
      <c r="D27" s="386" t="s">
        <v>264</v>
      </c>
      <c r="E27" s="386"/>
      <c r="F27" s="386"/>
      <c r="G27" s="321">
        <f t="shared" ref="G27:R27" si="8">IF($B25&gt;" ", G26*$D25," ")</f>
        <v>16779.636000000002</v>
      </c>
      <c r="H27" s="321">
        <f t="shared" si="8"/>
        <v>17016.803999999996</v>
      </c>
      <c r="I27" s="321">
        <f t="shared" si="8"/>
        <v>17253.971999999998</v>
      </c>
      <c r="J27" s="321">
        <f t="shared" si="8"/>
        <v>17491.14</v>
      </c>
      <c r="K27" s="321">
        <f t="shared" si="8"/>
        <v>17372.556000000004</v>
      </c>
      <c r="L27" s="321">
        <f t="shared" si="8"/>
        <v>17520.785999999996</v>
      </c>
      <c r="M27" s="321">
        <f t="shared" si="8"/>
        <v>18024.768000000004</v>
      </c>
      <c r="N27" s="321">
        <f t="shared" si="8"/>
        <v>17817.245999999996</v>
      </c>
      <c r="O27" s="321">
        <f t="shared" si="8"/>
        <v>18499.104000000003</v>
      </c>
      <c r="P27" s="321">
        <f t="shared" si="8"/>
        <v>18573.218999999997</v>
      </c>
      <c r="Q27" s="321">
        <f t="shared" si="8"/>
        <v>18113.706000000002</v>
      </c>
      <c r="R27" s="321">
        <f t="shared" si="8"/>
        <v>18187.821</v>
      </c>
    </row>
    <row r="28" spans="2:23" x14ac:dyDescent="0.3">
      <c r="B28" s="345" t="s">
        <v>291</v>
      </c>
      <c r="C28" s="343" t="s">
        <v>289</v>
      </c>
      <c r="D28">
        <v>190</v>
      </c>
      <c r="G28" s="338">
        <v>0.06</v>
      </c>
      <c r="H28" s="338">
        <v>0.06</v>
      </c>
      <c r="I28" s="338">
        <v>0.06</v>
      </c>
      <c r="J28" s="338">
        <v>0.06</v>
      </c>
      <c r="K28" s="338">
        <v>0.06</v>
      </c>
      <c r="L28" s="338">
        <v>0.06</v>
      </c>
      <c r="M28" s="338">
        <v>0.06</v>
      </c>
      <c r="N28" s="338">
        <v>0.06</v>
      </c>
      <c r="O28" s="338">
        <v>0.06</v>
      </c>
      <c r="P28" s="338">
        <v>0.06</v>
      </c>
      <c r="Q28" s="338">
        <v>0.06</v>
      </c>
      <c r="R28" s="338">
        <v>0.06</v>
      </c>
    </row>
    <row r="29" spans="2:23" x14ac:dyDescent="0.3">
      <c r="B29" s="345"/>
      <c r="C29" s="343"/>
      <c r="G29" s="331">
        <f t="shared" ref="G29:R29" si="9">G22*G28</f>
        <v>124.29360000000003</v>
      </c>
      <c r="H29" s="331">
        <f t="shared" si="9"/>
        <v>126.05039999999998</v>
      </c>
      <c r="I29" s="331">
        <f t="shared" si="9"/>
        <v>127.80719999999999</v>
      </c>
      <c r="J29" s="331">
        <f t="shared" si="9"/>
        <v>129.56399999999999</v>
      </c>
      <c r="K29" s="331">
        <f t="shared" si="9"/>
        <v>128.68560000000002</v>
      </c>
      <c r="L29" s="331">
        <f t="shared" si="9"/>
        <v>129.78359999999998</v>
      </c>
      <c r="M29" s="331">
        <f t="shared" si="9"/>
        <v>133.51680000000002</v>
      </c>
      <c r="N29" s="331">
        <f t="shared" si="9"/>
        <v>131.97959999999998</v>
      </c>
      <c r="O29" s="331">
        <f t="shared" si="9"/>
        <v>137.03040000000001</v>
      </c>
      <c r="P29" s="331">
        <f t="shared" si="9"/>
        <v>137.57939999999999</v>
      </c>
      <c r="Q29" s="331">
        <f t="shared" si="9"/>
        <v>134.1756</v>
      </c>
      <c r="R29" s="331">
        <f t="shared" si="9"/>
        <v>134.72460000000001</v>
      </c>
    </row>
    <row r="30" spans="2:23" x14ac:dyDescent="0.3">
      <c r="B30" s="345"/>
      <c r="C30" s="343"/>
      <c r="D30" s="386" t="s">
        <v>264</v>
      </c>
      <c r="E30" s="386"/>
      <c r="F30" s="386"/>
      <c r="G30" s="321">
        <f t="shared" ref="G30:R30" si="10">IF($B28&gt;" ", G29*$D28," ")</f>
        <v>23615.784000000003</v>
      </c>
      <c r="H30" s="321">
        <f t="shared" si="10"/>
        <v>23949.575999999997</v>
      </c>
      <c r="I30" s="321">
        <f t="shared" si="10"/>
        <v>24283.367999999999</v>
      </c>
      <c r="J30" s="321">
        <f t="shared" si="10"/>
        <v>24617.16</v>
      </c>
      <c r="K30" s="321">
        <f t="shared" si="10"/>
        <v>24450.264000000003</v>
      </c>
      <c r="L30" s="321">
        <f t="shared" si="10"/>
        <v>24658.883999999995</v>
      </c>
      <c r="M30" s="321">
        <f t="shared" si="10"/>
        <v>25368.192000000003</v>
      </c>
      <c r="N30" s="321">
        <f t="shared" si="10"/>
        <v>25076.123999999996</v>
      </c>
      <c r="O30" s="321">
        <f t="shared" si="10"/>
        <v>26035.776000000002</v>
      </c>
      <c r="P30" s="321">
        <f t="shared" si="10"/>
        <v>26140.085999999999</v>
      </c>
      <c r="Q30" s="321">
        <f t="shared" si="10"/>
        <v>25493.364000000001</v>
      </c>
      <c r="R30" s="321">
        <f t="shared" si="10"/>
        <v>25597.674000000003</v>
      </c>
    </row>
    <row r="31" spans="2:23" x14ac:dyDescent="0.3">
      <c r="B31" s="345" t="s">
        <v>292</v>
      </c>
      <c r="C31" s="343" t="s">
        <v>289</v>
      </c>
      <c r="D31">
        <v>265</v>
      </c>
      <c r="G31" s="338">
        <v>0.12</v>
      </c>
      <c r="H31" s="338">
        <v>0.12</v>
      </c>
      <c r="I31" s="338">
        <v>0.12</v>
      </c>
      <c r="J31" s="338">
        <v>0.12</v>
      </c>
      <c r="K31" s="338">
        <v>0.12</v>
      </c>
      <c r="L31" s="338">
        <v>0.12</v>
      </c>
      <c r="M31" s="338">
        <v>0.12</v>
      </c>
      <c r="N31" s="338">
        <v>0.12</v>
      </c>
      <c r="O31" s="338">
        <v>0.12</v>
      </c>
      <c r="P31" s="338">
        <v>0.12</v>
      </c>
      <c r="Q31" s="338">
        <v>0.12</v>
      </c>
      <c r="R31" s="338">
        <v>0.12</v>
      </c>
    </row>
    <row r="32" spans="2:23" x14ac:dyDescent="0.3">
      <c r="B32" s="345"/>
      <c r="C32" s="343"/>
      <c r="G32" s="331">
        <f t="shared" ref="G32:R32" si="11">G22*G31</f>
        <v>248.58720000000005</v>
      </c>
      <c r="H32" s="331">
        <f t="shared" si="11"/>
        <v>252.10079999999996</v>
      </c>
      <c r="I32" s="331">
        <f t="shared" si="11"/>
        <v>255.61439999999999</v>
      </c>
      <c r="J32" s="331">
        <f t="shared" si="11"/>
        <v>259.12799999999999</v>
      </c>
      <c r="K32" s="331">
        <f t="shared" si="11"/>
        <v>257.37120000000004</v>
      </c>
      <c r="L32" s="331">
        <f t="shared" si="11"/>
        <v>259.56719999999996</v>
      </c>
      <c r="M32" s="331">
        <f t="shared" si="11"/>
        <v>267.03360000000004</v>
      </c>
      <c r="N32" s="331">
        <f t="shared" si="11"/>
        <v>263.95919999999995</v>
      </c>
      <c r="O32" s="331">
        <f t="shared" si="11"/>
        <v>274.06080000000003</v>
      </c>
      <c r="P32" s="331">
        <f t="shared" si="11"/>
        <v>275.15879999999999</v>
      </c>
      <c r="Q32" s="331">
        <f t="shared" si="11"/>
        <v>268.35120000000001</v>
      </c>
      <c r="R32" s="331">
        <f t="shared" si="11"/>
        <v>269.44920000000002</v>
      </c>
    </row>
    <row r="33" spans="2:24" x14ac:dyDescent="0.3">
      <c r="B33" s="345"/>
      <c r="C33" s="343"/>
      <c r="D33" s="386" t="s">
        <v>264</v>
      </c>
      <c r="E33" s="386"/>
      <c r="F33" s="386"/>
      <c r="G33" s="321">
        <f t="shared" ref="G33:R33" si="12">IF($B31&gt;" ", G32*$D31," ")</f>
        <v>65875.608000000007</v>
      </c>
      <c r="H33" s="321">
        <f t="shared" si="12"/>
        <v>66806.711999999985</v>
      </c>
      <c r="I33" s="321">
        <f t="shared" si="12"/>
        <v>67737.815999999992</v>
      </c>
      <c r="J33" s="321">
        <f t="shared" si="12"/>
        <v>68668.92</v>
      </c>
      <c r="K33" s="321">
        <f t="shared" si="12"/>
        <v>68203.368000000017</v>
      </c>
      <c r="L33" s="321">
        <f t="shared" si="12"/>
        <v>68785.30799999999</v>
      </c>
      <c r="M33" s="321">
        <f t="shared" si="12"/>
        <v>70763.90400000001</v>
      </c>
      <c r="N33" s="321">
        <f t="shared" si="12"/>
        <v>69949.187999999995</v>
      </c>
      <c r="O33" s="321">
        <f t="shared" si="12"/>
        <v>72626.112000000008</v>
      </c>
      <c r="P33" s="321">
        <f t="shared" si="12"/>
        <v>72917.081999999995</v>
      </c>
      <c r="Q33" s="321">
        <f t="shared" si="12"/>
        <v>71113.067999999999</v>
      </c>
      <c r="R33" s="321">
        <f t="shared" si="12"/>
        <v>71404.038</v>
      </c>
    </row>
    <row r="34" spans="2:24" x14ac:dyDescent="0.3">
      <c r="B34" s="345" t="s">
        <v>294</v>
      </c>
      <c r="C34" s="343" t="s">
        <v>289</v>
      </c>
      <c r="D34">
        <v>380</v>
      </c>
      <c r="G34" s="338">
        <v>0.28000000000000003</v>
      </c>
      <c r="H34" s="338">
        <v>0.28000000000000003</v>
      </c>
      <c r="I34" s="338">
        <v>0.28000000000000003</v>
      </c>
      <c r="J34" s="338">
        <v>0.28000000000000003</v>
      </c>
      <c r="K34" s="338">
        <v>0.28000000000000003</v>
      </c>
      <c r="L34" s="338">
        <v>0.28000000000000003</v>
      </c>
      <c r="M34" s="338">
        <v>0.28000000000000003</v>
      </c>
      <c r="N34" s="338">
        <v>0.28000000000000003</v>
      </c>
      <c r="O34" s="338">
        <v>0.28000000000000003</v>
      </c>
      <c r="P34" s="338">
        <v>0.28000000000000003</v>
      </c>
      <c r="Q34" s="338">
        <v>0.28000000000000003</v>
      </c>
      <c r="R34" s="338">
        <v>0.28000000000000003</v>
      </c>
    </row>
    <row r="35" spans="2:24" ht="13.2" customHeight="1" x14ac:dyDescent="0.3">
      <c r="B35" s="345"/>
      <c r="C35" s="343"/>
      <c r="G35" s="331">
        <f t="shared" ref="G35:R35" si="13">G22*G34</f>
        <v>580.0368000000002</v>
      </c>
      <c r="H35" s="331">
        <f t="shared" si="13"/>
        <v>588.23519999999996</v>
      </c>
      <c r="I35" s="331">
        <f t="shared" si="13"/>
        <v>596.43360000000007</v>
      </c>
      <c r="J35" s="331">
        <f t="shared" si="13"/>
        <v>604.63200000000006</v>
      </c>
      <c r="K35" s="331">
        <f t="shared" si="13"/>
        <v>600.53280000000007</v>
      </c>
      <c r="L35" s="331">
        <f t="shared" si="13"/>
        <v>605.65680000000009</v>
      </c>
      <c r="M35" s="331">
        <f t="shared" si="13"/>
        <v>623.0784000000001</v>
      </c>
      <c r="N35" s="331">
        <f t="shared" si="13"/>
        <v>615.90480000000002</v>
      </c>
      <c r="O35" s="331">
        <f t="shared" si="13"/>
        <v>639.47520000000009</v>
      </c>
      <c r="P35" s="331">
        <f t="shared" si="13"/>
        <v>642.03719999999998</v>
      </c>
      <c r="Q35" s="331">
        <f t="shared" si="13"/>
        <v>626.15280000000007</v>
      </c>
      <c r="R35" s="331">
        <f t="shared" si="13"/>
        <v>628.7148000000002</v>
      </c>
    </row>
    <row r="36" spans="2:24" ht="13.2" customHeight="1" x14ac:dyDescent="0.3">
      <c r="B36" s="345"/>
      <c r="C36" s="343"/>
      <c r="D36" s="386" t="s">
        <v>264</v>
      </c>
      <c r="E36" s="386"/>
      <c r="F36" s="386"/>
      <c r="G36" s="140">
        <f t="shared" ref="G36:R36" si="14">IF($B34&gt;" ", G35*$D34," ")</f>
        <v>220413.98400000008</v>
      </c>
      <c r="H36" s="140">
        <f t="shared" si="14"/>
        <v>223529.37599999999</v>
      </c>
      <c r="I36" s="140">
        <f t="shared" si="14"/>
        <v>226644.76800000004</v>
      </c>
      <c r="J36" s="140">
        <f t="shared" si="14"/>
        <v>229760.16000000003</v>
      </c>
      <c r="K36" s="140">
        <f t="shared" si="14"/>
        <v>228202.46400000004</v>
      </c>
      <c r="L36" s="140">
        <f t="shared" si="14"/>
        <v>230149.58400000003</v>
      </c>
      <c r="M36" s="140">
        <f t="shared" si="14"/>
        <v>236769.79200000004</v>
      </c>
      <c r="N36" s="140">
        <f t="shared" si="14"/>
        <v>234043.82400000002</v>
      </c>
      <c r="O36" s="140">
        <f t="shared" si="14"/>
        <v>243000.57600000003</v>
      </c>
      <c r="P36" s="140">
        <f t="shared" si="14"/>
        <v>243974.136</v>
      </c>
      <c r="Q36" s="140">
        <f t="shared" si="14"/>
        <v>237938.06400000001</v>
      </c>
      <c r="R36" s="140">
        <f t="shared" si="14"/>
        <v>238911.62400000007</v>
      </c>
    </row>
    <row r="37" spans="2:24" x14ac:dyDescent="0.3">
      <c r="B37" s="345" t="s">
        <v>293</v>
      </c>
      <c r="C37" s="343" t="s">
        <v>289</v>
      </c>
      <c r="D37">
        <v>470</v>
      </c>
      <c r="G37" s="338">
        <v>0.48</v>
      </c>
      <c r="H37" s="338">
        <v>0.48</v>
      </c>
      <c r="I37" s="338">
        <v>0.48</v>
      </c>
      <c r="J37" s="338">
        <v>0.48</v>
      </c>
      <c r="K37" s="338">
        <v>0.48</v>
      </c>
      <c r="L37" s="338">
        <v>0.48</v>
      </c>
      <c r="M37" s="338">
        <v>0.48</v>
      </c>
      <c r="N37" s="338">
        <v>0.48</v>
      </c>
      <c r="O37" s="338">
        <v>0.48</v>
      </c>
      <c r="P37" s="338">
        <v>0.48</v>
      </c>
      <c r="Q37" s="338">
        <v>0.48</v>
      </c>
      <c r="R37" s="338">
        <v>0.48</v>
      </c>
    </row>
    <row r="38" spans="2:24" x14ac:dyDescent="0.3">
      <c r="B38" s="4"/>
      <c r="G38" s="331">
        <f t="shared" ref="G38:R38" si="15">G22*G37</f>
        <v>994.34880000000021</v>
      </c>
      <c r="H38" s="331">
        <f t="shared" si="15"/>
        <v>1008.4031999999999</v>
      </c>
      <c r="I38" s="331">
        <f t="shared" si="15"/>
        <v>1022.4576</v>
      </c>
      <c r="J38" s="331">
        <f t="shared" si="15"/>
        <v>1036.5119999999999</v>
      </c>
      <c r="K38" s="331">
        <f t="shared" si="15"/>
        <v>1029.4848000000002</v>
      </c>
      <c r="L38" s="331">
        <f t="shared" si="15"/>
        <v>1038.2687999999998</v>
      </c>
      <c r="M38" s="331">
        <f t="shared" si="15"/>
        <v>1068.1344000000001</v>
      </c>
      <c r="N38" s="331">
        <f t="shared" si="15"/>
        <v>1055.8367999999998</v>
      </c>
      <c r="O38" s="331">
        <f t="shared" si="15"/>
        <v>1096.2432000000001</v>
      </c>
      <c r="P38" s="331">
        <f t="shared" si="15"/>
        <v>1100.6351999999999</v>
      </c>
      <c r="Q38" s="331">
        <f t="shared" si="15"/>
        <v>1073.4048</v>
      </c>
      <c r="R38" s="331">
        <f t="shared" si="15"/>
        <v>1077.7968000000001</v>
      </c>
    </row>
    <row r="39" spans="2:24" x14ac:dyDescent="0.3">
      <c r="B39" s="4"/>
      <c r="D39" s="386" t="s">
        <v>264</v>
      </c>
      <c r="E39" s="386"/>
      <c r="F39" s="386"/>
      <c r="G39" s="321">
        <f t="shared" ref="G39:R39" si="16">IF($B37&gt;" ", G38*$D37," ")</f>
        <v>467343.9360000001</v>
      </c>
      <c r="H39" s="321">
        <f t="shared" si="16"/>
        <v>473949.50399999996</v>
      </c>
      <c r="I39" s="321">
        <f t="shared" si="16"/>
        <v>480555.07199999999</v>
      </c>
      <c r="J39" s="321">
        <f t="shared" si="16"/>
        <v>487160.63999999996</v>
      </c>
      <c r="K39" s="321">
        <f t="shared" si="16"/>
        <v>483857.85600000009</v>
      </c>
      <c r="L39" s="321">
        <f t="shared" si="16"/>
        <v>487986.33599999989</v>
      </c>
      <c r="M39" s="321">
        <f t="shared" si="16"/>
        <v>502023.16800000006</v>
      </c>
      <c r="N39" s="321">
        <f t="shared" si="16"/>
        <v>496243.29599999991</v>
      </c>
      <c r="O39" s="321">
        <f t="shared" si="16"/>
        <v>515234.30400000006</v>
      </c>
      <c r="P39" s="321">
        <f t="shared" si="16"/>
        <v>517298.54399999999</v>
      </c>
      <c r="Q39" s="321">
        <f t="shared" si="16"/>
        <v>504500.25599999999</v>
      </c>
      <c r="R39" s="321">
        <f t="shared" si="16"/>
        <v>506564.49600000004</v>
      </c>
    </row>
    <row r="40" spans="2:24" ht="13.2" customHeight="1" x14ac:dyDescent="0.3">
      <c r="B40" s="339"/>
      <c r="C40" s="334"/>
      <c r="D40" s="334"/>
      <c r="E40" s="334"/>
      <c r="F40" s="334"/>
      <c r="G40" s="335">
        <f t="shared" ref="G40:Q40" si="17">SUM(G25+G28+G31+G34+G37)</f>
        <v>1</v>
      </c>
      <c r="H40" s="335">
        <f t="shared" si="17"/>
        <v>1</v>
      </c>
      <c r="I40" s="335">
        <f t="shared" si="17"/>
        <v>1</v>
      </c>
      <c r="J40" s="335">
        <f t="shared" si="17"/>
        <v>1</v>
      </c>
      <c r="K40" s="335">
        <f t="shared" si="17"/>
        <v>1</v>
      </c>
      <c r="L40" s="335">
        <f t="shared" si="17"/>
        <v>1</v>
      </c>
      <c r="M40" s="335">
        <f t="shared" si="17"/>
        <v>1</v>
      </c>
      <c r="N40" s="335">
        <f t="shared" si="17"/>
        <v>1</v>
      </c>
      <c r="O40" s="335">
        <f t="shared" si="17"/>
        <v>1</v>
      </c>
      <c r="P40" s="335">
        <f t="shared" si="17"/>
        <v>1</v>
      </c>
      <c r="Q40" s="335">
        <f t="shared" si="17"/>
        <v>1</v>
      </c>
      <c r="R40" s="335">
        <f t="shared" ref="R40" si="18">SUM(R25+R28+R31+R34+R37)</f>
        <v>1</v>
      </c>
      <c r="S40" s="216"/>
      <c r="T40" s="216"/>
      <c r="U40" s="216"/>
      <c r="V40" s="216"/>
      <c r="W40" s="216"/>
    </row>
    <row r="41" spans="2:24" ht="13.2" customHeight="1" x14ac:dyDescent="0.3">
      <c r="G41" s="21"/>
      <c r="H41" s="21"/>
      <c r="I41" s="21"/>
      <c r="J41" s="21"/>
      <c r="K41" s="21"/>
      <c r="L41" s="21"/>
    </row>
    <row r="42" spans="2:24" s="13" customFormat="1" x14ac:dyDescent="0.3">
      <c r="B42" s="340"/>
      <c r="C42" s="205"/>
      <c r="D42" s="341"/>
      <c r="G42" s="340" t="s">
        <v>19</v>
      </c>
      <c r="H42" s="205"/>
      <c r="I42" s="205"/>
      <c r="J42" s="205"/>
      <c r="K42" s="341"/>
      <c r="M42" s="382" t="s">
        <v>270</v>
      </c>
      <c r="N42" s="382"/>
      <c r="O42" s="382"/>
      <c r="P42" s="382"/>
      <c r="Q42" s="382"/>
      <c r="R42" s="382"/>
      <c r="S42" s="382" t="s">
        <v>271</v>
      </c>
      <c r="T42" s="382"/>
      <c r="U42" s="382"/>
      <c r="V42" s="382"/>
      <c r="W42" s="382"/>
    </row>
    <row r="43" spans="2:24" x14ac:dyDescent="0.3">
      <c r="B43" s="4" t="s">
        <v>0</v>
      </c>
      <c r="D43" s="5"/>
      <c r="G43" s="4">
        <v>2023</v>
      </c>
      <c r="H43">
        <v>2024</v>
      </c>
      <c r="I43">
        <v>2025</v>
      </c>
      <c r="J43">
        <v>2026</v>
      </c>
      <c r="K43" s="5">
        <v>2027</v>
      </c>
      <c r="M43" s="342"/>
      <c r="N43" s="342"/>
      <c r="O43" s="342"/>
      <c r="P43" s="342"/>
      <c r="Q43" s="342"/>
      <c r="R43" s="342"/>
      <c r="S43" s="342"/>
      <c r="T43" s="342"/>
      <c r="U43" s="342"/>
      <c r="V43" s="342"/>
      <c r="W43" s="342"/>
      <c r="X43" s="13"/>
    </row>
    <row r="44" spans="2:24" x14ac:dyDescent="0.3">
      <c r="B44" s="4" t="s">
        <v>125</v>
      </c>
      <c r="D44" s="5"/>
      <c r="G44" s="18">
        <f>'IS 2023'!U17</f>
        <v>7726098.0669600004</v>
      </c>
      <c r="H44" s="1">
        <f>'IS 2024'!U17</f>
        <v>10062843.894000001</v>
      </c>
      <c r="I44" s="1">
        <f>'IS 2025'!U17</f>
        <v>10310913.874392858</v>
      </c>
      <c r="J44" s="1">
        <f>'IS 2026'!U17</f>
        <v>11289186.37125</v>
      </c>
      <c r="K44" s="196">
        <f>'IS 2027'!U17</f>
        <v>12734515.804499999</v>
      </c>
      <c r="L44" s="1"/>
    </row>
    <row r="45" spans="2:24" x14ac:dyDescent="0.3">
      <c r="B45" s="4" t="s">
        <v>3</v>
      </c>
      <c r="D45" s="5"/>
      <c r="G45" s="18">
        <f>'IS 2023'!U18</f>
        <v>-390528</v>
      </c>
      <c r="H45" s="1">
        <f>'IS 2024'!U18</f>
        <v>-390528</v>
      </c>
      <c r="I45" s="1">
        <f>'IS 2025'!U18</f>
        <v>-390528</v>
      </c>
      <c r="J45" s="1">
        <f>'IS 2026'!U18</f>
        <v>-390528</v>
      </c>
      <c r="K45" s="196">
        <f>'IS 2027'!U18</f>
        <v>-449528</v>
      </c>
      <c r="L45" s="1"/>
    </row>
    <row r="46" spans="2:24" x14ac:dyDescent="0.3">
      <c r="B46" s="4" t="s">
        <v>4</v>
      </c>
      <c r="D46" s="5"/>
      <c r="G46" s="18">
        <f>G44-G45-G48-G49-G50</f>
        <v>9089704.0669599995</v>
      </c>
      <c r="H46" s="1">
        <f>H44-H45-H48-H49-H50</f>
        <v>11426449.894000001</v>
      </c>
      <c r="I46" s="1">
        <f>I44-I45-I48-I49-I50</f>
        <v>11674519.874392858</v>
      </c>
      <c r="J46" s="1">
        <f>J44-J45-J48-J49-J50</f>
        <v>12652792.37125</v>
      </c>
      <c r="K46" s="196">
        <f>K44-K45-K48-K49-K50</f>
        <v>14157121.804499999</v>
      </c>
      <c r="L46" s="1"/>
    </row>
    <row r="47" spans="2:24" x14ac:dyDescent="0.3">
      <c r="B47" s="4" t="s">
        <v>30</v>
      </c>
      <c r="D47" s="5"/>
      <c r="G47" s="197">
        <f>G46/G44</f>
        <v>1.1764934884571741</v>
      </c>
      <c r="H47" s="19">
        <f>H46/H44</f>
        <v>1.1355090086226076</v>
      </c>
      <c r="I47" s="19">
        <f>I46/I44</f>
        <v>1.1322488012809915</v>
      </c>
      <c r="J47" s="19">
        <f>J46/J44</f>
        <v>1.1207886870813537</v>
      </c>
      <c r="K47" s="198">
        <f>K46/K44</f>
        <v>1.1117126101879189</v>
      </c>
      <c r="L47" s="19"/>
    </row>
    <row r="48" spans="2:24" x14ac:dyDescent="0.3">
      <c r="B48" s="4" t="s">
        <v>5</v>
      </c>
      <c r="D48" s="5"/>
      <c r="G48" s="18">
        <f>'IS 2023'!U39</f>
        <v>-540756</v>
      </c>
      <c r="H48" s="1">
        <f>'IS 2024'!U40</f>
        <v>-540756</v>
      </c>
      <c r="I48" s="1">
        <f>'IS 2025'!U39</f>
        <v>-540756</v>
      </c>
      <c r="J48" s="1">
        <f>'IS 2026'!U38</f>
        <v>-540756</v>
      </c>
      <c r="K48" s="196">
        <f>'IS 2027'!U38</f>
        <v>-540756</v>
      </c>
      <c r="L48" s="1"/>
    </row>
    <row r="49" spans="2:12" x14ac:dyDescent="0.3">
      <c r="B49" s="4" t="s">
        <v>6</v>
      </c>
      <c r="D49" s="5"/>
      <c r="G49" s="18">
        <f>'IS 2023'!U38</f>
        <v>-333322</v>
      </c>
      <c r="H49" s="1">
        <f>'IS 2024'!U39</f>
        <v>-333322</v>
      </c>
      <c r="I49" s="1">
        <f>'IS 2025'!U38</f>
        <v>-333322</v>
      </c>
      <c r="J49" s="1">
        <f>'IS 2026'!U37</f>
        <v>-333322</v>
      </c>
      <c r="K49" s="196">
        <f>'IS 2027'!U37</f>
        <v>-333322</v>
      </c>
      <c r="L49" s="1"/>
    </row>
    <row r="50" spans="2:12" x14ac:dyDescent="0.3">
      <c r="B50" s="4" t="s">
        <v>7</v>
      </c>
      <c r="D50" s="5"/>
      <c r="G50" s="18">
        <f>'IS 2023'!U58</f>
        <v>-99000</v>
      </c>
      <c r="H50" s="1">
        <f>'IS 2024'!U59</f>
        <v>-99000</v>
      </c>
      <c r="I50" s="1">
        <f>'IS 2025'!U58</f>
        <v>-99000</v>
      </c>
      <c r="J50" s="1">
        <f>'IS 2026'!U56</f>
        <v>-99000</v>
      </c>
      <c r="K50" s="196">
        <f>'IS 2027'!U56</f>
        <v>-99000</v>
      </c>
      <c r="L50" s="1"/>
    </row>
    <row r="51" spans="2:12" x14ac:dyDescent="0.3">
      <c r="B51" s="4" t="s">
        <v>8</v>
      </c>
      <c r="D51" s="5"/>
      <c r="G51" s="18">
        <f>G60/G44*100</f>
        <v>71.47978715394413</v>
      </c>
      <c r="H51" s="1">
        <f>G60/G44*100</f>
        <v>71.47978715394413</v>
      </c>
      <c r="I51" s="1">
        <f>G60/G44*100</f>
        <v>71.47978715394413</v>
      </c>
      <c r="J51" s="1">
        <f>J60/J44*100</f>
        <v>74.168933186571948</v>
      </c>
      <c r="K51" s="196">
        <f>K60/K44*100</f>
        <v>74.460095610775383</v>
      </c>
      <c r="L51" s="1"/>
    </row>
    <row r="52" spans="2:12" x14ac:dyDescent="0.3">
      <c r="B52" s="4" t="s">
        <v>9</v>
      </c>
      <c r="D52" s="5"/>
      <c r="G52" s="197">
        <f>G60/G44</f>
        <v>0.7147978715394413</v>
      </c>
      <c r="H52" s="19">
        <f>H60/H44</f>
        <v>0.73458310524001058</v>
      </c>
      <c r="I52" s="19">
        <f>I60/I44</f>
        <v>0.73615696842984624</v>
      </c>
      <c r="J52" s="19">
        <f>J60/J44</f>
        <v>0.7416893318657195</v>
      </c>
      <c r="K52" s="198">
        <f>K60/K44</f>
        <v>0.74460095610775379</v>
      </c>
      <c r="L52" s="19"/>
    </row>
    <row r="53" spans="2:12" x14ac:dyDescent="0.3">
      <c r="B53" s="4" t="s">
        <v>10</v>
      </c>
      <c r="D53" s="5"/>
      <c r="G53" s="18">
        <f>'IS 2023'!U59</f>
        <v>6903248.0669600004</v>
      </c>
      <c r="H53" s="1">
        <f>'IS 2024'!U60</f>
        <v>9239993.8940000013</v>
      </c>
      <c r="I53" s="1">
        <f>'IS 2025'!U59</f>
        <v>9488063.8743928578</v>
      </c>
      <c r="J53" s="1">
        <f>'IS 2025'!U59</f>
        <v>9488063.8743928578</v>
      </c>
      <c r="K53" s="196">
        <f>'IS 2027'!U57</f>
        <v>11852665.804499999</v>
      </c>
      <c r="L53" s="1"/>
    </row>
    <row r="54" spans="2:12" x14ac:dyDescent="0.3">
      <c r="B54" s="4" t="s">
        <v>22</v>
      </c>
      <c r="D54" s="5"/>
      <c r="G54" s="197">
        <f>G53/G44</f>
        <v>0.89349733942430165</v>
      </c>
      <c r="H54" s="19">
        <f>G53/G44</f>
        <v>0.89349733942430165</v>
      </c>
      <c r="I54" s="19">
        <f>G53/G44</f>
        <v>0.89349733942430165</v>
      </c>
      <c r="J54" s="19">
        <f>J53/J44</f>
        <v>0.840455951595942</v>
      </c>
      <c r="K54" s="198">
        <f>K53/K44</f>
        <v>0.93075119513469207</v>
      </c>
      <c r="L54" s="19"/>
    </row>
    <row r="55" spans="2:12" x14ac:dyDescent="0.3">
      <c r="B55" s="4" t="s">
        <v>11</v>
      </c>
      <c r="D55" s="5"/>
      <c r="G55" s="18">
        <f>'IS 2023'!U60</f>
        <v>-20532</v>
      </c>
      <c r="H55" s="1">
        <f>'IS 2024'!U61</f>
        <v>-17800</v>
      </c>
      <c r="I55" s="1">
        <f>'IS 2025'!U60</f>
        <v>-21149</v>
      </c>
      <c r="J55" s="1">
        <f>'IS 2026'!U58</f>
        <v>-21537</v>
      </c>
      <c r="K55" s="196">
        <f>'IS 2027'!U58</f>
        <v>-21292</v>
      </c>
      <c r="L55" s="1"/>
    </row>
    <row r="56" spans="2:12" x14ac:dyDescent="0.3">
      <c r="B56" s="4" t="s">
        <v>12</v>
      </c>
      <c r="D56" s="5"/>
      <c r="G56" s="18">
        <f>'IS 2023'!U61</f>
        <v>6882716.0669600004</v>
      </c>
      <c r="H56" s="1">
        <f>'IS 2024'!U62</f>
        <v>9222193.8940000013</v>
      </c>
      <c r="I56" s="1">
        <f>'IS 2025'!U61</f>
        <v>9498112.8743928578</v>
      </c>
      <c r="J56" s="1">
        <f>'IS 2026'!U59</f>
        <v>10444799.371249998</v>
      </c>
      <c r="K56" s="196">
        <f>'IS 2027'!U59</f>
        <v>11831373.804499999</v>
      </c>
      <c r="L56" s="1"/>
    </row>
    <row r="57" spans="2:12" x14ac:dyDescent="0.3">
      <c r="B57" s="4" t="s">
        <v>13</v>
      </c>
      <c r="D57" s="5"/>
      <c r="G57" s="18">
        <f>'IS 2023'!U62</f>
        <v>-858002.4</v>
      </c>
      <c r="H57" s="1">
        <f>'IS 2024'!U63</f>
        <v>-373644</v>
      </c>
      <c r="I57" s="1">
        <f>'IS 2025'!U62</f>
        <v>0</v>
      </c>
      <c r="J57" s="1">
        <f>'IS 2026'!U60</f>
        <v>0</v>
      </c>
      <c r="K57" s="196">
        <f>'IS 2027'!U60</f>
        <v>0</v>
      </c>
      <c r="L57" s="1"/>
    </row>
    <row r="58" spans="2:12" x14ac:dyDescent="0.3">
      <c r="B58" s="4" t="s">
        <v>14</v>
      </c>
      <c r="D58" s="5"/>
      <c r="G58" s="18">
        <f>'IS 2023'!U63</f>
        <v>6903248.0669600004</v>
      </c>
      <c r="H58" s="1">
        <f>'IS 2024'!U64</f>
        <v>9239993.8940000013</v>
      </c>
      <c r="I58" s="1">
        <f>'IS 2025'!U63</f>
        <v>9488063.8743928578</v>
      </c>
      <c r="J58" s="1">
        <f>'IS 2026'!U61</f>
        <v>10466336.371249998</v>
      </c>
      <c r="K58" s="196">
        <f>'IS 2027'!U61</f>
        <v>11852665.804499999</v>
      </c>
      <c r="L58" s="1"/>
    </row>
    <row r="59" spans="2:12" x14ac:dyDescent="0.3">
      <c r="B59" s="4" t="s">
        <v>15</v>
      </c>
      <c r="D59" s="5"/>
      <c r="G59" s="18">
        <f>'IS 2023'!U64</f>
        <v>-1380649.6133920001</v>
      </c>
      <c r="H59" s="1">
        <f>'IS 2024'!U65</f>
        <v>-1847998.7788000004</v>
      </c>
      <c r="I59" s="1">
        <f>'IS 2025'!U64</f>
        <v>-1897612.7748785717</v>
      </c>
      <c r="J59" s="1">
        <f>'IS 2026'!U62</f>
        <v>-2093267.27425</v>
      </c>
      <c r="K59" s="196">
        <f>'IS 2027'!U62</f>
        <v>-2370533.1609</v>
      </c>
      <c r="L59" s="1"/>
    </row>
    <row r="60" spans="2:12" x14ac:dyDescent="0.3">
      <c r="B60" s="4" t="s">
        <v>16</v>
      </c>
      <c r="D60" s="5"/>
      <c r="G60" s="18">
        <f>'IS 2023'!U65</f>
        <v>5522598.4535680003</v>
      </c>
      <c r="H60" s="1">
        <f>'IS 2024'!U66</f>
        <v>7391995.1152000008</v>
      </c>
      <c r="I60" s="1">
        <f>'IS 2025'!U65</f>
        <v>7590451.099514286</v>
      </c>
      <c r="J60" s="1">
        <f>'IS 2026'!U63</f>
        <v>8373069.0969999991</v>
      </c>
      <c r="K60" s="196">
        <f>'IS 2027'!U63</f>
        <v>9482132.6436000001</v>
      </c>
      <c r="L60" s="1"/>
    </row>
    <row r="61" spans="2:12" x14ac:dyDescent="0.3">
      <c r="B61" s="4" t="s">
        <v>17</v>
      </c>
      <c r="D61" s="5"/>
      <c r="G61" s="197">
        <f>G60/G44</f>
        <v>0.7147978715394413</v>
      </c>
      <c r="H61" s="19">
        <f>H60/H44</f>
        <v>0.73458310524001058</v>
      </c>
      <c r="I61" s="19">
        <f>I60/I44</f>
        <v>0.73615696842984624</v>
      </c>
      <c r="J61" s="19">
        <f>J60/J44</f>
        <v>0.7416893318657195</v>
      </c>
      <c r="K61" s="198">
        <f>K60/K44</f>
        <v>0.74460095610775379</v>
      </c>
      <c r="L61" s="19"/>
    </row>
    <row r="62" spans="2:12" x14ac:dyDescent="0.3">
      <c r="B62" s="4" t="s">
        <v>156</v>
      </c>
      <c r="D62" s="5"/>
      <c r="G62" s="18">
        <f>G60-G50-G55</f>
        <v>5642130.4535680003</v>
      </c>
      <c r="H62" s="1">
        <f>H60-H50-H55</f>
        <v>7508795.1152000008</v>
      </c>
      <c r="I62" s="1">
        <f>I60-I50-I55</f>
        <v>7710600.099514286</v>
      </c>
      <c r="J62" s="1">
        <f>J60-J50-J55</f>
        <v>8493606.0969999991</v>
      </c>
      <c r="K62" s="196">
        <f>K60-K50-K55</f>
        <v>9602424.6436000001</v>
      </c>
      <c r="L62" s="1"/>
    </row>
    <row r="63" spans="2:12" x14ac:dyDescent="0.3">
      <c r="B63" s="6" t="s">
        <v>155</v>
      </c>
      <c r="C63" s="344"/>
      <c r="D63" s="7"/>
      <c r="G63" s="199">
        <f>G62-G48-G49-G50</f>
        <v>6615208.4535680003</v>
      </c>
      <c r="H63" s="20">
        <f>H62-H48-H49-H50</f>
        <v>8481873.1152000017</v>
      </c>
      <c r="I63" s="20">
        <f>I62-I48-I49-I50</f>
        <v>8683678.099514287</v>
      </c>
      <c r="J63" s="20">
        <f>J62-J48-J49-J50</f>
        <v>9466684.0969999991</v>
      </c>
      <c r="K63" s="200">
        <f>K62-K48-K49-K50</f>
        <v>10575502.6436</v>
      </c>
      <c r="L63" s="1"/>
    </row>
  </sheetData>
  <mergeCells count="10">
    <mergeCell ref="D27:F27"/>
    <mergeCell ref="D30:F30"/>
    <mergeCell ref="D33:F33"/>
    <mergeCell ref="D36:F36"/>
    <mergeCell ref="D39:F39"/>
    <mergeCell ref="G6:R6"/>
    <mergeCell ref="M42:R42"/>
    <mergeCell ref="S42:W42"/>
    <mergeCell ref="G16:R16"/>
    <mergeCell ref="G24:R24"/>
  </mergeCells>
  <conditionalFormatting sqref="G40:R40">
    <cfRule type="cellIs" dxfId="3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942E2-200B-4C2D-9772-0DA0AEA51B6A}">
  <sheetPr codeName="Sheet24"/>
  <dimension ref="A1:AP84"/>
  <sheetViews>
    <sheetView showGridLines="0" topLeftCell="A43" workbookViewId="0">
      <selection activeCell="T70" sqref="T70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.6640625" style="136" bestFit="1" customWidth="1"/>
    <col min="7" max="8" width="10" bestFit="1" customWidth="1"/>
    <col min="9" max="9" width="9.88671875" customWidth="1"/>
    <col min="10" max="13" width="10" bestFit="1" customWidth="1"/>
    <col min="14" max="14" width="9.77734375" customWidth="1"/>
    <col min="15" max="19" width="10" bestFit="1" customWidth="1"/>
    <col min="20" max="20" width="10.441406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41" t="s">
        <v>151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153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52"/>
      <c r="B5" s="155" t="s">
        <v>185</v>
      </c>
      <c r="C5" s="152"/>
      <c r="D5" s="152"/>
      <c r="E5" s="152"/>
      <c r="F5" s="210">
        <v>2024</v>
      </c>
      <c r="G5" s="210">
        <v>2024</v>
      </c>
      <c r="H5" s="210">
        <v>2024</v>
      </c>
      <c r="I5" s="210">
        <v>2024</v>
      </c>
      <c r="J5" s="210">
        <v>2024</v>
      </c>
      <c r="K5" s="210">
        <v>2024</v>
      </c>
      <c r="L5" s="210">
        <v>2024</v>
      </c>
      <c r="M5" s="210">
        <v>2024</v>
      </c>
      <c r="N5" s="210">
        <v>2024</v>
      </c>
      <c r="O5" s="210">
        <v>2024</v>
      </c>
      <c r="P5" s="210">
        <v>2024</v>
      </c>
      <c r="Q5" s="210">
        <v>2024</v>
      </c>
      <c r="R5" s="210">
        <v>2025</v>
      </c>
      <c r="S5" s="210">
        <v>2025</v>
      </c>
      <c r="T5" s="210">
        <v>2025</v>
      </c>
      <c r="U5" s="156" t="s">
        <v>80</v>
      </c>
    </row>
    <row r="6" spans="1:42" ht="15" thickBot="1" x14ac:dyDescent="0.35">
      <c r="A6" s="154"/>
      <c r="B6" s="162" t="s">
        <v>71</v>
      </c>
      <c r="C6" s="154"/>
      <c r="D6" s="154"/>
      <c r="E6" s="154"/>
      <c r="F6" s="209" t="s">
        <v>32</v>
      </c>
      <c r="G6" s="209" t="s">
        <v>33</v>
      </c>
      <c r="H6" s="209" t="s">
        <v>34</v>
      </c>
      <c r="I6" s="209" t="s">
        <v>35</v>
      </c>
      <c r="J6" s="209" t="s">
        <v>36</v>
      </c>
      <c r="K6" s="209" t="s">
        <v>37</v>
      </c>
      <c r="L6" s="209" t="s">
        <v>38</v>
      </c>
      <c r="M6" s="209" t="s">
        <v>39</v>
      </c>
      <c r="N6" s="209" t="s">
        <v>40</v>
      </c>
      <c r="O6" s="209" t="s">
        <v>41</v>
      </c>
      <c r="P6" s="209" t="s">
        <v>42</v>
      </c>
      <c r="Q6" s="209" t="s">
        <v>43</v>
      </c>
      <c r="R6" s="209" t="s">
        <v>32</v>
      </c>
      <c r="S6" s="209" t="s">
        <v>33</v>
      </c>
      <c r="T6" s="209" t="s">
        <v>34</v>
      </c>
      <c r="U6" s="168"/>
    </row>
    <row r="7" spans="1:42" s="135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8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4" t="s">
        <v>152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4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45" t="s">
        <v>290</v>
      </c>
      <c r="D12" s="13"/>
      <c r="E12" s="13"/>
      <c r="F12" s="160">
        <f>'2024 Sales Summary'!G27</f>
        <v>16779.636000000002</v>
      </c>
      <c r="G12" s="160">
        <f>'2024 Sales Summary'!H27</f>
        <v>17016.803999999996</v>
      </c>
      <c r="H12" s="160">
        <f>'2024 Sales Summary'!I27</f>
        <v>17253.971999999998</v>
      </c>
      <c r="I12" s="160">
        <f>'2024 Sales Summary'!J27</f>
        <v>17491.14</v>
      </c>
      <c r="J12" s="160">
        <f>'2024 Sales Summary'!K27</f>
        <v>17372.556000000004</v>
      </c>
      <c r="K12" s="160">
        <f>'2024 Sales Summary'!L27</f>
        <v>17520.785999999996</v>
      </c>
      <c r="L12" s="160">
        <f>'2024 Sales Summary'!M27</f>
        <v>18024.768000000004</v>
      </c>
      <c r="M12" s="160">
        <f>'2024 Sales Summary'!N27</f>
        <v>17817.245999999996</v>
      </c>
      <c r="N12" s="160">
        <f>'2024 Sales Summary'!O27</f>
        <v>18499.104000000003</v>
      </c>
      <c r="O12" s="160">
        <f>'2024 Sales Summary'!P27</f>
        <v>18573.218999999997</v>
      </c>
      <c r="P12" s="160">
        <f>'2024 Sales Summary'!Q27</f>
        <v>18113.706000000002</v>
      </c>
      <c r="Q12" s="160">
        <f>'2024 Sales Summary'!R27</f>
        <v>18187.821</v>
      </c>
      <c r="R12" s="160">
        <f>'IS 2025'!F12</f>
        <v>18261.935999999994</v>
      </c>
      <c r="S12" s="160">
        <f>'IS 2025'!G12</f>
        <v>18499.104000000003</v>
      </c>
      <c r="T12" s="160">
        <f>'IS 2025'!H12</f>
        <v>17278.549714285709</v>
      </c>
      <c r="U12" s="13"/>
    </row>
    <row r="13" spans="1:42" x14ac:dyDescent="0.3">
      <c r="A13" s="13"/>
      <c r="B13" s="13"/>
      <c r="C13" s="145" t="s">
        <v>291</v>
      </c>
      <c r="D13" s="13"/>
      <c r="E13" s="13"/>
      <c r="F13" s="160">
        <f>'2024 Sales Summary'!G30</f>
        <v>23615.784000000003</v>
      </c>
      <c r="G13" s="160">
        <f>'2024 Sales Summary'!H30</f>
        <v>23949.575999999997</v>
      </c>
      <c r="H13" s="160">
        <f>'2024 Sales Summary'!I30</f>
        <v>24283.367999999999</v>
      </c>
      <c r="I13" s="160">
        <f>'2024 Sales Summary'!J30</f>
        <v>24617.16</v>
      </c>
      <c r="J13" s="160">
        <f>'2024 Sales Summary'!K30</f>
        <v>24450.264000000003</v>
      </c>
      <c r="K13" s="160">
        <f>'2024 Sales Summary'!L30</f>
        <v>24658.883999999995</v>
      </c>
      <c r="L13" s="160">
        <f>'2024 Sales Summary'!M30</f>
        <v>25368.192000000003</v>
      </c>
      <c r="M13" s="160">
        <f>'2024 Sales Summary'!N30</f>
        <v>25076.123999999996</v>
      </c>
      <c r="N13" s="160">
        <f>'2024 Sales Summary'!O30</f>
        <v>26035.776000000002</v>
      </c>
      <c r="O13" s="160">
        <f>'2024 Sales Summary'!P30</f>
        <v>26140.085999999999</v>
      </c>
      <c r="P13" s="160">
        <f>'2024 Sales Summary'!Q30</f>
        <v>25493.364000000001</v>
      </c>
      <c r="Q13" s="160">
        <f>'2024 Sales Summary'!R30</f>
        <v>25597.674000000003</v>
      </c>
      <c r="R13" s="160">
        <f>'IS 2025'!F13</f>
        <v>25701.983999999993</v>
      </c>
      <c r="S13" s="160">
        <f>'IS 2025'!G13</f>
        <v>26035.776000000002</v>
      </c>
      <c r="T13" s="160">
        <f>'IS 2025'!H13</f>
        <v>24317.95885714285</v>
      </c>
      <c r="U13" s="13"/>
    </row>
    <row r="14" spans="1:42" x14ac:dyDescent="0.3">
      <c r="A14" s="13"/>
      <c r="B14" s="13"/>
      <c r="C14" s="145" t="s">
        <v>292</v>
      </c>
      <c r="D14" s="13"/>
      <c r="E14" s="13"/>
      <c r="F14" s="160">
        <f>'2024 Sales Summary'!G33</f>
        <v>65875.608000000007</v>
      </c>
      <c r="G14" s="160">
        <f>'2024 Sales Summary'!H33</f>
        <v>66806.711999999985</v>
      </c>
      <c r="H14" s="160">
        <f>'2024 Sales Summary'!I33</f>
        <v>67737.815999999992</v>
      </c>
      <c r="I14" s="160">
        <f>'2024 Sales Summary'!J33</f>
        <v>68668.92</v>
      </c>
      <c r="J14" s="160">
        <f>'2024 Sales Summary'!K33</f>
        <v>68203.368000000017</v>
      </c>
      <c r="K14" s="160">
        <f>'2024 Sales Summary'!L33</f>
        <v>68785.30799999999</v>
      </c>
      <c r="L14" s="160">
        <f>'2024 Sales Summary'!M33</f>
        <v>70763.90400000001</v>
      </c>
      <c r="M14" s="160">
        <f>'2024 Sales Summary'!N33</f>
        <v>69949.187999999995</v>
      </c>
      <c r="N14" s="160">
        <f>'2024 Sales Summary'!O33</f>
        <v>72626.112000000008</v>
      </c>
      <c r="O14" s="160">
        <f>'2024 Sales Summary'!P33</f>
        <v>72917.081999999995</v>
      </c>
      <c r="P14" s="160">
        <f>'2024 Sales Summary'!Q33</f>
        <v>71113.067999999999</v>
      </c>
      <c r="Q14" s="160">
        <f>'2024 Sales Summary'!R33</f>
        <v>71404.038</v>
      </c>
      <c r="R14" s="160">
        <f>'IS 2025'!F14</f>
        <v>71695.007999999973</v>
      </c>
      <c r="S14" s="160">
        <f>'IS 2025'!G14</f>
        <v>72626.112000000008</v>
      </c>
      <c r="T14" s="160">
        <f>'IS 2025'!H14</f>
        <v>67834.306285714265</v>
      </c>
      <c r="U14" s="13"/>
    </row>
    <row r="15" spans="1:42" x14ac:dyDescent="0.3">
      <c r="A15" s="13"/>
      <c r="B15" s="13"/>
      <c r="C15" s="145" t="s">
        <v>294</v>
      </c>
      <c r="D15" s="13"/>
      <c r="E15" s="13"/>
      <c r="F15" s="160">
        <f>'2024 Sales Summary'!G36</f>
        <v>220413.98400000008</v>
      </c>
      <c r="G15" s="160">
        <f>'2024 Sales Summary'!H36</f>
        <v>223529.37599999999</v>
      </c>
      <c r="H15" s="160">
        <f>'2024 Sales Summary'!I36</f>
        <v>226644.76800000004</v>
      </c>
      <c r="I15" s="160">
        <f>'2024 Sales Summary'!J36</f>
        <v>229760.16000000003</v>
      </c>
      <c r="J15" s="160">
        <f>'2024 Sales Summary'!K36</f>
        <v>228202.46400000004</v>
      </c>
      <c r="K15" s="160">
        <f>'2024 Sales Summary'!L36</f>
        <v>230149.58400000003</v>
      </c>
      <c r="L15" s="160">
        <f>'2024 Sales Summary'!M36</f>
        <v>236769.79200000004</v>
      </c>
      <c r="M15" s="160">
        <f>'2024 Sales Summary'!N36</f>
        <v>234043.82400000002</v>
      </c>
      <c r="N15" s="160">
        <f>'2024 Sales Summary'!O36</f>
        <v>243000.57600000003</v>
      </c>
      <c r="O15" s="160">
        <f>'2024 Sales Summary'!P36</f>
        <v>243974.136</v>
      </c>
      <c r="P15" s="160">
        <f>'2024 Sales Summary'!Q36</f>
        <v>237938.06400000001</v>
      </c>
      <c r="Q15" s="160">
        <f>'2024 Sales Summary'!R36</f>
        <v>238911.62400000007</v>
      </c>
      <c r="R15" s="160">
        <f>'IS 2025'!F15</f>
        <v>239885.18399999995</v>
      </c>
      <c r="S15" s="160">
        <f>'IS 2025'!G15</f>
        <v>243000.57600000003</v>
      </c>
      <c r="T15" s="160">
        <f>'IS 2025'!H15</f>
        <v>226967.61599999998</v>
      </c>
      <c r="U15" s="13"/>
    </row>
    <row r="16" spans="1:42" x14ac:dyDescent="0.3">
      <c r="A16" s="13"/>
      <c r="B16" s="13"/>
      <c r="C16" s="145" t="s">
        <v>293</v>
      </c>
      <c r="D16" s="13"/>
      <c r="E16" s="13"/>
      <c r="F16" s="160">
        <f>'2024 Sales Summary'!G39</f>
        <v>467343.9360000001</v>
      </c>
      <c r="G16" s="160">
        <f>'2024 Sales Summary'!H39</f>
        <v>473949.50399999996</v>
      </c>
      <c r="H16" s="160">
        <f>'2024 Sales Summary'!I39</f>
        <v>480555.07199999999</v>
      </c>
      <c r="I16" s="160">
        <f>'2024 Sales Summary'!J39</f>
        <v>487160.63999999996</v>
      </c>
      <c r="J16" s="160">
        <f>'2024 Sales Summary'!K39</f>
        <v>483857.85600000009</v>
      </c>
      <c r="K16" s="160">
        <f>'2024 Sales Summary'!L39</f>
        <v>487986.33599999989</v>
      </c>
      <c r="L16" s="160">
        <f>'2024 Sales Summary'!M39</f>
        <v>502023.16800000006</v>
      </c>
      <c r="M16" s="160">
        <f>'2024 Sales Summary'!N39</f>
        <v>496243.29599999991</v>
      </c>
      <c r="N16" s="160">
        <f>'2024 Sales Summary'!O39</f>
        <v>515234.30400000006</v>
      </c>
      <c r="O16" s="160">
        <f>'2024 Sales Summary'!P39</f>
        <v>517298.54399999999</v>
      </c>
      <c r="P16" s="160">
        <f>'2024 Sales Summary'!Q39</f>
        <v>504500.25599999999</v>
      </c>
      <c r="Q16" s="160">
        <f>'2024 Sales Summary'!R39</f>
        <v>506564.49600000004</v>
      </c>
      <c r="R16" s="160">
        <f>'IS 2025'!F16</f>
        <v>508628.73599999986</v>
      </c>
      <c r="S16" s="160">
        <f>'IS 2025'!G16</f>
        <v>515234.30400000006</v>
      </c>
      <c r="T16" s="160">
        <f>'IS 2025'!H16</f>
        <v>481239.60685714276</v>
      </c>
      <c r="U16" s="13"/>
    </row>
    <row r="17" spans="1:21" x14ac:dyDescent="0.3">
      <c r="A17" s="152"/>
      <c r="B17" s="152"/>
      <c r="C17" s="155" t="s">
        <v>125</v>
      </c>
      <c r="D17" s="152"/>
      <c r="E17" s="152"/>
      <c r="F17" s="153">
        <f t="shared" ref="F17:H17" si="0">SUM(F12:F16)</f>
        <v>794028.94800000021</v>
      </c>
      <c r="G17" s="153">
        <f t="shared" si="0"/>
        <v>805251.97199999995</v>
      </c>
      <c r="H17" s="153">
        <f t="shared" si="0"/>
        <v>816474.99600000004</v>
      </c>
      <c r="I17" s="153">
        <f>SUM(I12:I16)</f>
        <v>827698.02</v>
      </c>
      <c r="J17" s="153">
        <f t="shared" ref="J17:T17" si="1">SUM(J12:J16)</f>
        <v>822086.50800000015</v>
      </c>
      <c r="K17" s="153">
        <f t="shared" si="1"/>
        <v>829100.89799999993</v>
      </c>
      <c r="L17" s="153">
        <f t="shared" si="1"/>
        <v>852949.82400000014</v>
      </c>
      <c r="M17" s="153">
        <f t="shared" si="1"/>
        <v>843129.67799999984</v>
      </c>
      <c r="N17" s="153">
        <f t="shared" si="1"/>
        <v>875395.87200000009</v>
      </c>
      <c r="O17" s="153">
        <f t="shared" si="1"/>
        <v>878903.06700000004</v>
      </c>
      <c r="P17" s="153">
        <f t="shared" si="1"/>
        <v>857158.4580000001</v>
      </c>
      <c r="Q17" s="153">
        <f t="shared" si="1"/>
        <v>860665.65300000017</v>
      </c>
      <c r="R17" s="153">
        <f t="shared" si="1"/>
        <v>864172.84799999977</v>
      </c>
      <c r="S17" s="153">
        <f t="shared" si="1"/>
        <v>875395.87200000009</v>
      </c>
      <c r="T17" s="153">
        <f t="shared" si="1"/>
        <v>817638.03771428554</v>
      </c>
      <c r="U17" s="164">
        <f>SUM(F17:Q17)</f>
        <v>10062843.894000001</v>
      </c>
    </row>
    <row r="18" spans="1:21" x14ac:dyDescent="0.3">
      <c r="A18" s="154"/>
      <c r="B18" s="154"/>
      <c r="C18" s="162" t="s">
        <v>126</v>
      </c>
      <c r="D18" s="154"/>
      <c r="E18" s="154"/>
      <c r="F18" s="163">
        <f t="shared" ref="F18:H18" si="2">SUM(F19:F24)</f>
        <v>-32544</v>
      </c>
      <c r="G18" s="163">
        <f t="shared" si="2"/>
        <v>-32544</v>
      </c>
      <c r="H18" s="163">
        <f t="shared" si="2"/>
        <v>-32544</v>
      </c>
      <c r="I18" s="163">
        <f t="shared" ref="I18:T18" si="3">SUM(I19:I24)</f>
        <v>-32544</v>
      </c>
      <c r="J18" s="163">
        <f t="shared" si="3"/>
        <v>-32544</v>
      </c>
      <c r="K18" s="163">
        <f t="shared" si="3"/>
        <v>-32544</v>
      </c>
      <c r="L18" s="163">
        <f t="shared" si="3"/>
        <v>-32544</v>
      </c>
      <c r="M18" s="163">
        <f t="shared" si="3"/>
        <v>-32544</v>
      </c>
      <c r="N18" s="163">
        <f t="shared" si="3"/>
        <v>-32544</v>
      </c>
      <c r="O18" s="163">
        <f t="shared" si="3"/>
        <v>-32544</v>
      </c>
      <c r="P18" s="163">
        <f t="shared" si="3"/>
        <v>-32544</v>
      </c>
      <c r="Q18" s="163">
        <f t="shared" si="3"/>
        <v>-32544</v>
      </c>
      <c r="R18" s="163">
        <f t="shared" si="3"/>
        <v>-32544</v>
      </c>
      <c r="S18" s="163">
        <f t="shared" si="3"/>
        <v>-32544</v>
      </c>
      <c r="T18" s="163">
        <f t="shared" si="3"/>
        <v>-32544</v>
      </c>
      <c r="U18" s="158">
        <f>SUM(F18:Q18)</f>
        <v>-390528</v>
      </c>
    </row>
    <row r="19" spans="1:21" x14ac:dyDescent="0.3">
      <c r="A19" s="13"/>
      <c r="B19" s="13"/>
      <c r="C19" s="145" t="s">
        <v>216</v>
      </c>
      <c r="D19" s="13"/>
      <c r="E19" s="13"/>
      <c r="F19" s="142">
        <v>-31654</v>
      </c>
      <c r="G19" s="142">
        <v>-31654</v>
      </c>
      <c r="H19" s="142">
        <v>-31654</v>
      </c>
      <c r="I19" s="142">
        <v>-31654</v>
      </c>
      <c r="J19" s="142">
        <v>-31654</v>
      </c>
      <c r="K19" s="142">
        <v>-31654</v>
      </c>
      <c r="L19" s="142">
        <v>-31654</v>
      </c>
      <c r="M19" s="142">
        <v>-31654</v>
      </c>
      <c r="N19" s="142">
        <v>-31654</v>
      </c>
      <c r="O19" s="142">
        <v>-31654</v>
      </c>
      <c r="P19" s="142">
        <v>-31654</v>
      </c>
      <c r="Q19" s="142">
        <v>-31654</v>
      </c>
      <c r="R19" s="142">
        <v>-31654</v>
      </c>
      <c r="S19" s="142">
        <v>-31654</v>
      </c>
      <c r="T19" s="142">
        <v>-31654</v>
      </c>
      <c r="U19" s="160">
        <f t="shared" ref="U19:U22" si="4">SUM(F19:Q19)</f>
        <v>-379848</v>
      </c>
    </row>
    <row r="20" spans="1:21" x14ac:dyDescent="0.3">
      <c r="A20" s="13"/>
      <c r="B20" s="13"/>
      <c r="C20" s="145" t="s">
        <v>217</v>
      </c>
      <c r="D20" s="13"/>
      <c r="E20" s="13"/>
      <c r="F20" s="143">
        <v>-700</v>
      </c>
      <c r="G20" s="143">
        <v>-700</v>
      </c>
      <c r="H20" s="143">
        <v>-700</v>
      </c>
      <c r="I20" s="143">
        <v>-700</v>
      </c>
      <c r="J20" s="143">
        <v>-700</v>
      </c>
      <c r="K20" s="143">
        <v>-700</v>
      </c>
      <c r="L20" s="143">
        <v>-700</v>
      </c>
      <c r="M20" s="143">
        <v>-700</v>
      </c>
      <c r="N20" s="143">
        <v>-700</v>
      </c>
      <c r="O20" s="143">
        <v>-700</v>
      </c>
      <c r="P20" s="143">
        <v>-700</v>
      </c>
      <c r="Q20" s="143">
        <v>-700</v>
      </c>
      <c r="R20" s="143">
        <v>-700</v>
      </c>
      <c r="S20" s="143">
        <v>-700</v>
      </c>
      <c r="T20" s="143">
        <v>-700</v>
      </c>
      <c r="U20" s="160">
        <f t="shared" si="4"/>
        <v>-8400</v>
      </c>
    </row>
    <row r="21" spans="1:21" x14ac:dyDescent="0.3">
      <c r="A21" s="13"/>
      <c r="B21" s="13"/>
      <c r="C21" s="145" t="s">
        <v>218</v>
      </c>
      <c r="D21" s="13"/>
      <c r="E21" s="13"/>
      <c r="F21" s="143">
        <v>-125</v>
      </c>
      <c r="G21" s="143">
        <v>-125</v>
      </c>
      <c r="H21" s="143">
        <v>-125</v>
      </c>
      <c r="I21" s="143">
        <v>-125</v>
      </c>
      <c r="J21" s="143">
        <v>-125</v>
      </c>
      <c r="K21" s="143">
        <v>-125</v>
      </c>
      <c r="L21" s="143">
        <v>-125</v>
      </c>
      <c r="M21" s="143">
        <v>-125</v>
      </c>
      <c r="N21" s="143">
        <v>-125</v>
      </c>
      <c r="O21" s="143">
        <v>-125</v>
      </c>
      <c r="P21" s="143">
        <v>-125</v>
      </c>
      <c r="Q21" s="143">
        <v>-125</v>
      </c>
      <c r="R21" s="143">
        <v>-125</v>
      </c>
      <c r="S21" s="143">
        <v>-125</v>
      </c>
      <c r="T21" s="143">
        <v>-125</v>
      </c>
      <c r="U21" s="160">
        <f t="shared" si="4"/>
        <v>-1500</v>
      </c>
    </row>
    <row r="22" spans="1:21" x14ac:dyDescent="0.3">
      <c r="A22" s="13"/>
      <c r="B22" s="13"/>
      <c r="C22" s="145" t="s">
        <v>219</v>
      </c>
      <c r="D22" s="13"/>
      <c r="E22" s="13"/>
      <c r="F22" s="143">
        <v>-65</v>
      </c>
      <c r="G22" s="143">
        <v>-65</v>
      </c>
      <c r="H22" s="143">
        <v>-65</v>
      </c>
      <c r="I22" s="143">
        <v>-65</v>
      </c>
      <c r="J22" s="143">
        <v>-65</v>
      </c>
      <c r="K22" s="143">
        <v>-65</v>
      </c>
      <c r="L22" s="143">
        <v>-65</v>
      </c>
      <c r="M22" s="143">
        <v>-65</v>
      </c>
      <c r="N22" s="143">
        <v>-65</v>
      </c>
      <c r="O22" s="143">
        <v>-65</v>
      </c>
      <c r="P22" s="143">
        <v>-65</v>
      </c>
      <c r="Q22" s="143">
        <v>-65</v>
      </c>
      <c r="R22" s="143">
        <v>-65</v>
      </c>
      <c r="S22" s="143">
        <v>-65</v>
      </c>
      <c r="T22" s="143">
        <v>-65</v>
      </c>
      <c r="U22" s="160">
        <f t="shared" si="4"/>
        <v>-780</v>
      </c>
    </row>
    <row r="23" spans="1:21" x14ac:dyDescent="0.3">
      <c r="A23" s="13"/>
      <c r="B23" s="13"/>
      <c r="C23" s="145" t="s">
        <v>220</v>
      </c>
      <c r="D23" s="13"/>
      <c r="E23" s="1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0"/>
    </row>
    <row r="24" spans="1:21" x14ac:dyDescent="0.3">
      <c r="A24" s="13"/>
      <c r="B24" s="13"/>
      <c r="C24" s="145" t="s">
        <v>221</v>
      </c>
      <c r="D24" s="13"/>
      <c r="E24" s="1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0"/>
    </row>
    <row r="25" spans="1:21" x14ac:dyDescent="0.3">
      <c r="A25" s="13"/>
      <c r="B25" s="13"/>
      <c r="C25" s="145" t="s">
        <v>222</v>
      </c>
      <c r="D25" s="13"/>
      <c r="E25" s="1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0"/>
    </row>
    <row r="26" spans="1:21" x14ac:dyDescent="0.3">
      <c r="A26" s="13"/>
      <c r="B26" s="13"/>
      <c r="C26" s="143"/>
      <c r="D26" s="13"/>
      <c r="E26" s="1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0"/>
    </row>
    <row r="27" spans="1:21" x14ac:dyDescent="0.3">
      <c r="A27" s="165"/>
      <c r="B27" s="165"/>
      <c r="C27" s="166" t="s">
        <v>4</v>
      </c>
      <c r="D27" s="165"/>
      <c r="E27" s="165"/>
      <c r="F27" s="167">
        <f>SUM(F17+F18)</f>
        <v>761484.94800000021</v>
      </c>
      <c r="G27" s="167">
        <f t="shared" ref="G27:T27" si="5">SUM(G17+G18)</f>
        <v>772707.97199999995</v>
      </c>
      <c r="H27" s="167">
        <f t="shared" si="5"/>
        <v>783930.99600000004</v>
      </c>
      <c r="I27" s="167">
        <f t="shared" si="5"/>
        <v>795154.02</v>
      </c>
      <c r="J27" s="167">
        <f t="shared" si="5"/>
        <v>789542.50800000015</v>
      </c>
      <c r="K27" s="167">
        <f t="shared" si="5"/>
        <v>796556.89799999993</v>
      </c>
      <c r="L27" s="167">
        <f t="shared" si="5"/>
        <v>820405.82400000014</v>
      </c>
      <c r="M27" s="167">
        <f t="shared" si="5"/>
        <v>810585.67799999984</v>
      </c>
      <c r="N27" s="167">
        <f t="shared" si="5"/>
        <v>842851.87200000009</v>
      </c>
      <c r="O27" s="167">
        <f t="shared" si="5"/>
        <v>846359.06700000004</v>
      </c>
      <c r="P27" s="167">
        <f t="shared" si="5"/>
        <v>824614.4580000001</v>
      </c>
      <c r="Q27" s="167">
        <f t="shared" si="5"/>
        <v>828121.65300000017</v>
      </c>
      <c r="R27" s="167">
        <f t="shared" si="5"/>
        <v>831628.84799999977</v>
      </c>
      <c r="S27" s="167">
        <f t="shared" si="5"/>
        <v>842851.87200000009</v>
      </c>
      <c r="T27" s="167">
        <f t="shared" si="5"/>
        <v>785094.03771428554</v>
      </c>
      <c r="U27" s="308">
        <f t="shared" ref="U27:U66" si="6">SUM(F27:Q27)</f>
        <v>9672315.8940000013</v>
      </c>
    </row>
    <row r="28" spans="1:21" x14ac:dyDescent="0.3">
      <c r="A28" s="13"/>
      <c r="B28" s="13"/>
      <c r="C28" s="143"/>
      <c r="D28" s="13"/>
      <c r="E28" s="1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0"/>
    </row>
    <row r="29" spans="1:21" x14ac:dyDescent="0.3">
      <c r="A29" s="13"/>
      <c r="B29" s="13"/>
      <c r="C29" s="144" t="s">
        <v>6</v>
      </c>
      <c r="D29" s="13"/>
      <c r="E29" s="1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0"/>
    </row>
    <row r="30" spans="1:21" x14ac:dyDescent="0.3">
      <c r="A30" s="13"/>
      <c r="B30" s="13"/>
      <c r="C30" s="145" t="s">
        <v>127</v>
      </c>
      <c r="D30" s="13"/>
      <c r="E30" s="13"/>
      <c r="F30" s="160">
        <v>-3493</v>
      </c>
      <c r="G30" s="160">
        <v>-3493</v>
      </c>
      <c r="H30" s="160">
        <v>-3493</v>
      </c>
      <c r="I30" s="160">
        <v>-3493</v>
      </c>
      <c r="J30" s="160">
        <v>-3493</v>
      </c>
      <c r="K30" s="160">
        <v>-3493</v>
      </c>
      <c r="L30" s="160">
        <v>-3493</v>
      </c>
      <c r="M30" s="160">
        <v>-3493</v>
      </c>
      <c r="N30" s="160">
        <v>-3493</v>
      </c>
      <c r="O30" s="160">
        <v>-3493</v>
      </c>
      <c r="P30" s="160">
        <v>-3493</v>
      </c>
      <c r="Q30" s="160">
        <v>-3493</v>
      </c>
      <c r="R30" s="160">
        <v>-3493</v>
      </c>
      <c r="S30" s="160">
        <v>-3493</v>
      </c>
      <c r="T30" s="160">
        <v>-3493</v>
      </c>
      <c r="U30" s="160">
        <f t="shared" si="6"/>
        <v>-41916</v>
      </c>
    </row>
    <row r="31" spans="1:21" x14ac:dyDescent="0.3">
      <c r="A31" s="13"/>
      <c r="B31" s="13"/>
      <c r="C31" s="145" t="s">
        <v>128</v>
      </c>
      <c r="D31" s="13"/>
      <c r="E31" s="13"/>
      <c r="F31" s="160">
        <v>-13493</v>
      </c>
      <c r="G31" s="160">
        <v>-13493</v>
      </c>
      <c r="H31" s="160">
        <v>-13493</v>
      </c>
      <c r="I31" s="160">
        <v>-13493</v>
      </c>
      <c r="J31" s="160">
        <v>-13493</v>
      </c>
      <c r="K31" s="160">
        <v>-13493</v>
      </c>
      <c r="L31" s="160">
        <v>-13493</v>
      </c>
      <c r="M31" s="160">
        <v>-13493</v>
      </c>
      <c r="N31" s="160">
        <v>-13493</v>
      </c>
      <c r="O31" s="160">
        <v>-13493</v>
      </c>
      <c r="P31" s="160">
        <v>-13493</v>
      </c>
      <c r="Q31" s="160">
        <v>-13493</v>
      </c>
      <c r="R31" s="381">
        <v>-3400</v>
      </c>
      <c r="S31" s="381">
        <v>-3400</v>
      </c>
      <c r="T31" s="381">
        <v>-3400</v>
      </c>
      <c r="U31" s="160">
        <f t="shared" si="6"/>
        <v>-161916</v>
      </c>
    </row>
    <row r="32" spans="1:21" x14ac:dyDescent="0.3">
      <c r="A32" s="13"/>
      <c r="B32" s="13"/>
      <c r="C32" s="145" t="s">
        <v>129</v>
      </c>
      <c r="D32" s="13"/>
      <c r="E32" s="13"/>
      <c r="F32" s="160">
        <v>-493</v>
      </c>
      <c r="G32" s="160">
        <v>-493</v>
      </c>
      <c r="H32" s="160">
        <v>-493</v>
      </c>
      <c r="I32" s="160">
        <v>-493</v>
      </c>
      <c r="J32" s="160">
        <v>-493</v>
      </c>
      <c r="K32" s="160">
        <v>-493</v>
      </c>
      <c r="L32" s="160">
        <v>-493</v>
      </c>
      <c r="M32" s="160">
        <v>-493</v>
      </c>
      <c r="N32" s="160">
        <v>-493</v>
      </c>
      <c r="O32" s="160">
        <v>-493</v>
      </c>
      <c r="P32" s="160">
        <v>-493</v>
      </c>
      <c r="Q32" s="160">
        <v>-493</v>
      </c>
      <c r="R32" s="307" t="s">
        <v>154</v>
      </c>
      <c r="S32" s="307" t="s">
        <v>154</v>
      </c>
      <c r="T32" s="307" t="s">
        <v>154</v>
      </c>
      <c r="U32" s="160">
        <f t="shared" si="6"/>
        <v>-5916</v>
      </c>
    </row>
    <row r="33" spans="1:21" x14ac:dyDescent="0.3">
      <c r="A33" s="13"/>
      <c r="B33" s="13"/>
      <c r="C33" s="145" t="s">
        <v>130</v>
      </c>
      <c r="D33" s="13"/>
      <c r="E33" s="13"/>
      <c r="F33" s="381">
        <v>-11234</v>
      </c>
      <c r="G33" s="381">
        <v>-11234</v>
      </c>
      <c r="H33" s="381">
        <v>-11234</v>
      </c>
      <c r="I33" s="381">
        <v>-11234</v>
      </c>
      <c r="J33" s="381">
        <v>-11234</v>
      </c>
      <c r="K33" s="381">
        <v>-11234</v>
      </c>
      <c r="L33" s="381">
        <v>-11234</v>
      </c>
      <c r="M33" s="381">
        <v>-11234</v>
      </c>
      <c r="N33" s="381">
        <v>-11234</v>
      </c>
      <c r="O33" s="381">
        <v>-11234</v>
      </c>
      <c r="P33" s="381">
        <v>-11234</v>
      </c>
      <c r="Q33" s="307" t="s">
        <v>154</v>
      </c>
      <c r="R33" s="307" t="s">
        <v>154</v>
      </c>
      <c r="S33" s="307" t="s">
        <v>154</v>
      </c>
      <c r="T33" s="307" t="s">
        <v>154</v>
      </c>
      <c r="U33" s="160">
        <f t="shared" si="6"/>
        <v>-123574</v>
      </c>
    </row>
    <row r="34" spans="1:21" x14ac:dyDescent="0.3">
      <c r="A34" s="13"/>
      <c r="B34" s="13"/>
      <c r="C34" s="145" t="s">
        <v>131</v>
      </c>
      <c r="D34" s="13"/>
      <c r="E34" s="13"/>
      <c r="F34" s="161" t="s">
        <v>154</v>
      </c>
      <c r="G34" s="161" t="s">
        <v>154</v>
      </c>
      <c r="H34" s="161" t="s">
        <v>154</v>
      </c>
      <c r="I34" s="161" t="s">
        <v>154</v>
      </c>
      <c r="J34" s="161" t="s">
        <v>154</v>
      </c>
      <c r="K34" s="161" t="s">
        <v>154</v>
      </c>
      <c r="L34" s="161" t="s">
        <v>154</v>
      </c>
      <c r="M34" s="161" t="s">
        <v>154</v>
      </c>
      <c r="N34" s="161" t="s">
        <v>154</v>
      </c>
      <c r="O34" s="161" t="s">
        <v>154</v>
      </c>
      <c r="P34" s="161" t="s">
        <v>154</v>
      </c>
      <c r="Q34" s="161" t="s">
        <v>154</v>
      </c>
      <c r="R34" s="161" t="s">
        <v>154</v>
      </c>
      <c r="S34" s="161" t="s">
        <v>154</v>
      </c>
      <c r="T34" s="161" t="s">
        <v>154</v>
      </c>
      <c r="U34" s="140"/>
    </row>
    <row r="35" spans="1:21" x14ac:dyDescent="0.3">
      <c r="A35" s="13"/>
      <c r="B35" s="13"/>
      <c r="C35" s="145" t="s">
        <v>132</v>
      </c>
      <c r="D35" s="13"/>
      <c r="E35" s="13"/>
      <c r="F35" s="307" t="s">
        <v>154</v>
      </c>
      <c r="G35" s="307" t="s">
        <v>154</v>
      </c>
      <c r="H35" s="307" t="s">
        <v>154</v>
      </c>
      <c r="I35" s="307" t="s">
        <v>154</v>
      </c>
      <c r="J35" s="307" t="s">
        <v>154</v>
      </c>
      <c r="K35" s="307" t="s">
        <v>154</v>
      </c>
      <c r="L35" s="307" t="s">
        <v>154</v>
      </c>
      <c r="M35" s="307" t="s">
        <v>154</v>
      </c>
      <c r="N35" s="307" t="s">
        <v>154</v>
      </c>
      <c r="O35" s="307" t="s">
        <v>154</v>
      </c>
      <c r="P35" s="307" t="s">
        <v>154</v>
      </c>
      <c r="Q35" s="307" t="s">
        <v>154</v>
      </c>
      <c r="R35" s="307" t="s">
        <v>154</v>
      </c>
      <c r="S35" s="307" t="s">
        <v>154</v>
      </c>
      <c r="T35" s="307" t="s">
        <v>154</v>
      </c>
      <c r="U35" s="140"/>
    </row>
    <row r="36" spans="1:21" x14ac:dyDescent="0.3">
      <c r="A36" s="13"/>
      <c r="B36" s="13"/>
      <c r="C36" s="145" t="s">
        <v>133</v>
      </c>
      <c r="D36" s="13"/>
      <c r="E36" s="13"/>
      <c r="F36" s="307" t="s">
        <v>154</v>
      </c>
      <c r="G36" s="307" t="s">
        <v>154</v>
      </c>
      <c r="H36" s="307" t="s">
        <v>154</v>
      </c>
      <c r="I36" s="307" t="s">
        <v>154</v>
      </c>
      <c r="J36" s="307" t="s">
        <v>154</v>
      </c>
      <c r="K36" s="307" t="s">
        <v>154</v>
      </c>
      <c r="L36" s="307" t="s">
        <v>154</v>
      </c>
      <c r="M36" s="307" t="s">
        <v>154</v>
      </c>
      <c r="N36" s="307" t="s">
        <v>154</v>
      </c>
      <c r="O36" s="307" t="s">
        <v>154</v>
      </c>
      <c r="P36" s="307" t="s">
        <v>154</v>
      </c>
      <c r="Q36" s="307" t="s">
        <v>154</v>
      </c>
      <c r="R36" s="307" t="s">
        <v>154</v>
      </c>
      <c r="S36" s="307" t="s">
        <v>154</v>
      </c>
      <c r="T36" s="307" t="s">
        <v>154</v>
      </c>
      <c r="U36" s="140"/>
    </row>
    <row r="37" spans="1:21" x14ac:dyDescent="0.3">
      <c r="A37" s="13"/>
      <c r="B37" s="13"/>
      <c r="C37" s="145" t="s">
        <v>134</v>
      </c>
      <c r="D37" s="13"/>
      <c r="E37" s="13"/>
      <c r="F37" s="307" t="s">
        <v>154</v>
      </c>
      <c r="G37" s="307" t="s">
        <v>154</v>
      </c>
      <c r="H37" s="307" t="s">
        <v>154</v>
      </c>
      <c r="I37" s="307" t="s">
        <v>154</v>
      </c>
      <c r="J37" s="307" t="s">
        <v>154</v>
      </c>
      <c r="K37" s="307" t="s">
        <v>154</v>
      </c>
      <c r="L37" s="307" t="s">
        <v>154</v>
      </c>
      <c r="M37" s="307" t="s">
        <v>154</v>
      </c>
      <c r="N37" s="307" t="s">
        <v>154</v>
      </c>
      <c r="O37" s="307" t="s">
        <v>154</v>
      </c>
      <c r="P37" s="307" t="s">
        <v>154</v>
      </c>
      <c r="Q37" s="307" t="s">
        <v>154</v>
      </c>
      <c r="R37" s="307" t="s">
        <v>154</v>
      </c>
      <c r="S37" s="307" t="s">
        <v>154</v>
      </c>
      <c r="T37" s="307" t="s">
        <v>154</v>
      </c>
      <c r="U37" s="140"/>
    </row>
    <row r="38" spans="1:21" x14ac:dyDescent="0.3">
      <c r="A38" s="13"/>
      <c r="B38" s="13"/>
      <c r="C38" s="145"/>
      <c r="D38" s="13"/>
      <c r="E38" s="13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40"/>
    </row>
    <row r="39" spans="1:21" x14ac:dyDescent="0.3">
      <c r="A39" s="156"/>
      <c r="B39" s="156"/>
      <c r="C39" s="183" t="s">
        <v>135</v>
      </c>
      <c r="D39" s="156"/>
      <c r="E39" s="156"/>
      <c r="F39" s="164">
        <f>SUM(F30:F37)</f>
        <v>-28713</v>
      </c>
      <c r="G39" s="164">
        <f t="shared" ref="G39:T39" si="7">SUM(G30:G37)</f>
        <v>-28713</v>
      </c>
      <c r="H39" s="164">
        <f t="shared" si="7"/>
        <v>-28713</v>
      </c>
      <c r="I39" s="164">
        <f t="shared" si="7"/>
        <v>-28713</v>
      </c>
      <c r="J39" s="164">
        <f t="shared" si="7"/>
        <v>-28713</v>
      </c>
      <c r="K39" s="164">
        <f t="shared" si="7"/>
        <v>-28713</v>
      </c>
      <c r="L39" s="164">
        <f t="shared" si="7"/>
        <v>-28713</v>
      </c>
      <c r="M39" s="164">
        <f t="shared" si="7"/>
        <v>-28713</v>
      </c>
      <c r="N39" s="164">
        <f t="shared" si="7"/>
        <v>-28713</v>
      </c>
      <c r="O39" s="164">
        <f t="shared" si="7"/>
        <v>-28713</v>
      </c>
      <c r="P39" s="164">
        <f t="shared" si="7"/>
        <v>-28713</v>
      </c>
      <c r="Q39" s="164">
        <f t="shared" si="7"/>
        <v>-17479</v>
      </c>
      <c r="R39" s="164">
        <f t="shared" si="7"/>
        <v>-6893</v>
      </c>
      <c r="S39" s="164">
        <f t="shared" si="7"/>
        <v>-6893</v>
      </c>
      <c r="T39" s="164">
        <f t="shared" si="7"/>
        <v>-6893</v>
      </c>
      <c r="U39" s="164">
        <f t="shared" si="6"/>
        <v>-333322</v>
      </c>
    </row>
    <row r="40" spans="1:21" x14ac:dyDescent="0.3">
      <c r="A40" s="157"/>
      <c r="B40" s="157"/>
      <c r="C40" s="194" t="s">
        <v>136</v>
      </c>
      <c r="D40" s="157"/>
      <c r="E40" s="157"/>
      <c r="F40" s="158">
        <v>-45063</v>
      </c>
      <c r="G40" s="158">
        <v>-45063</v>
      </c>
      <c r="H40" s="158">
        <v>-45063</v>
      </c>
      <c r="I40" s="158">
        <v>-45063</v>
      </c>
      <c r="J40" s="158">
        <v>-45063</v>
      </c>
      <c r="K40" s="158">
        <v>-45063</v>
      </c>
      <c r="L40" s="158">
        <v>-45063</v>
      </c>
      <c r="M40" s="158">
        <v>-45063</v>
      </c>
      <c r="N40" s="158">
        <v>-45063</v>
      </c>
      <c r="O40" s="158">
        <v>-45063</v>
      </c>
      <c r="P40" s="158">
        <v>-45063</v>
      </c>
      <c r="Q40" s="158">
        <v>-45063</v>
      </c>
      <c r="R40" s="158">
        <v>-45063</v>
      </c>
      <c r="S40" s="158">
        <v>-45063</v>
      </c>
      <c r="T40" s="158">
        <v>-45063</v>
      </c>
      <c r="U40" s="158">
        <f t="shared" si="6"/>
        <v>-540756</v>
      </c>
    </row>
    <row r="41" spans="1:21" x14ac:dyDescent="0.3">
      <c r="A41" s="13"/>
      <c r="B41" s="13"/>
      <c r="C41" s="143"/>
      <c r="D41" s="13"/>
      <c r="E41" s="1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0"/>
    </row>
    <row r="42" spans="1:21" x14ac:dyDescent="0.3">
      <c r="A42" s="13"/>
      <c r="B42" s="13"/>
      <c r="C42" s="144" t="s">
        <v>31</v>
      </c>
      <c r="D42" s="13"/>
      <c r="E42" s="1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0"/>
    </row>
    <row r="43" spans="1:21" x14ac:dyDescent="0.3">
      <c r="A43" s="13"/>
      <c r="B43" s="13"/>
      <c r="C43" s="143" t="s">
        <v>81</v>
      </c>
      <c r="D43" s="13"/>
      <c r="E43" s="13"/>
      <c r="F43" s="160">
        <v>-1750</v>
      </c>
      <c r="G43" s="160">
        <v>-1750</v>
      </c>
      <c r="H43" s="160">
        <v>-1750</v>
      </c>
      <c r="I43" s="160">
        <v>-1750</v>
      </c>
      <c r="J43" s="160">
        <v>-1750</v>
      </c>
      <c r="K43" s="160">
        <v>-1750</v>
      </c>
      <c r="L43" s="160">
        <v>-1750</v>
      </c>
      <c r="M43" s="160">
        <v>-1750</v>
      </c>
      <c r="N43" s="160">
        <v>-1750</v>
      </c>
      <c r="O43" s="160">
        <v>-1750</v>
      </c>
      <c r="P43" s="160">
        <v>-1750</v>
      </c>
      <c r="Q43" s="160">
        <v>-1750</v>
      </c>
      <c r="R43" s="160">
        <v>-1750</v>
      </c>
      <c r="S43" s="160">
        <v>-1750</v>
      </c>
      <c r="T43" s="160">
        <v>-1750</v>
      </c>
      <c r="U43" s="160">
        <f t="shared" si="6"/>
        <v>-21000</v>
      </c>
    </row>
    <row r="44" spans="1:21" x14ac:dyDescent="0.3">
      <c r="A44" s="13"/>
      <c r="B44" s="13"/>
      <c r="C44" s="143" t="s">
        <v>137</v>
      </c>
      <c r="D44" s="13"/>
      <c r="E44" s="13"/>
      <c r="F44" s="160">
        <v>-2550</v>
      </c>
      <c r="G44" s="160">
        <v>-2550</v>
      </c>
      <c r="H44" s="160">
        <v>-2550</v>
      </c>
      <c r="I44" s="160">
        <v>-2550</v>
      </c>
      <c r="J44" s="160">
        <v>-2550</v>
      </c>
      <c r="K44" s="160">
        <v>-2550</v>
      </c>
      <c r="L44" s="160">
        <v>-2550</v>
      </c>
      <c r="M44" s="160">
        <v>-2550</v>
      </c>
      <c r="N44" s="160">
        <v>-2550</v>
      </c>
      <c r="O44" s="160">
        <v>-2550</v>
      </c>
      <c r="P44" s="160">
        <v>-2550</v>
      </c>
      <c r="Q44" s="160">
        <v>-2550</v>
      </c>
      <c r="R44" s="160">
        <v>-2550</v>
      </c>
      <c r="S44" s="160">
        <v>-2550</v>
      </c>
      <c r="T44" s="160">
        <v>-2550</v>
      </c>
      <c r="U44" s="160">
        <f t="shared" si="6"/>
        <v>-30600</v>
      </c>
    </row>
    <row r="45" spans="1:21" x14ac:dyDescent="0.3">
      <c r="A45" s="13"/>
      <c r="B45" s="13"/>
      <c r="C45" s="143" t="s">
        <v>246</v>
      </c>
      <c r="D45" s="13"/>
      <c r="E45" s="13"/>
      <c r="F45" s="160">
        <v>-700</v>
      </c>
      <c r="G45" s="160">
        <v>-700</v>
      </c>
      <c r="H45" s="160">
        <v>-700</v>
      </c>
      <c r="I45" s="160">
        <v>-700</v>
      </c>
      <c r="J45" s="160">
        <v>-700</v>
      </c>
      <c r="K45" s="160">
        <v>-700</v>
      </c>
      <c r="L45" s="160">
        <v>-700</v>
      </c>
      <c r="M45" s="160">
        <v>-700</v>
      </c>
      <c r="N45" s="160">
        <v>-700</v>
      </c>
      <c r="O45" s="160">
        <v>-700</v>
      </c>
      <c r="P45" s="160">
        <v>-700</v>
      </c>
      <c r="Q45" s="160">
        <v>-700</v>
      </c>
      <c r="R45" s="160">
        <v>-700</v>
      </c>
      <c r="S45" s="160">
        <v>-700</v>
      </c>
      <c r="T45" s="160">
        <v>-700</v>
      </c>
      <c r="U45" s="160">
        <f t="shared" si="6"/>
        <v>-8400</v>
      </c>
    </row>
    <row r="46" spans="1:21" x14ac:dyDescent="0.3">
      <c r="A46" s="13"/>
      <c r="B46" s="13"/>
      <c r="C46" s="143" t="s">
        <v>247</v>
      </c>
      <c r="D46" s="13"/>
      <c r="E46" s="13"/>
      <c r="F46" s="160">
        <v>-1350</v>
      </c>
      <c r="G46" s="160">
        <v>-1350</v>
      </c>
      <c r="H46" s="160">
        <v>-1350</v>
      </c>
      <c r="I46" s="160">
        <v>-1350</v>
      </c>
      <c r="J46" s="160">
        <v>-1350</v>
      </c>
      <c r="K46" s="160">
        <v>-1350</v>
      </c>
      <c r="L46" s="160">
        <v>-1350</v>
      </c>
      <c r="M46" s="160">
        <v>-1350</v>
      </c>
      <c r="N46" s="160">
        <v>-1350</v>
      </c>
      <c r="O46" s="160">
        <v>-1350</v>
      </c>
      <c r="P46" s="160">
        <v>-1350</v>
      </c>
      <c r="Q46" s="160">
        <v>-1350</v>
      </c>
      <c r="R46" s="160">
        <v>-1350</v>
      </c>
      <c r="S46" s="160">
        <v>-1350</v>
      </c>
      <c r="T46" s="160">
        <v>-1350</v>
      </c>
      <c r="U46" s="160">
        <f t="shared" si="6"/>
        <v>-16200</v>
      </c>
    </row>
    <row r="47" spans="1:21" x14ac:dyDescent="0.3">
      <c r="A47" s="13"/>
      <c r="B47" s="13"/>
      <c r="C47" s="143" t="s">
        <v>241</v>
      </c>
      <c r="D47" s="13"/>
      <c r="E47" s="13"/>
      <c r="F47" s="160">
        <v>-1900</v>
      </c>
      <c r="G47" s="160">
        <v>-1900</v>
      </c>
      <c r="H47" s="160">
        <v>-1900</v>
      </c>
      <c r="I47" s="160">
        <v>-1900</v>
      </c>
      <c r="J47" s="160">
        <v>-1900</v>
      </c>
      <c r="K47" s="160">
        <v>-1900</v>
      </c>
      <c r="L47" s="160">
        <v>-1900</v>
      </c>
      <c r="M47" s="160">
        <v>-1900</v>
      </c>
      <c r="N47" s="160">
        <v>-1900</v>
      </c>
      <c r="O47" s="160">
        <v>-1900</v>
      </c>
      <c r="P47" s="160">
        <v>-1900</v>
      </c>
      <c r="Q47" s="160">
        <v>-1900</v>
      </c>
      <c r="R47" s="160">
        <v>-1900</v>
      </c>
      <c r="S47" s="160">
        <v>-1900</v>
      </c>
      <c r="T47" s="160">
        <v>-1900</v>
      </c>
      <c r="U47" s="160">
        <f t="shared" si="6"/>
        <v>-22800</v>
      </c>
    </row>
    <row r="48" spans="1:21" x14ac:dyDescent="0.3">
      <c r="A48" s="13"/>
      <c r="B48" s="13"/>
      <c r="C48" s="143" t="s">
        <v>138</v>
      </c>
      <c r="D48" s="13"/>
      <c r="E48" s="13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60"/>
    </row>
    <row r="49" spans="1:21" x14ac:dyDescent="0.3">
      <c r="A49" s="13"/>
      <c r="B49" s="13"/>
      <c r="C49" s="145" t="s">
        <v>139</v>
      </c>
      <c r="D49" s="13"/>
      <c r="E49" s="1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0"/>
    </row>
    <row r="50" spans="1:21" x14ac:dyDescent="0.3">
      <c r="A50" s="13"/>
      <c r="B50" s="13"/>
      <c r="C50" s="145" t="s">
        <v>140</v>
      </c>
      <c r="D50" s="13"/>
      <c r="E50" s="1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0"/>
    </row>
    <row r="51" spans="1:21" x14ac:dyDescent="0.3">
      <c r="A51" s="13"/>
      <c r="B51" s="13"/>
      <c r="C51" s="145" t="s">
        <v>141</v>
      </c>
      <c r="D51" s="13"/>
      <c r="E51" s="1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0"/>
    </row>
    <row r="52" spans="1:21" x14ac:dyDescent="0.3">
      <c r="A52" s="13"/>
      <c r="B52" s="13"/>
      <c r="C52" s="145" t="s">
        <v>142</v>
      </c>
      <c r="D52" s="13"/>
      <c r="E52" s="1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0"/>
    </row>
    <row r="53" spans="1:21" x14ac:dyDescent="0.3">
      <c r="A53" s="13"/>
      <c r="B53" s="13"/>
      <c r="C53" s="145" t="s">
        <v>143</v>
      </c>
      <c r="D53" s="13"/>
      <c r="E53" s="1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0"/>
    </row>
    <row r="54" spans="1:21" x14ac:dyDescent="0.3">
      <c r="A54" s="13"/>
      <c r="B54" s="13"/>
      <c r="C54" s="145" t="s">
        <v>144</v>
      </c>
      <c r="D54" s="13"/>
      <c r="E54" s="1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0"/>
    </row>
    <row r="55" spans="1:21" x14ac:dyDescent="0.3">
      <c r="A55" s="13"/>
      <c r="B55" s="13"/>
      <c r="C55" s="145" t="s">
        <v>145</v>
      </c>
      <c r="D55" s="13"/>
      <c r="E55" s="1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0"/>
    </row>
    <row r="56" spans="1:21" x14ac:dyDescent="0.3">
      <c r="A56" s="13"/>
      <c r="B56" s="13"/>
      <c r="C56" s="145" t="s">
        <v>146</v>
      </c>
      <c r="D56" s="13"/>
      <c r="E56" s="1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0"/>
    </row>
    <row r="57" spans="1:21" x14ac:dyDescent="0.3">
      <c r="A57" s="13"/>
      <c r="B57" s="13"/>
      <c r="C57" s="145" t="s">
        <v>147</v>
      </c>
      <c r="D57" s="13"/>
      <c r="E57" s="1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0"/>
    </row>
    <row r="58" spans="1:21" x14ac:dyDescent="0.3">
      <c r="A58" s="13"/>
      <c r="B58" s="13"/>
      <c r="C58" s="145"/>
      <c r="D58" s="13"/>
      <c r="E58" s="1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0"/>
    </row>
    <row r="59" spans="1:21" s="119" customFormat="1" ht="14.4" customHeight="1" x14ac:dyDescent="0.3">
      <c r="A59" s="170"/>
      <c r="B59" s="170"/>
      <c r="C59" s="171" t="s">
        <v>148</v>
      </c>
      <c r="D59" s="170"/>
      <c r="E59" s="170"/>
      <c r="F59" s="172">
        <f>SUM(F43:F57)</f>
        <v>-8250</v>
      </c>
      <c r="G59" s="172">
        <f>SUM(G43:G57)</f>
        <v>-8250</v>
      </c>
      <c r="H59" s="172">
        <f t="shared" ref="H59:T59" si="8">SUM(H43:H57)</f>
        <v>-8250</v>
      </c>
      <c r="I59" s="172">
        <f t="shared" si="8"/>
        <v>-8250</v>
      </c>
      <c r="J59" s="172">
        <f t="shared" si="8"/>
        <v>-8250</v>
      </c>
      <c r="K59" s="172">
        <f t="shared" si="8"/>
        <v>-8250</v>
      </c>
      <c r="L59" s="172">
        <f t="shared" si="8"/>
        <v>-8250</v>
      </c>
      <c r="M59" s="172">
        <f t="shared" si="8"/>
        <v>-8250</v>
      </c>
      <c r="N59" s="172">
        <f t="shared" si="8"/>
        <v>-8250</v>
      </c>
      <c r="O59" s="172">
        <f t="shared" si="8"/>
        <v>-8250</v>
      </c>
      <c r="P59" s="172">
        <f t="shared" si="8"/>
        <v>-8250</v>
      </c>
      <c r="Q59" s="172">
        <f t="shared" si="8"/>
        <v>-8250</v>
      </c>
      <c r="R59" s="172">
        <f t="shared" si="8"/>
        <v>-8250</v>
      </c>
      <c r="S59" s="172">
        <f t="shared" si="8"/>
        <v>-8250</v>
      </c>
      <c r="T59" s="172">
        <f t="shared" si="8"/>
        <v>-8250</v>
      </c>
      <c r="U59" s="164">
        <f t="shared" si="6"/>
        <v>-99000</v>
      </c>
    </row>
    <row r="60" spans="1:21" s="119" customFormat="1" ht="14.4" customHeight="1" x14ac:dyDescent="0.3">
      <c r="A60" s="173"/>
      <c r="B60" s="173"/>
      <c r="C60" s="174" t="s">
        <v>10</v>
      </c>
      <c r="D60" s="173"/>
      <c r="E60" s="173"/>
      <c r="F60" s="175">
        <f>F17+F18+F39+F59</f>
        <v>724521.94800000021</v>
      </c>
      <c r="G60" s="175">
        <f t="shared" ref="G60:T60" si="9">G17+G18+G39+G59</f>
        <v>735744.97199999995</v>
      </c>
      <c r="H60" s="175">
        <f t="shared" si="9"/>
        <v>746967.99600000004</v>
      </c>
      <c r="I60" s="175">
        <f t="shared" si="9"/>
        <v>758191.02</v>
      </c>
      <c r="J60" s="175">
        <f t="shared" si="9"/>
        <v>752579.50800000015</v>
      </c>
      <c r="K60" s="175">
        <f t="shared" si="9"/>
        <v>759593.89799999993</v>
      </c>
      <c r="L60" s="175">
        <f t="shared" si="9"/>
        <v>783442.82400000014</v>
      </c>
      <c r="M60" s="175">
        <f t="shared" si="9"/>
        <v>773622.67799999984</v>
      </c>
      <c r="N60" s="175">
        <f t="shared" si="9"/>
        <v>805888.87200000009</v>
      </c>
      <c r="O60" s="175">
        <f t="shared" si="9"/>
        <v>809396.06700000004</v>
      </c>
      <c r="P60" s="175">
        <f t="shared" si="9"/>
        <v>787651.4580000001</v>
      </c>
      <c r="Q60" s="175">
        <f t="shared" si="9"/>
        <v>802392.65300000017</v>
      </c>
      <c r="R60" s="175">
        <f t="shared" si="9"/>
        <v>816485.84799999977</v>
      </c>
      <c r="S60" s="175">
        <f t="shared" si="9"/>
        <v>827708.87200000009</v>
      </c>
      <c r="T60" s="175">
        <f t="shared" si="9"/>
        <v>769951.03771428554</v>
      </c>
      <c r="U60" s="158">
        <f t="shared" si="6"/>
        <v>9239993.8940000013</v>
      </c>
    </row>
    <row r="61" spans="1:21" s="119" customFormat="1" ht="14.4" customHeight="1" x14ac:dyDescent="0.3">
      <c r="A61" s="117"/>
      <c r="B61" s="117"/>
      <c r="C61" s="146" t="s">
        <v>149</v>
      </c>
      <c r="D61" s="117"/>
      <c r="E61" s="117"/>
      <c r="F61" s="148">
        <v>-1450</v>
      </c>
      <c r="G61" s="148">
        <v>-1450</v>
      </c>
      <c r="H61" s="148">
        <v>-1450</v>
      </c>
      <c r="I61" s="148">
        <v>-1450</v>
      </c>
      <c r="J61" s="148">
        <v>-1450</v>
      </c>
      <c r="K61" s="148">
        <v>-1450</v>
      </c>
      <c r="L61" s="148">
        <v>-1450</v>
      </c>
      <c r="M61" s="148">
        <v>-1450</v>
      </c>
      <c r="N61" s="148">
        <v>-1450</v>
      </c>
      <c r="O61" s="148">
        <v>-1450</v>
      </c>
      <c r="P61" s="148">
        <v>-1450</v>
      </c>
      <c r="Q61" s="148">
        <v>-1850</v>
      </c>
      <c r="R61" s="148">
        <v>-1850</v>
      </c>
      <c r="S61" s="148">
        <v>-1850</v>
      </c>
      <c r="T61" s="148">
        <v>-1850</v>
      </c>
      <c r="U61" s="160">
        <f t="shared" si="6"/>
        <v>-17800</v>
      </c>
    </row>
    <row r="62" spans="1:21" s="119" customFormat="1" ht="25.05" customHeight="1" x14ac:dyDescent="0.3">
      <c r="A62" s="117"/>
      <c r="B62" s="117"/>
      <c r="C62" s="146" t="s">
        <v>12</v>
      </c>
      <c r="D62" s="117"/>
      <c r="E62" s="117"/>
      <c r="F62" s="147">
        <f>F60+F61</f>
        <v>723071.94800000021</v>
      </c>
      <c r="G62" s="147">
        <f t="shared" ref="G62:T62" si="10">G60+G61</f>
        <v>734294.97199999995</v>
      </c>
      <c r="H62" s="147">
        <f t="shared" si="10"/>
        <v>745517.99600000004</v>
      </c>
      <c r="I62" s="147">
        <f t="shared" si="10"/>
        <v>756741.02</v>
      </c>
      <c r="J62" s="147">
        <f t="shared" si="10"/>
        <v>751129.50800000015</v>
      </c>
      <c r="K62" s="147">
        <f t="shared" si="10"/>
        <v>758143.89799999993</v>
      </c>
      <c r="L62" s="147">
        <f t="shared" si="10"/>
        <v>781992.82400000014</v>
      </c>
      <c r="M62" s="147">
        <f t="shared" si="10"/>
        <v>772172.67799999984</v>
      </c>
      <c r="N62" s="147">
        <f t="shared" si="10"/>
        <v>804438.87200000009</v>
      </c>
      <c r="O62" s="147">
        <f t="shared" si="10"/>
        <v>807946.06700000004</v>
      </c>
      <c r="P62" s="147">
        <f t="shared" si="10"/>
        <v>786201.4580000001</v>
      </c>
      <c r="Q62" s="147">
        <f t="shared" si="10"/>
        <v>800542.65300000017</v>
      </c>
      <c r="R62" s="147">
        <f t="shared" si="10"/>
        <v>814635.84799999977</v>
      </c>
      <c r="S62" s="147">
        <f t="shared" si="10"/>
        <v>825858.87200000009</v>
      </c>
      <c r="T62" s="147">
        <f t="shared" si="10"/>
        <v>768101.03771428554</v>
      </c>
      <c r="U62" s="160">
        <f t="shared" si="6"/>
        <v>9222193.8940000013</v>
      </c>
    </row>
    <row r="63" spans="1:21" s="119" customFormat="1" ht="25.05" customHeight="1" x14ac:dyDescent="0.3">
      <c r="A63" s="117"/>
      <c r="B63" s="117"/>
      <c r="C63" s="149" t="s">
        <v>150</v>
      </c>
      <c r="D63" s="150"/>
      <c r="E63" s="117"/>
      <c r="F63" s="147">
        <f>('BS 2024'!F27*0.2)</f>
        <v>-49636.800000000003</v>
      </c>
      <c r="G63" s="147">
        <f>('BS 2024'!G27*0.2)</f>
        <v>-46273.200000000004</v>
      </c>
      <c r="H63" s="147">
        <f>('BS 2024'!H27*0.2)</f>
        <v>-42909.600000000006</v>
      </c>
      <c r="I63" s="147">
        <f>('BS 2024'!I27*0.2)</f>
        <v>-39546</v>
      </c>
      <c r="J63" s="147">
        <f>('BS 2024'!J27*0.2)</f>
        <v>-36182.400000000001</v>
      </c>
      <c r="K63" s="147">
        <f>('BS 2024'!K27*0.2)</f>
        <v>-32818.800000000003</v>
      </c>
      <c r="L63" s="147">
        <f>('BS 2024'!L27*0.2)</f>
        <v>-29455.200000000001</v>
      </c>
      <c r="M63" s="147">
        <f>('BS 2024'!M27*0.2)</f>
        <v>-26091.600000000002</v>
      </c>
      <c r="N63" s="147">
        <f>('BS 2024'!N27*0.2)</f>
        <v>-22728</v>
      </c>
      <c r="O63" s="147">
        <f>('BS 2024'!O27*0.2)</f>
        <v>-19364.400000000001</v>
      </c>
      <c r="P63" s="147">
        <f>('BS 2024'!P27*0.2)</f>
        <v>-16000.800000000001</v>
      </c>
      <c r="Q63" s="147">
        <f>('BS 2024'!Q27*0.2)</f>
        <v>-12637.2</v>
      </c>
      <c r="R63" s="147">
        <f>('BS 2024'!R27*0.2)</f>
        <v>0</v>
      </c>
      <c r="S63" s="147">
        <f>('BS 2024'!S27*0.2)</f>
        <v>0</v>
      </c>
      <c r="T63" s="147"/>
      <c r="U63" s="160">
        <f t="shared" si="6"/>
        <v>-373644</v>
      </c>
    </row>
    <row r="64" spans="1:21" s="119" customFormat="1" ht="25.05" customHeight="1" x14ac:dyDescent="0.3">
      <c r="A64" s="117"/>
      <c r="B64" s="117"/>
      <c r="C64" s="146" t="s">
        <v>14</v>
      </c>
      <c r="D64" s="117"/>
      <c r="E64" s="117"/>
      <c r="F64" s="147">
        <f>F60</f>
        <v>724521.94800000021</v>
      </c>
      <c r="G64" s="147">
        <f t="shared" ref="G64:T64" si="11">G60</f>
        <v>735744.97199999995</v>
      </c>
      <c r="H64" s="147">
        <f t="shared" si="11"/>
        <v>746967.99600000004</v>
      </c>
      <c r="I64" s="147">
        <f t="shared" si="11"/>
        <v>758191.02</v>
      </c>
      <c r="J64" s="147">
        <f t="shared" si="11"/>
        <v>752579.50800000015</v>
      </c>
      <c r="K64" s="147">
        <f t="shared" si="11"/>
        <v>759593.89799999993</v>
      </c>
      <c r="L64" s="147">
        <f t="shared" si="11"/>
        <v>783442.82400000014</v>
      </c>
      <c r="M64" s="147">
        <f t="shared" si="11"/>
        <v>773622.67799999984</v>
      </c>
      <c r="N64" s="147">
        <f t="shared" si="11"/>
        <v>805888.87200000009</v>
      </c>
      <c r="O64" s="147">
        <f t="shared" si="11"/>
        <v>809396.06700000004</v>
      </c>
      <c r="P64" s="147">
        <f t="shared" si="11"/>
        <v>787651.4580000001</v>
      </c>
      <c r="Q64" s="147">
        <f t="shared" si="11"/>
        <v>802392.65300000017</v>
      </c>
      <c r="R64" s="147">
        <f t="shared" si="11"/>
        <v>816485.84799999977</v>
      </c>
      <c r="S64" s="147">
        <f t="shared" si="11"/>
        <v>827708.87200000009</v>
      </c>
      <c r="T64" s="147">
        <f t="shared" si="11"/>
        <v>769951.03771428554</v>
      </c>
      <c r="U64" s="160">
        <f t="shared" si="6"/>
        <v>9239993.8940000013</v>
      </c>
    </row>
    <row r="65" spans="1:21" s="119" customFormat="1" ht="25.05" customHeight="1" x14ac:dyDescent="0.3">
      <c r="A65" s="117"/>
      <c r="B65" s="117"/>
      <c r="C65" s="149" t="s">
        <v>15</v>
      </c>
      <c r="D65" s="117"/>
      <c r="E65" s="117"/>
      <c r="F65" s="147">
        <f>(F64*0.2)*-1</f>
        <v>-144904.38960000005</v>
      </c>
      <c r="G65" s="147">
        <f t="shared" ref="G65:T65" si="12">(G64*0.2)*-1</f>
        <v>-147148.9944</v>
      </c>
      <c r="H65" s="147">
        <f t="shared" si="12"/>
        <v>-149393.59920000003</v>
      </c>
      <c r="I65" s="147">
        <f t="shared" si="12"/>
        <v>-151638.204</v>
      </c>
      <c r="J65" s="147">
        <f t="shared" si="12"/>
        <v>-150515.90160000004</v>
      </c>
      <c r="K65" s="147">
        <f t="shared" si="12"/>
        <v>-151918.77959999998</v>
      </c>
      <c r="L65" s="147">
        <f t="shared" si="12"/>
        <v>-156688.56480000002</v>
      </c>
      <c r="M65" s="147">
        <f t="shared" si="12"/>
        <v>-154724.53559999997</v>
      </c>
      <c r="N65" s="147">
        <f t="shared" si="12"/>
        <v>-161177.77440000002</v>
      </c>
      <c r="O65" s="147">
        <f t="shared" si="12"/>
        <v>-161879.21340000001</v>
      </c>
      <c r="P65" s="147">
        <f t="shared" si="12"/>
        <v>-157530.29160000003</v>
      </c>
      <c r="Q65" s="147">
        <f t="shared" si="12"/>
        <v>-160478.53060000006</v>
      </c>
      <c r="R65" s="147">
        <f t="shared" si="12"/>
        <v>-163297.16959999996</v>
      </c>
      <c r="S65" s="147">
        <f t="shared" si="12"/>
        <v>-165541.77440000002</v>
      </c>
      <c r="T65" s="147">
        <f t="shared" si="12"/>
        <v>-153990.20754285713</v>
      </c>
      <c r="U65" s="160">
        <f t="shared" si="6"/>
        <v>-1847998.7788000004</v>
      </c>
    </row>
    <row r="66" spans="1:21" s="119" customFormat="1" ht="14.4" customHeight="1" x14ac:dyDescent="0.3">
      <c r="A66" s="176"/>
      <c r="B66" s="176"/>
      <c r="C66" s="177" t="s">
        <v>16</v>
      </c>
      <c r="D66" s="176"/>
      <c r="E66" s="176"/>
      <c r="F66" s="310">
        <f>F64+F65</f>
        <v>579617.55840000021</v>
      </c>
      <c r="G66" s="310">
        <f t="shared" ref="G66:T66" si="13">G64+G65</f>
        <v>588595.97759999998</v>
      </c>
      <c r="H66" s="310">
        <f t="shared" si="13"/>
        <v>597574.39679999999</v>
      </c>
      <c r="I66" s="310">
        <f t="shared" si="13"/>
        <v>606552.81599999999</v>
      </c>
      <c r="J66" s="310">
        <f t="shared" si="13"/>
        <v>602063.60640000016</v>
      </c>
      <c r="K66" s="310">
        <f t="shared" si="13"/>
        <v>607675.11839999992</v>
      </c>
      <c r="L66" s="310">
        <f t="shared" si="13"/>
        <v>626754.25920000009</v>
      </c>
      <c r="M66" s="310">
        <f t="shared" si="13"/>
        <v>618898.1423999999</v>
      </c>
      <c r="N66" s="310">
        <f t="shared" si="13"/>
        <v>644711.0976000001</v>
      </c>
      <c r="O66" s="310">
        <f t="shared" si="13"/>
        <v>647516.85360000003</v>
      </c>
      <c r="P66" s="310">
        <f t="shared" si="13"/>
        <v>630121.1664000001</v>
      </c>
      <c r="Q66" s="310">
        <f t="shared" si="13"/>
        <v>641914.12240000011</v>
      </c>
      <c r="R66" s="310">
        <f t="shared" si="13"/>
        <v>653188.67839999986</v>
      </c>
      <c r="S66" s="310">
        <f t="shared" si="13"/>
        <v>662167.0976000001</v>
      </c>
      <c r="T66" s="310">
        <f t="shared" si="13"/>
        <v>615960.83017142839</v>
      </c>
      <c r="U66" s="311">
        <f t="shared" si="6"/>
        <v>7391995.1152000008</v>
      </c>
    </row>
    <row r="67" spans="1:21" x14ac:dyDescent="0.3">
      <c r="F67"/>
    </row>
    <row r="68" spans="1:21" x14ac:dyDescent="0.3">
      <c r="F68"/>
    </row>
    <row r="69" spans="1:21" x14ac:dyDescent="0.3">
      <c r="F69"/>
    </row>
    <row r="70" spans="1:21" x14ac:dyDescent="0.3">
      <c r="F70"/>
    </row>
    <row r="71" spans="1:21" x14ac:dyDescent="0.3">
      <c r="F71"/>
    </row>
    <row r="72" spans="1:21" x14ac:dyDescent="0.3">
      <c r="F72"/>
    </row>
    <row r="73" spans="1:21" x14ac:dyDescent="0.3">
      <c r="F73"/>
    </row>
    <row r="74" spans="1:21" x14ac:dyDescent="0.3">
      <c r="F74"/>
    </row>
    <row r="75" spans="1:21" x14ac:dyDescent="0.3">
      <c r="F75"/>
    </row>
    <row r="76" spans="1:21" x14ac:dyDescent="0.3">
      <c r="F76"/>
    </row>
    <row r="77" spans="1:21" x14ac:dyDescent="0.3">
      <c r="F77"/>
    </row>
    <row r="78" spans="1:21" x14ac:dyDescent="0.3">
      <c r="F78"/>
    </row>
    <row r="79" spans="1:21" x14ac:dyDescent="0.3">
      <c r="F79"/>
    </row>
    <row r="80" spans="1:21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</sheetData>
  <phoneticPr fontId="7" type="noConversion"/>
  <pageMargins left="0.7" right="0.7" top="0.75" bottom="0.75" header="0.3" footer="0.3"/>
  <ignoredErrors>
    <ignoredError sqref="U1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105BE-4402-4643-B0BD-9FE38298D4FD}">
  <sheetPr codeName="Sheet28"/>
  <dimension ref="A2:W61"/>
  <sheetViews>
    <sheetView showGridLines="0" topLeftCell="A35" workbookViewId="0">
      <selection activeCell="G53" sqref="G53:U53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5" max="15" width="9.6640625" customWidth="1"/>
    <col min="17" max="17" width="9.88671875" bestFit="1" customWidth="1"/>
    <col min="18" max="18" width="9.88671875" customWidth="1"/>
    <col min="19" max="19" width="9.5546875" customWidth="1"/>
    <col min="22" max="22" width="10.6640625" bestFit="1" customWidth="1"/>
    <col min="23" max="23" width="10.21875" bestFit="1" customWidth="1"/>
  </cols>
  <sheetData>
    <row r="2" spans="1:22" ht="18" x14ac:dyDescent="0.35">
      <c r="A2" s="139" t="s">
        <v>157</v>
      </c>
      <c r="C2" s="138"/>
      <c r="D2" s="13"/>
    </row>
    <row r="3" spans="1:22" x14ac:dyDescent="0.3">
      <c r="A3" s="137" t="s">
        <v>158</v>
      </c>
      <c r="C3" s="23"/>
    </row>
    <row r="4" spans="1:22" x14ac:dyDescent="0.3">
      <c r="A4" s="137"/>
      <c r="C4" s="23"/>
    </row>
    <row r="6" spans="1:22" x14ac:dyDescent="0.3">
      <c r="B6" s="23" t="s">
        <v>207</v>
      </c>
    </row>
    <row r="7" spans="1:22" x14ac:dyDescent="0.3">
      <c r="A7" s="151"/>
      <c r="B7" s="183" t="s">
        <v>71</v>
      </c>
      <c r="C7" s="156"/>
      <c r="D7" s="156"/>
      <c r="E7" s="156"/>
      <c r="F7" s="156"/>
      <c r="G7" s="184">
        <v>45292</v>
      </c>
      <c r="H7" s="184">
        <v>45323</v>
      </c>
      <c r="I7" s="184">
        <v>45352</v>
      </c>
      <c r="J7" s="184">
        <v>45383</v>
      </c>
      <c r="K7" s="184">
        <v>45413</v>
      </c>
      <c r="L7" s="184">
        <v>45444</v>
      </c>
      <c r="M7" s="184">
        <v>45474</v>
      </c>
      <c r="N7" s="184">
        <v>45505</v>
      </c>
      <c r="O7" s="184">
        <v>45536</v>
      </c>
      <c r="P7" s="184">
        <v>45566</v>
      </c>
      <c r="Q7" s="184">
        <v>45597</v>
      </c>
      <c r="R7" s="184">
        <v>45627</v>
      </c>
      <c r="S7" s="184">
        <v>45658</v>
      </c>
      <c r="T7" s="184">
        <v>45689</v>
      </c>
      <c r="U7" s="184">
        <v>45717</v>
      </c>
      <c r="V7" s="185" t="s">
        <v>80</v>
      </c>
    </row>
    <row r="9" spans="1:22" x14ac:dyDescent="0.3">
      <c r="B9" s="23" t="s">
        <v>183</v>
      </c>
    </row>
    <row r="10" spans="1:22" x14ac:dyDescent="0.3">
      <c r="A10" s="156"/>
      <c r="B10" s="183" t="s">
        <v>160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</row>
    <row r="11" spans="1:22" x14ac:dyDescent="0.3">
      <c r="B11" s="360" t="s">
        <v>44</v>
      </c>
      <c r="C11" s="358"/>
      <c r="D11" s="358"/>
      <c r="E11" s="358"/>
      <c r="F11" s="358"/>
      <c r="G11" s="356">
        <f t="shared" ref="G11:J11" si="0">SUM(G12:G18)</f>
        <v>794028.94800000021</v>
      </c>
      <c r="H11" s="356">
        <f t="shared" si="0"/>
        <v>805251.97199999995</v>
      </c>
      <c r="I11" s="356">
        <f t="shared" si="0"/>
        <v>816474.99600000004</v>
      </c>
      <c r="J11" s="356">
        <f t="shared" si="0"/>
        <v>827698.02</v>
      </c>
      <c r="K11" s="356">
        <f t="shared" ref="K11:R11" si="1">SUM(K12:K18)</f>
        <v>822086.50800000015</v>
      </c>
      <c r="L11" s="356">
        <f t="shared" si="1"/>
        <v>829100.89799999993</v>
      </c>
      <c r="M11" s="356">
        <f t="shared" si="1"/>
        <v>852949.82400000014</v>
      </c>
      <c r="N11" s="356">
        <f t="shared" si="1"/>
        <v>843129.67799999984</v>
      </c>
      <c r="O11" s="356">
        <f t="shared" si="1"/>
        <v>875395.87200000009</v>
      </c>
      <c r="P11" s="356">
        <f t="shared" si="1"/>
        <v>878903.06700000004</v>
      </c>
      <c r="Q11" s="356">
        <f t="shared" si="1"/>
        <v>857158.4580000001</v>
      </c>
      <c r="R11" s="356">
        <f t="shared" si="1"/>
        <v>860665.65300000017</v>
      </c>
      <c r="S11" s="225">
        <f>'CF 2025'!G11</f>
        <v>864172.84799999977</v>
      </c>
      <c r="T11" s="225">
        <f>'CF 2025'!H11</f>
        <v>875395.87200000009</v>
      </c>
      <c r="U11" s="225">
        <f>'CF 2025'!I11</f>
        <v>817638.03771428554</v>
      </c>
      <c r="V11" s="225">
        <f>SUM(G11:R11)</f>
        <v>10062843.894000001</v>
      </c>
    </row>
    <row r="12" spans="1:22" x14ac:dyDescent="0.3">
      <c r="B12" s="361" t="s">
        <v>290</v>
      </c>
      <c r="C12" s="358"/>
      <c r="D12" s="358"/>
      <c r="E12" s="358"/>
      <c r="F12" s="358"/>
      <c r="G12" s="356">
        <f>'IS 2024'!F12</f>
        <v>16779.636000000002</v>
      </c>
      <c r="H12" s="356">
        <f>'IS 2024'!G12</f>
        <v>17016.803999999996</v>
      </c>
      <c r="I12" s="356">
        <f>'IS 2024'!H12</f>
        <v>17253.971999999998</v>
      </c>
      <c r="J12" s="356">
        <f>'IS 2024'!I12</f>
        <v>17491.14</v>
      </c>
      <c r="K12" s="356">
        <f>'IS 2024'!J12</f>
        <v>17372.556000000004</v>
      </c>
      <c r="L12" s="356">
        <f>'IS 2024'!K12</f>
        <v>17520.785999999996</v>
      </c>
      <c r="M12" s="356">
        <f>'IS 2024'!L12</f>
        <v>18024.768000000004</v>
      </c>
      <c r="N12" s="356">
        <f>'IS 2024'!M12</f>
        <v>17817.245999999996</v>
      </c>
      <c r="O12" s="356">
        <f>'IS 2024'!N12</f>
        <v>18499.104000000003</v>
      </c>
      <c r="P12" s="356">
        <f>'IS 2024'!O12</f>
        <v>18573.218999999997</v>
      </c>
      <c r="Q12" s="356">
        <f>'IS 2024'!P12</f>
        <v>18113.706000000002</v>
      </c>
      <c r="R12" s="356">
        <f>'IS 2024'!Q12</f>
        <v>18187.821</v>
      </c>
      <c r="S12" s="225">
        <f>'CF 2025'!G12</f>
        <v>18261.935999999994</v>
      </c>
      <c r="T12" s="225">
        <f>'CF 2025'!H12</f>
        <v>18499.104000000003</v>
      </c>
      <c r="U12" s="225">
        <f>'CF 2025'!I12</f>
        <v>17278.549714285709</v>
      </c>
      <c r="V12" s="358"/>
    </row>
    <row r="13" spans="1:22" x14ac:dyDescent="0.3">
      <c r="B13" s="361" t="s">
        <v>291</v>
      </c>
      <c r="C13" s="358"/>
      <c r="D13" s="358"/>
      <c r="E13" s="358"/>
      <c r="F13" s="358"/>
      <c r="G13" s="356">
        <f>'IS 2024'!F13</f>
        <v>23615.784000000003</v>
      </c>
      <c r="H13" s="356">
        <f>'IS 2024'!G13</f>
        <v>23949.575999999997</v>
      </c>
      <c r="I13" s="356">
        <f>'IS 2024'!H13</f>
        <v>24283.367999999999</v>
      </c>
      <c r="J13" s="356">
        <f>'IS 2024'!I13</f>
        <v>24617.16</v>
      </c>
      <c r="K13" s="356">
        <f>'IS 2024'!J13</f>
        <v>24450.264000000003</v>
      </c>
      <c r="L13" s="356">
        <f>'IS 2024'!K13</f>
        <v>24658.883999999995</v>
      </c>
      <c r="M13" s="356">
        <f>'IS 2024'!L13</f>
        <v>25368.192000000003</v>
      </c>
      <c r="N13" s="356">
        <f>'IS 2024'!M13</f>
        <v>25076.123999999996</v>
      </c>
      <c r="O13" s="356">
        <f>'IS 2024'!N13</f>
        <v>26035.776000000002</v>
      </c>
      <c r="P13" s="356">
        <f>'IS 2024'!O13</f>
        <v>26140.085999999999</v>
      </c>
      <c r="Q13" s="356">
        <f>'IS 2024'!P13</f>
        <v>25493.364000000001</v>
      </c>
      <c r="R13" s="356">
        <f>'IS 2024'!Q13</f>
        <v>25597.674000000003</v>
      </c>
      <c r="S13" s="225">
        <f>'CF 2025'!G13</f>
        <v>25701.983999999993</v>
      </c>
      <c r="T13" s="225">
        <f>'CF 2025'!H13</f>
        <v>26035.776000000002</v>
      </c>
      <c r="U13" s="225">
        <f>'CF 2025'!I13</f>
        <v>24317.95885714285</v>
      </c>
      <c r="V13" s="358"/>
    </row>
    <row r="14" spans="1:22" x14ac:dyDescent="0.3">
      <c r="B14" s="361" t="s">
        <v>292</v>
      </c>
      <c r="C14" s="358"/>
      <c r="D14" s="358"/>
      <c r="E14" s="358"/>
      <c r="F14" s="358"/>
      <c r="G14" s="356">
        <f>'IS 2024'!F14</f>
        <v>65875.608000000007</v>
      </c>
      <c r="H14" s="356">
        <f>'IS 2024'!G14</f>
        <v>66806.711999999985</v>
      </c>
      <c r="I14" s="356">
        <f>'IS 2024'!H14</f>
        <v>67737.815999999992</v>
      </c>
      <c r="J14" s="356">
        <f>'IS 2024'!I14</f>
        <v>68668.92</v>
      </c>
      <c r="K14" s="356">
        <f>'IS 2024'!J14</f>
        <v>68203.368000000017</v>
      </c>
      <c r="L14" s="356">
        <f>'IS 2024'!K14</f>
        <v>68785.30799999999</v>
      </c>
      <c r="M14" s="356">
        <f>'IS 2024'!L14</f>
        <v>70763.90400000001</v>
      </c>
      <c r="N14" s="356">
        <f>'IS 2024'!M14</f>
        <v>69949.187999999995</v>
      </c>
      <c r="O14" s="356">
        <f>'IS 2024'!N14</f>
        <v>72626.112000000008</v>
      </c>
      <c r="P14" s="356">
        <f>'IS 2024'!O14</f>
        <v>72917.081999999995</v>
      </c>
      <c r="Q14" s="356">
        <f>'IS 2024'!P14</f>
        <v>71113.067999999999</v>
      </c>
      <c r="R14" s="356">
        <f>'IS 2024'!Q14</f>
        <v>71404.038</v>
      </c>
      <c r="S14" s="225">
        <f>'CF 2025'!G14</f>
        <v>71695.007999999973</v>
      </c>
      <c r="T14" s="225">
        <f>'CF 2025'!H14</f>
        <v>72626.112000000008</v>
      </c>
      <c r="U14" s="225">
        <f>'CF 2025'!I14</f>
        <v>67834.306285714265</v>
      </c>
      <c r="V14" s="358"/>
    </row>
    <row r="15" spans="1:22" x14ac:dyDescent="0.3">
      <c r="B15" s="361" t="s">
        <v>294</v>
      </c>
      <c r="C15" s="358"/>
      <c r="D15" s="358"/>
      <c r="E15" s="358"/>
      <c r="F15" s="358"/>
      <c r="G15" s="356">
        <f>'IS 2024'!F15</f>
        <v>220413.98400000008</v>
      </c>
      <c r="H15" s="356">
        <f>'IS 2024'!G15</f>
        <v>223529.37599999999</v>
      </c>
      <c r="I15" s="356">
        <f>'IS 2024'!H15</f>
        <v>226644.76800000004</v>
      </c>
      <c r="J15" s="356">
        <f>'IS 2024'!I15</f>
        <v>229760.16000000003</v>
      </c>
      <c r="K15" s="356">
        <f>'IS 2024'!J15</f>
        <v>228202.46400000004</v>
      </c>
      <c r="L15" s="356">
        <f>'IS 2024'!K15</f>
        <v>230149.58400000003</v>
      </c>
      <c r="M15" s="356">
        <f>'IS 2024'!L15</f>
        <v>236769.79200000004</v>
      </c>
      <c r="N15" s="356">
        <f>'IS 2024'!M15</f>
        <v>234043.82400000002</v>
      </c>
      <c r="O15" s="356">
        <f>'IS 2024'!N15</f>
        <v>243000.57600000003</v>
      </c>
      <c r="P15" s="356">
        <f>'IS 2024'!O15</f>
        <v>243974.136</v>
      </c>
      <c r="Q15" s="356">
        <f>'IS 2024'!P15</f>
        <v>237938.06400000001</v>
      </c>
      <c r="R15" s="356">
        <f>'IS 2024'!Q15</f>
        <v>238911.62400000007</v>
      </c>
      <c r="S15" s="225">
        <f>'CF 2025'!G15</f>
        <v>239885.18399999995</v>
      </c>
      <c r="T15" s="225">
        <f>'CF 2025'!H15</f>
        <v>243000.57600000003</v>
      </c>
      <c r="U15" s="225">
        <f>'CF 2025'!I15</f>
        <v>226967.61599999998</v>
      </c>
      <c r="V15" s="358"/>
    </row>
    <row r="16" spans="1:22" x14ac:dyDescent="0.3">
      <c r="B16" s="361" t="s">
        <v>293</v>
      </c>
      <c r="C16" s="358"/>
      <c r="D16" s="358"/>
      <c r="E16" s="358"/>
      <c r="F16" s="358"/>
      <c r="G16" s="356">
        <f>'IS 2024'!F16</f>
        <v>467343.9360000001</v>
      </c>
      <c r="H16" s="356">
        <f>'IS 2024'!G16</f>
        <v>473949.50399999996</v>
      </c>
      <c r="I16" s="356">
        <f>'IS 2024'!H16</f>
        <v>480555.07199999999</v>
      </c>
      <c r="J16" s="356">
        <f>'IS 2024'!I16</f>
        <v>487160.63999999996</v>
      </c>
      <c r="K16" s="356">
        <f>'IS 2024'!J16</f>
        <v>483857.85600000009</v>
      </c>
      <c r="L16" s="356">
        <f>'IS 2024'!K16</f>
        <v>487986.33599999989</v>
      </c>
      <c r="M16" s="356">
        <f>'IS 2024'!L16</f>
        <v>502023.16800000006</v>
      </c>
      <c r="N16" s="356">
        <f>'IS 2024'!M16</f>
        <v>496243.29599999991</v>
      </c>
      <c r="O16" s="356">
        <f>'IS 2024'!N16</f>
        <v>515234.30400000006</v>
      </c>
      <c r="P16" s="356">
        <f>'IS 2024'!O16</f>
        <v>517298.54399999999</v>
      </c>
      <c r="Q16" s="356">
        <f>'IS 2024'!P16</f>
        <v>504500.25599999999</v>
      </c>
      <c r="R16" s="356">
        <f>'IS 2024'!Q16</f>
        <v>506564.49600000004</v>
      </c>
      <c r="S16" s="225">
        <f>'CF 2025'!G16</f>
        <v>508628.73599999986</v>
      </c>
      <c r="T16" s="225">
        <f>'CF 2025'!H16</f>
        <v>515234.30400000006</v>
      </c>
      <c r="U16" s="225">
        <f>'CF 2025'!I16</f>
        <v>481239.60685714276</v>
      </c>
      <c r="V16" s="358"/>
    </row>
    <row r="17" spans="1:22" x14ac:dyDescent="0.3">
      <c r="B17" s="362" t="s">
        <v>132</v>
      </c>
      <c r="C17" s="358"/>
      <c r="D17" s="358"/>
      <c r="E17" s="358"/>
      <c r="F17" s="358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225"/>
      <c r="T17" s="225"/>
      <c r="U17" s="225"/>
      <c r="V17" s="358"/>
    </row>
    <row r="18" spans="1:22" x14ac:dyDescent="0.3">
      <c r="B18" s="362" t="s">
        <v>133</v>
      </c>
      <c r="C18" s="358"/>
      <c r="D18" s="358"/>
      <c r="E18" s="358"/>
      <c r="F18" s="358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56"/>
      <c r="S18" s="225"/>
      <c r="T18" s="225"/>
      <c r="U18" s="225"/>
      <c r="V18" s="358"/>
    </row>
    <row r="19" spans="1:22" x14ac:dyDescent="0.3">
      <c r="B19" s="360" t="s">
        <v>45</v>
      </c>
      <c r="C19" s="358"/>
      <c r="D19" s="358"/>
      <c r="E19" s="358"/>
      <c r="F19" s="358"/>
      <c r="G19" s="356">
        <f>'CF 2023'!S19</f>
        <v>-200</v>
      </c>
      <c r="H19" s="356">
        <f>'CF 2023'!T19</f>
        <v>-200</v>
      </c>
      <c r="I19" s="356">
        <f>'CF 2023'!U19</f>
        <v>-200</v>
      </c>
      <c r="J19" s="356">
        <v>-200</v>
      </c>
      <c r="K19" s="356">
        <v>-200</v>
      </c>
      <c r="L19" s="356">
        <v>-200</v>
      </c>
      <c r="M19" s="356">
        <v>-200</v>
      </c>
      <c r="N19" s="356">
        <v>-200</v>
      </c>
      <c r="O19" s="356">
        <v>-200</v>
      </c>
      <c r="P19" s="356">
        <v>-200</v>
      </c>
      <c r="Q19" s="356">
        <v>-200</v>
      </c>
      <c r="R19" s="356">
        <v>-200</v>
      </c>
      <c r="S19" s="356">
        <v>-200</v>
      </c>
      <c r="T19" s="356">
        <v>-200</v>
      </c>
      <c r="U19" s="356">
        <v>-200</v>
      </c>
      <c r="V19" s="225">
        <f>SUM(G19:R19)</f>
        <v>-2400</v>
      </c>
    </row>
    <row r="20" spans="1:22" x14ac:dyDescent="0.3">
      <c r="B20" s="360" t="s">
        <v>161</v>
      </c>
      <c r="C20" s="358"/>
      <c r="D20" s="358"/>
      <c r="E20" s="358"/>
      <c r="F20" s="358"/>
      <c r="G20" s="356">
        <f>'IS 2024'!F63</f>
        <v>-49636.800000000003</v>
      </c>
      <c r="H20" s="356">
        <f>'IS 2024'!G63</f>
        <v>-46273.200000000004</v>
      </c>
      <c r="I20" s="356">
        <f>'IS 2024'!H63</f>
        <v>-42909.600000000006</v>
      </c>
      <c r="J20" s="356">
        <f>'IS 2024'!I63</f>
        <v>-39546</v>
      </c>
      <c r="K20" s="356">
        <f>'IS 2024'!J63</f>
        <v>-36182.400000000001</v>
      </c>
      <c r="L20" s="356">
        <f>'IS 2024'!K63</f>
        <v>-32818.800000000003</v>
      </c>
      <c r="M20" s="356">
        <f>'IS 2024'!L63</f>
        <v>-29455.200000000001</v>
      </c>
      <c r="N20" s="356">
        <f>'IS 2024'!M63</f>
        <v>-26091.600000000002</v>
      </c>
      <c r="O20" s="356">
        <f>'IS 2024'!N63</f>
        <v>-22728</v>
      </c>
      <c r="P20" s="356">
        <f>'IS 2024'!O63</f>
        <v>-19364.400000000001</v>
      </c>
      <c r="Q20" s="356">
        <f>'IS 2024'!P63</f>
        <v>-16000.800000000001</v>
      </c>
      <c r="R20" s="356">
        <f>'IS 2024'!Q63</f>
        <v>-12637.2</v>
      </c>
      <c r="S20" s="356">
        <f>'IS 2024'!R63</f>
        <v>0</v>
      </c>
      <c r="T20" s="356">
        <f>'IS 2024'!S63</f>
        <v>0</v>
      </c>
      <c r="U20" s="356">
        <f>'IS 2024'!T63</f>
        <v>0</v>
      </c>
      <c r="V20" s="358"/>
    </row>
    <row r="21" spans="1:22" x14ac:dyDescent="0.3">
      <c r="B21" s="360" t="s">
        <v>162</v>
      </c>
      <c r="C21" s="358"/>
      <c r="D21" s="358"/>
      <c r="E21" s="358"/>
      <c r="F21" s="358"/>
      <c r="G21" s="356">
        <f>'IS 2024'!F65</f>
        <v>-144904.38960000005</v>
      </c>
      <c r="H21" s="356">
        <f>'IS 2024'!G65</f>
        <v>-147148.9944</v>
      </c>
      <c r="I21" s="356">
        <f>'IS 2024'!H65</f>
        <v>-149393.59920000003</v>
      </c>
      <c r="J21" s="356">
        <f>'IS 2024'!I65</f>
        <v>-151638.204</v>
      </c>
      <c r="K21" s="356">
        <f>'IS 2024'!J65</f>
        <v>-150515.90160000004</v>
      </c>
      <c r="L21" s="356">
        <f>'IS 2024'!K65</f>
        <v>-151918.77959999998</v>
      </c>
      <c r="M21" s="356">
        <f>'IS 2024'!L65</f>
        <v>-156688.56480000002</v>
      </c>
      <c r="N21" s="356">
        <f>'IS 2024'!M65</f>
        <v>-154724.53559999997</v>
      </c>
      <c r="O21" s="356">
        <f>'IS 2024'!N65</f>
        <v>-161177.77440000002</v>
      </c>
      <c r="P21" s="356">
        <f>'IS 2024'!O65</f>
        <v>-161879.21340000001</v>
      </c>
      <c r="Q21" s="356">
        <f>'IS 2024'!P65</f>
        <v>-157530.29160000003</v>
      </c>
      <c r="R21" s="356">
        <f>'IS 2024'!Q65</f>
        <v>-160478.53060000006</v>
      </c>
      <c r="S21" s="356">
        <f>'IS 2024'!R65</f>
        <v>-163297.16959999996</v>
      </c>
      <c r="T21" s="356">
        <f>'IS 2024'!S65</f>
        <v>-165541.77440000002</v>
      </c>
      <c r="U21" s="356">
        <f>'IS 2024'!T65</f>
        <v>-153990.20754285713</v>
      </c>
      <c r="V21" s="358"/>
    </row>
    <row r="22" spans="1:22" x14ac:dyDescent="0.3">
      <c r="A22" s="156"/>
      <c r="B22" s="186" t="s">
        <v>163</v>
      </c>
      <c r="C22" s="156"/>
      <c r="D22" s="156"/>
      <c r="E22" s="156"/>
      <c r="F22" s="156"/>
      <c r="G22" s="219">
        <f t="shared" ref="G22:J22" si="2">G11</f>
        <v>794028.94800000021</v>
      </c>
      <c r="H22" s="219">
        <f t="shared" si="2"/>
        <v>805251.97199999995</v>
      </c>
      <c r="I22" s="219">
        <f t="shared" si="2"/>
        <v>816474.99600000004</v>
      </c>
      <c r="J22" s="219">
        <f t="shared" si="2"/>
        <v>827698.02</v>
      </c>
      <c r="K22" s="219">
        <f t="shared" ref="K22:R22" si="3">K11</f>
        <v>822086.50800000015</v>
      </c>
      <c r="L22" s="219">
        <f t="shared" si="3"/>
        <v>829100.89799999993</v>
      </c>
      <c r="M22" s="219">
        <f t="shared" si="3"/>
        <v>852949.82400000014</v>
      </c>
      <c r="N22" s="219">
        <f t="shared" si="3"/>
        <v>843129.67799999984</v>
      </c>
      <c r="O22" s="219">
        <f t="shared" si="3"/>
        <v>875395.87200000009</v>
      </c>
      <c r="P22" s="219">
        <f t="shared" si="3"/>
        <v>878903.06700000004</v>
      </c>
      <c r="Q22" s="219">
        <f t="shared" si="3"/>
        <v>857158.4580000001</v>
      </c>
      <c r="R22" s="219">
        <f t="shared" si="3"/>
        <v>860665.65300000017</v>
      </c>
      <c r="S22" s="164">
        <f t="shared" ref="S22:U22" si="4">S11</f>
        <v>864172.84799999977</v>
      </c>
      <c r="T22" s="164">
        <f t="shared" si="4"/>
        <v>875395.87200000009</v>
      </c>
      <c r="U22" s="164">
        <f t="shared" si="4"/>
        <v>817638.03771428554</v>
      </c>
      <c r="V22" s="164">
        <f>SUM(G22:R22)</f>
        <v>10062843.894000001</v>
      </c>
    </row>
    <row r="23" spans="1:22" x14ac:dyDescent="0.3">
      <c r="A23" s="157"/>
      <c r="B23" s="212" t="s">
        <v>164</v>
      </c>
      <c r="C23" s="157"/>
      <c r="D23" s="157"/>
      <c r="E23" s="157"/>
      <c r="F23" s="157"/>
      <c r="G23" s="220">
        <f t="shared" ref="G23:J23" si="5">SUM(G19:G21)</f>
        <v>-194741.18960000004</v>
      </c>
      <c r="H23" s="220">
        <f t="shared" si="5"/>
        <v>-193622.19440000001</v>
      </c>
      <c r="I23" s="220">
        <f t="shared" si="5"/>
        <v>-192503.19920000003</v>
      </c>
      <c r="J23" s="220">
        <f t="shared" si="5"/>
        <v>-191384.204</v>
      </c>
      <c r="K23" s="220">
        <f t="shared" ref="K23:R23" si="6">SUM(K19:K21)</f>
        <v>-186898.30160000004</v>
      </c>
      <c r="L23" s="220">
        <f t="shared" si="6"/>
        <v>-184937.5796</v>
      </c>
      <c r="M23" s="220">
        <f t="shared" si="6"/>
        <v>-186343.76480000003</v>
      </c>
      <c r="N23" s="220">
        <f t="shared" si="6"/>
        <v>-181016.13559999998</v>
      </c>
      <c r="O23" s="220">
        <f t="shared" si="6"/>
        <v>-184105.77440000002</v>
      </c>
      <c r="P23" s="220">
        <f t="shared" si="6"/>
        <v>-181443.6134</v>
      </c>
      <c r="Q23" s="220">
        <f t="shared" si="6"/>
        <v>-173731.09160000001</v>
      </c>
      <c r="R23" s="220">
        <f t="shared" si="6"/>
        <v>-173315.73060000007</v>
      </c>
      <c r="S23" s="158">
        <f t="shared" ref="S23:U23" si="7">SUM(S19:S21)</f>
        <v>-163497.16959999996</v>
      </c>
      <c r="T23" s="158">
        <f t="shared" si="7"/>
        <v>-165741.77440000002</v>
      </c>
      <c r="U23" s="158">
        <f t="shared" si="7"/>
        <v>-154190.20754285713</v>
      </c>
      <c r="V23" s="158">
        <f>SUM(G23:R23)</f>
        <v>-2224042.7788</v>
      </c>
    </row>
    <row r="24" spans="1:22" x14ac:dyDescent="0.3">
      <c r="B24" s="159" t="s">
        <v>165</v>
      </c>
      <c r="C24" s="159"/>
      <c r="D24" s="159"/>
      <c r="E24" s="159"/>
      <c r="F24" s="159"/>
      <c r="G24" s="363">
        <f>'IS 2024'!F66+G35</f>
        <v>562799.55840000021</v>
      </c>
      <c r="H24" s="363">
        <f>'IS 2024'!G66+H35</f>
        <v>571777.97759999998</v>
      </c>
      <c r="I24" s="363">
        <f>'IS 2024'!H66+I35</f>
        <v>580756.39679999999</v>
      </c>
      <c r="J24" s="363">
        <f>'IS 2024'!I66+J35</f>
        <v>589734.81599999999</v>
      </c>
      <c r="K24" s="363">
        <f>'IS 2024'!J66+K35</f>
        <v>585245.60640000016</v>
      </c>
      <c r="L24" s="363">
        <f>'IS 2024'!K66+L35</f>
        <v>590857.11839999992</v>
      </c>
      <c r="M24" s="363">
        <f>'IS 2024'!L66+M35</f>
        <v>609936.25920000009</v>
      </c>
      <c r="N24" s="363">
        <f>'IS 2024'!M66+N35</f>
        <v>602080.1423999999</v>
      </c>
      <c r="O24" s="363">
        <f>'IS 2024'!N66+O35</f>
        <v>627893.0976000001</v>
      </c>
      <c r="P24" s="363">
        <f>'IS 2024'!O66+P35</f>
        <v>630698.85360000003</v>
      </c>
      <c r="Q24" s="363">
        <f>'IS 2024'!P66+Q35</f>
        <v>613303.1664000001</v>
      </c>
      <c r="R24" s="363">
        <f>'IS 2024'!Q66+R35</f>
        <v>625096.12240000011</v>
      </c>
      <c r="S24" s="160">
        <f>'IS 2025'!F65+S35</f>
        <v>635732.67839999986</v>
      </c>
      <c r="T24" s="160">
        <f>'IS 2025'!G65+T35</f>
        <v>644711.0976000001</v>
      </c>
      <c r="U24" s="160">
        <f>'IS 2025'!H65+U35</f>
        <v>598504.83017142839</v>
      </c>
      <c r="V24" s="160">
        <f>SUM(G24:R24)</f>
        <v>7190179.1152000008</v>
      </c>
    </row>
    <row r="25" spans="1:22" x14ac:dyDescent="0.3">
      <c r="B25" s="159" t="s">
        <v>209</v>
      </c>
      <c r="C25" s="159"/>
      <c r="D25" s="159"/>
      <c r="E25" s="159"/>
      <c r="F25" s="159"/>
      <c r="G25" s="363">
        <f>G24-'IS 2024'!F61</f>
        <v>564249.55840000021</v>
      </c>
      <c r="H25" s="363">
        <f>H24-'IS 2024'!G61</f>
        <v>573227.97759999998</v>
      </c>
      <c r="I25" s="363">
        <f>I24-'IS 2024'!H61</f>
        <v>582206.39679999999</v>
      </c>
      <c r="J25" s="363">
        <f>J24-'IS 2024'!I61</f>
        <v>591184.81599999999</v>
      </c>
      <c r="K25" s="363">
        <f>K24-'IS 2024'!J61</f>
        <v>586695.60640000016</v>
      </c>
      <c r="L25" s="363">
        <f>L24-'IS 2024'!K61</f>
        <v>592307.11839999992</v>
      </c>
      <c r="M25" s="363">
        <f>M24-'IS 2024'!L61</f>
        <v>611386.25920000009</v>
      </c>
      <c r="N25" s="363">
        <f>N24-'IS 2024'!M61</f>
        <v>603530.1423999999</v>
      </c>
      <c r="O25" s="363">
        <f>O24-'IS 2024'!N61</f>
        <v>629343.0976000001</v>
      </c>
      <c r="P25" s="363">
        <f>P24-'IS 2024'!O61</f>
        <v>632148.85360000003</v>
      </c>
      <c r="Q25" s="363">
        <f>Q24-'IS 2024'!P61</f>
        <v>614753.1664000001</v>
      </c>
      <c r="R25" s="363">
        <f>R24-'IS 2024'!Q61</f>
        <v>626946.12240000011</v>
      </c>
      <c r="S25" s="160">
        <f>S24-'IS 2025'!F60</f>
        <v>637582.67839999986</v>
      </c>
      <c r="T25" s="160">
        <f>T24-'IS 2025'!G60</f>
        <v>646561.0976000001</v>
      </c>
      <c r="U25" s="160">
        <f>U24-'IS 2025'!H60</f>
        <v>600354.83017142839</v>
      </c>
      <c r="V25" s="160"/>
    </row>
    <row r="26" spans="1:22" x14ac:dyDescent="0.3">
      <c r="B26" s="364" t="s">
        <v>166</v>
      </c>
      <c r="C26" s="159"/>
      <c r="D26" s="159"/>
      <c r="E26" s="159"/>
      <c r="F26" s="159"/>
      <c r="G26" s="363">
        <f>'CF 2023'!S26</f>
        <v>0</v>
      </c>
      <c r="H26" s="363">
        <f>'CF 2023'!T26</f>
        <v>0</v>
      </c>
      <c r="I26" s="363">
        <f>'CF 2023'!U26</f>
        <v>0</v>
      </c>
      <c r="J26" s="365"/>
      <c r="K26" s="365"/>
      <c r="L26" s="365"/>
      <c r="M26" s="365"/>
      <c r="N26" s="365"/>
      <c r="O26" s="365"/>
      <c r="P26" s="365"/>
      <c r="Q26" s="365"/>
      <c r="R26" s="365"/>
      <c r="S26" s="160">
        <f>'CF 2025'!G26</f>
        <v>0</v>
      </c>
      <c r="T26" s="160">
        <f>'CF 2025'!H26</f>
        <v>0</v>
      </c>
      <c r="U26" s="160">
        <f>'CF 2025'!I26</f>
        <v>0</v>
      </c>
      <c r="V26" s="358"/>
    </row>
    <row r="27" spans="1:22" x14ac:dyDescent="0.3">
      <c r="B27" s="366" t="s">
        <v>167</v>
      </c>
      <c r="C27" s="159"/>
      <c r="D27" s="159"/>
      <c r="E27" s="159"/>
      <c r="F27" s="159"/>
      <c r="G27" s="363">
        <f>'CF 2023'!S27</f>
        <v>0</v>
      </c>
      <c r="H27" s="363">
        <f>'CF 2023'!T27</f>
        <v>0</v>
      </c>
      <c r="I27" s="363">
        <f>'CF 2023'!U27</f>
        <v>0</v>
      </c>
      <c r="J27" s="365"/>
      <c r="K27" s="365"/>
      <c r="L27" s="365"/>
      <c r="M27" s="365"/>
      <c r="N27" s="365"/>
      <c r="O27" s="365"/>
      <c r="P27" s="365"/>
      <c r="Q27" s="365"/>
      <c r="R27" s="365"/>
      <c r="S27" s="160">
        <f>'CF 2025'!G27</f>
        <v>0</v>
      </c>
      <c r="T27" s="160">
        <f>'CF 2025'!H27</f>
        <v>0</v>
      </c>
      <c r="U27" s="160">
        <f>'CF 2025'!I27</f>
        <v>0</v>
      </c>
      <c r="V27" s="358"/>
    </row>
    <row r="28" spans="1:22" x14ac:dyDescent="0.3">
      <c r="B28" s="367" t="s">
        <v>127</v>
      </c>
      <c r="C28" s="159"/>
      <c r="D28" s="159"/>
      <c r="E28" s="159"/>
      <c r="F28" s="159"/>
      <c r="G28" s="363">
        <f>'CF 2023'!S28</f>
        <v>0</v>
      </c>
      <c r="H28" s="363">
        <f>'CF 2023'!T28</f>
        <v>0</v>
      </c>
      <c r="I28" s="363">
        <f>'CF 2023'!U28</f>
        <v>0</v>
      </c>
      <c r="J28" s="365"/>
      <c r="K28" s="365"/>
      <c r="L28" s="365"/>
      <c r="M28" s="365"/>
      <c r="N28" s="365"/>
      <c r="O28" s="365"/>
      <c r="P28" s="365"/>
      <c r="Q28" s="365"/>
      <c r="R28" s="365"/>
      <c r="S28" s="368">
        <f>'CF 2025'!G28</f>
        <v>0</v>
      </c>
      <c r="T28" s="160">
        <f>'CF 2025'!H28</f>
        <v>0</v>
      </c>
      <c r="U28" s="160">
        <f>'CF 2025'!I28</f>
        <v>0</v>
      </c>
      <c r="V28" s="358"/>
    </row>
    <row r="29" spans="1:22" x14ac:dyDescent="0.3">
      <c r="B29" s="366" t="s">
        <v>168</v>
      </c>
      <c r="C29" s="159"/>
      <c r="D29" s="159"/>
      <c r="E29" s="159"/>
      <c r="F29" s="159"/>
      <c r="G29" s="363">
        <f>'CF 2023'!S29</f>
        <v>0</v>
      </c>
      <c r="H29" s="363">
        <f>'CF 2023'!T29</f>
        <v>0</v>
      </c>
      <c r="I29" s="363">
        <f>'CF 2023'!U29</f>
        <v>0</v>
      </c>
      <c r="J29" s="363">
        <f t="shared" ref="J29" si="8">SUM(J27:J28)</f>
        <v>0</v>
      </c>
      <c r="K29" s="363">
        <f t="shared" ref="K29:R29" si="9">SUM(K27:K28)</f>
        <v>0</v>
      </c>
      <c r="L29" s="363">
        <f t="shared" si="9"/>
        <v>0</v>
      </c>
      <c r="M29" s="363">
        <f t="shared" si="9"/>
        <v>0</v>
      </c>
      <c r="N29" s="363">
        <f t="shared" si="9"/>
        <v>0</v>
      </c>
      <c r="O29" s="363">
        <f t="shared" si="9"/>
        <v>0</v>
      </c>
      <c r="P29" s="363">
        <f t="shared" si="9"/>
        <v>0</v>
      </c>
      <c r="Q29" s="363">
        <f t="shared" si="9"/>
        <v>0</v>
      </c>
      <c r="R29" s="363">
        <f t="shared" si="9"/>
        <v>0</v>
      </c>
      <c r="S29" s="160">
        <f>'CF 2025'!G29</f>
        <v>0</v>
      </c>
      <c r="T29" s="160">
        <f>'CF 2025'!H29</f>
        <v>0</v>
      </c>
      <c r="U29" s="160">
        <f>'CF 2025'!I29</f>
        <v>0</v>
      </c>
      <c r="V29" s="358"/>
    </row>
    <row r="30" spans="1:22" x14ac:dyDescent="0.3">
      <c r="B30" s="369" t="s">
        <v>169</v>
      </c>
      <c r="C30" s="159"/>
      <c r="D30" s="159"/>
      <c r="E30" s="159"/>
      <c r="F30" s="159"/>
      <c r="G30" s="363">
        <f>'CF 2023'!S30</f>
        <v>0</v>
      </c>
      <c r="H30" s="363">
        <f>'CF 2023'!T30</f>
        <v>0</v>
      </c>
      <c r="I30" s="363">
        <f>'CF 2023'!U30</f>
        <v>0</v>
      </c>
      <c r="J30" s="365"/>
      <c r="K30" s="365"/>
      <c r="L30" s="365"/>
      <c r="M30" s="365"/>
      <c r="N30" s="365"/>
      <c r="O30" s="365"/>
      <c r="P30" s="365"/>
      <c r="Q30" s="365"/>
      <c r="R30" s="365"/>
      <c r="S30" s="160">
        <f>'CF 2025'!G30</f>
        <v>0</v>
      </c>
      <c r="T30" s="160">
        <f>'CF 2025'!H30</f>
        <v>0</v>
      </c>
      <c r="U30" s="160">
        <f>'CF 2025'!I30</f>
        <v>0</v>
      </c>
      <c r="V30" s="358"/>
    </row>
    <row r="31" spans="1:22" x14ac:dyDescent="0.3">
      <c r="B31" s="360" t="s">
        <v>170</v>
      </c>
      <c r="C31" s="358"/>
      <c r="D31" s="358"/>
      <c r="E31" s="358"/>
      <c r="F31" s="358"/>
      <c r="G31" s="356">
        <f>'CF 2023'!S31</f>
        <v>0</v>
      </c>
      <c r="H31" s="356">
        <f>'CF 2023'!T31</f>
        <v>0</v>
      </c>
      <c r="I31" s="356">
        <f>'CF 2023'!U31</f>
        <v>0</v>
      </c>
      <c r="J31" s="357"/>
      <c r="K31" s="357"/>
      <c r="L31" s="357"/>
      <c r="M31" s="357"/>
      <c r="N31" s="357"/>
      <c r="O31" s="357"/>
      <c r="P31" s="357"/>
      <c r="Q31" s="357"/>
      <c r="R31" s="357"/>
      <c r="S31" s="225">
        <f>'CF 2025'!G31</f>
        <v>0</v>
      </c>
      <c r="T31" s="225">
        <f>'CF 2025'!H31</f>
        <v>0</v>
      </c>
      <c r="U31" s="225">
        <f>'CF 2025'!I31</f>
        <v>0</v>
      </c>
      <c r="V31" s="358"/>
    </row>
    <row r="32" spans="1:22" x14ac:dyDescent="0.3">
      <c r="B32" s="362" t="s">
        <v>127</v>
      </c>
      <c r="C32" s="358"/>
      <c r="D32" s="358"/>
      <c r="E32" s="358"/>
      <c r="F32" s="358"/>
      <c r="G32" s="356">
        <f>'CF 2023'!S32</f>
        <v>0</v>
      </c>
      <c r="H32" s="356">
        <f>'CF 2023'!T32</f>
        <v>0</v>
      </c>
      <c r="I32" s="356">
        <f>'CF 2023'!U32</f>
        <v>0</v>
      </c>
      <c r="J32" s="357"/>
      <c r="K32" s="357"/>
      <c r="L32" s="357"/>
      <c r="M32" s="357"/>
      <c r="N32" s="357"/>
      <c r="O32" s="357"/>
      <c r="P32" s="357"/>
      <c r="Q32" s="357"/>
      <c r="R32" s="357"/>
      <c r="S32" s="225">
        <f>'CF 2025'!G32</f>
        <v>0</v>
      </c>
      <c r="T32" s="225">
        <f>'CF 2025'!H32</f>
        <v>0</v>
      </c>
      <c r="U32" s="225">
        <f>'CF 2025'!I32</f>
        <v>0</v>
      </c>
      <c r="V32" s="358"/>
    </row>
    <row r="33" spans="1:23" x14ac:dyDescent="0.3">
      <c r="B33" s="362" t="s">
        <v>128</v>
      </c>
      <c r="C33" s="358"/>
      <c r="D33" s="358"/>
      <c r="E33" s="358"/>
      <c r="F33" s="358"/>
      <c r="G33" s="356">
        <f>'CF 2023'!S33</f>
        <v>0</v>
      </c>
      <c r="H33" s="356">
        <f>'CF 2023'!T33</f>
        <v>0</v>
      </c>
      <c r="I33" s="356">
        <f>'CF 2023'!U33</f>
        <v>0</v>
      </c>
      <c r="J33" s="357"/>
      <c r="K33" s="357"/>
      <c r="L33" s="357"/>
      <c r="M33" s="357"/>
      <c r="N33" s="357"/>
      <c r="O33" s="357"/>
      <c r="P33" s="357"/>
      <c r="Q33" s="357"/>
      <c r="R33" s="357"/>
      <c r="S33" s="225">
        <f>'CF 2025'!G33</f>
        <v>0</v>
      </c>
      <c r="T33" s="225">
        <f>'CF 2025'!H33</f>
        <v>0</v>
      </c>
      <c r="U33" s="225">
        <f>'CF 2025'!I33</f>
        <v>0</v>
      </c>
      <c r="V33" s="358"/>
    </row>
    <row r="34" spans="1:23" x14ac:dyDescent="0.3">
      <c r="B34" s="362" t="s">
        <v>129</v>
      </c>
      <c r="C34" s="358"/>
      <c r="D34" s="358"/>
      <c r="E34" s="358"/>
      <c r="F34" s="358"/>
      <c r="G34" s="356">
        <f>'CF 2023'!S34</f>
        <v>0</v>
      </c>
      <c r="H34" s="356">
        <f>'CF 2023'!T34</f>
        <v>0</v>
      </c>
      <c r="I34" s="356">
        <f>'CF 2023'!U34</f>
        <v>0</v>
      </c>
      <c r="J34" s="357"/>
      <c r="K34" s="357"/>
      <c r="L34" s="357"/>
      <c r="M34" s="357"/>
      <c r="N34" s="357"/>
      <c r="O34" s="357"/>
      <c r="P34" s="357"/>
      <c r="Q34" s="357"/>
      <c r="R34" s="357"/>
      <c r="S34" s="225">
        <f>'CF 2025'!G34</f>
        <v>0</v>
      </c>
      <c r="T34" s="225">
        <f>'CF 2025'!H34</f>
        <v>0</v>
      </c>
      <c r="U34" s="225">
        <f>'CF 2025'!I34</f>
        <v>0</v>
      </c>
      <c r="V34" s="358"/>
    </row>
    <row r="35" spans="1:23" x14ac:dyDescent="0.3">
      <c r="B35" s="360" t="s">
        <v>171</v>
      </c>
      <c r="C35" s="358"/>
      <c r="D35" s="358"/>
      <c r="E35" s="358"/>
      <c r="F35" s="358"/>
      <c r="G35" s="356">
        <f>'CF 2023'!S35</f>
        <v>-16818</v>
      </c>
      <c r="H35" s="356">
        <f>'CF 2023'!T35</f>
        <v>-16818</v>
      </c>
      <c r="I35" s="356">
        <f>'CF 2023'!U35</f>
        <v>-16818</v>
      </c>
      <c r="J35" s="356">
        <v>-16818</v>
      </c>
      <c r="K35" s="356">
        <v>-16818</v>
      </c>
      <c r="L35" s="356">
        <v>-16818</v>
      </c>
      <c r="M35" s="356">
        <v>-16818</v>
      </c>
      <c r="N35" s="356">
        <v>-16818</v>
      </c>
      <c r="O35" s="356">
        <v>-16818</v>
      </c>
      <c r="P35" s="356">
        <v>-16818</v>
      </c>
      <c r="Q35" s="356">
        <v>-16818</v>
      </c>
      <c r="R35" s="356">
        <v>-16818</v>
      </c>
      <c r="S35" s="225">
        <f>'CF 2025'!G35</f>
        <v>0</v>
      </c>
      <c r="T35" s="225">
        <f>'CF 2025'!H35</f>
        <v>0</v>
      </c>
      <c r="U35" s="225"/>
      <c r="V35" s="225">
        <f>SUM(G35:R35)</f>
        <v>-201816</v>
      </c>
      <c r="W35" s="1">
        <f>SUM(G31:R35)</f>
        <v>-201816</v>
      </c>
    </row>
    <row r="36" spans="1:23" x14ac:dyDescent="0.3">
      <c r="B36" s="362" t="s">
        <v>127</v>
      </c>
      <c r="C36" s="358"/>
      <c r="D36" s="358"/>
      <c r="E36" s="358"/>
      <c r="F36" s="358"/>
      <c r="G36" s="356">
        <f>'CF 2023'!S36</f>
        <v>0</v>
      </c>
      <c r="H36" s="356">
        <f>'CF 2023'!T36</f>
        <v>0</v>
      </c>
      <c r="I36" s="356">
        <f>'CF 2023'!U36</f>
        <v>0</v>
      </c>
      <c r="J36" s="356"/>
      <c r="K36" s="356"/>
      <c r="L36" s="356"/>
      <c r="M36" s="356"/>
      <c r="N36" s="356"/>
      <c r="O36" s="356"/>
      <c r="P36" s="356"/>
      <c r="Q36" s="356"/>
      <c r="R36" s="356"/>
      <c r="S36" s="225">
        <f>'CF 2025'!G36</f>
        <v>0</v>
      </c>
      <c r="T36" s="225">
        <f>'CF 2025'!H36</f>
        <v>0</v>
      </c>
      <c r="U36" s="225">
        <f>'CF 2025'!I36</f>
        <v>0</v>
      </c>
      <c r="V36" s="358"/>
    </row>
    <row r="37" spans="1:23" x14ac:dyDescent="0.3">
      <c r="B37" s="360" t="s">
        <v>172</v>
      </c>
      <c r="C37" s="358"/>
      <c r="D37" s="358"/>
      <c r="E37" s="358"/>
      <c r="F37" s="358"/>
      <c r="G37" s="356">
        <f>'CF 2023'!S37</f>
        <v>0</v>
      </c>
      <c r="H37" s="356">
        <f>'CF 2023'!T37</f>
        <v>0</v>
      </c>
      <c r="I37" s="356">
        <f>'CF 2023'!U37</f>
        <v>0</v>
      </c>
      <c r="J37" s="357"/>
      <c r="K37" s="357"/>
      <c r="L37" s="357"/>
      <c r="M37" s="357"/>
      <c r="N37" s="357"/>
      <c r="O37" s="357"/>
      <c r="P37" s="357"/>
      <c r="Q37" s="357"/>
      <c r="R37" s="357"/>
      <c r="S37" s="225">
        <f>'CF 2025'!G37</f>
        <v>0</v>
      </c>
      <c r="T37" s="225">
        <f>'CF 2025'!H37</f>
        <v>0</v>
      </c>
      <c r="U37" s="225">
        <f>'CF 2025'!I37</f>
        <v>0</v>
      </c>
      <c r="V37" s="358"/>
    </row>
    <row r="38" spans="1:23" x14ac:dyDescent="0.3">
      <c r="B38" s="362" t="s">
        <v>127</v>
      </c>
      <c r="C38" s="358"/>
      <c r="D38" s="358"/>
      <c r="E38" s="358"/>
      <c r="F38" s="358"/>
      <c r="G38" s="356">
        <f>'CF 2023'!S38</f>
        <v>0</v>
      </c>
      <c r="H38" s="356">
        <f>'CF 2023'!T38</f>
        <v>0</v>
      </c>
      <c r="I38" s="356">
        <f>'CF 2023'!U38</f>
        <v>0</v>
      </c>
      <c r="J38" s="357"/>
      <c r="K38" s="357"/>
      <c r="L38" s="357"/>
      <c r="M38" s="357"/>
      <c r="N38" s="357"/>
      <c r="O38" s="357"/>
      <c r="P38" s="357"/>
      <c r="Q38" s="357"/>
      <c r="R38" s="357"/>
      <c r="S38" s="225">
        <f>'CF 2025'!G38</f>
        <v>0</v>
      </c>
      <c r="T38" s="225">
        <f>'CF 2025'!H38</f>
        <v>0</v>
      </c>
      <c r="U38" s="225">
        <f>'CF 2025'!I38</f>
        <v>0</v>
      </c>
      <c r="V38" s="358"/>
    </row>
    <row r="39" spans="1:23" x14ac:dyDescent="0.3">
      <c r="B39" s="360" t="s">
        <v>173</v>
      </c>
      <c r="C39" s="358"/>
      <c r="D39" s="358"/>
      <c r="E39" s="358"/>
      <c r="F39" s="358"/>
      <c r="G39" s="356">
        <f>'CF 2023'!S39</f>
        <v>0</v>
      </c>
      <c r="H39" s="356">
        <f>'CF 2023'!T39</f>
        <v>0</v>
      </c>
      <c r="I39" s="356">
        <f>'CF 2023'!U39</f>
        <v>0</v>
      </c>
      <c r="J39" s="357"/>
      <c r="K39" s="357"/>
      <c r="L39" s="357"/>
      <c r="M39" s="357"/>
      <c r="N39" s="357"/>
      <c r="O39" s="357"/>
      <c r="P39" s="357"/>
      <c r="Q39" s="357"/>
      <c r="R39" s="357"/>
      <c r="S39" s="225">
        <f>'CF 2025'!G39</f>
        <v>0</v>
      </c>
      <c r="T39" s="225">
        <f>'CF 2025'!H39</f>
        <v>0</v>
      </c>
      <c r="U39" s="225">
        <f>'CF 2025'!I39</f>
        <v>0</v>
      </c>
      <c r="V39" s="358"/>
    </row>
    <row r="40" spans="1:23" x14ac:dyDescent="0.3">
      <c r="B40" s="362" t="s">
        <v>127</v>
      </c>
      <c r="C40" s="358"/>
      <c r="D40" s="358"/>
      <c r="E40" s="358"/>
      <c r="F40" s="358"/>
      <c r="G40" s="356">
        <f>'CF 2023'!S40</f>
        <v>0</v>
      </c>
      <c r="H40" s="356">
        <f>'CF 2023'!T40</f>
        <v>0</v>
      </c>
      <c r="I40" s="356">
        <f>'CF 2023'!U40</f>
        <v>0</v>
      </c>
      <c r="J40" s="357"/>
      <c r="K40" s="357"/>
      <c r="L40" s="357"/>
      <c r="M40" s="357"/>
      <c r="N40" s="357"/>
      <c r="O40" s="357"/>
      <c r="P40" s="357"/>
      <c r="Q40" s="357"/>
      <c r="R40" s="357"/>
      <c r="S40" s="225">
        <f>'CF 2025'!G40</f>
        <v>0</v>
      </c>
      <c r="T40" s="225">
        <f>'CF 2025'!H40</f>
        <v>0</v>
      </c>
      <c r="U40" s="225">
        <f>'CF 2025'!I40</f>
        <v>0</v>
      </c>
      <c r="V40" s="358"/>
    </row>
    <row r="41" spans="1:23" x14ac:dyDescent="0.3">
      <c r="B41" s="360" t="s">
        <v>174</v>
      </c>
      <c r="C41" s="358"/>
      <c r="D41" s="358"/>
      <c r="E41" s="358"/>
      <c r="F41" s="358"/>
      <c r="G41" s="356">
        <f>'CF 2023'!S41</f>
        <v>0</v>
      </c>
      <c r="H41" s="356">
        <f>'CF 2023'!T41</f>
        <v>0</v>
      </c>
      <c r="I41" s="356">
        <f>'CF 2023'!U41</f>
        <v>0</v>
      </c>
      <c r="J41" s="357"/>
      <c r="K41" s="357"/>
      <c r="L41" s="357"/>
      <c r="M41" s="357"/>
      <c r="N41" s="357"/>
      <c r="O41" s="357"/>
      <c r="P41" s="357"/>
      <c r="Q41" s="357"/>
      <c r="R41" s="357"/>
      <c r="S41" s="225">
        <f>'CF 2025'!G41</f>
        <v>0</v>
      </c>
      <c r="T41" s="225">
        <f>'CF 2025'!H41</f>
        <v>0</v>
      </c>
      <c r="U41" s="225">
        <f>'CF 2025'!I41</f>
        <v>0</v>
      </c>
      <c r="V41" s="358"/>
    </row>
    <row r="42" spans="1:23" x14ac:dyDescent="0.3">
      <c r="B42" s="362" t="s">
        <v>127</v>
      </c>
      <c r="C42" s="358"/>
      <c r="D42" s="358"/>
      <c r="E42" s="358"/>
      <c r="F42" s="358"/>
      <c r="G42" s="356">
        <f>'CF 2023'!S42</f>
        <v>0</v>
      </c>
      <c r="H42" s="356">
        <f>'CF 2023'!T42</f>
        <v>0</v>
      </c>
      <c r="I42" s="356">
        <f>'CF 2023'!U42</f>
        <v>0</v>
      </c>
      <c r="J42" s="357"/>
      <c r="K42" s="357"/>
      <c r="L42" s="357"/>
      <c r="M42" s="357"/>
      <c r="N42" s="357"/>
      <c r="O42" s="357"/>
      <c r="P42" s="357"/>
      <c r="Q42" s="357"/>
      <c r="R42" s="357"/>
      <c r="S42" s="225">
        <f>'CF 2025'!G42</f>
        <v>0</v>
      </c>
      <c r="T42" s="225">
        <f>'CF 2025'!H42</f>
        <v>0</v>
      </c>
      <c r="U42" s="225">
        <f>'CF 2025'!I42</f>
        <v>0</v>
      </c>
      <c r="V42" s="358"/>
    </row>
    <row r="43" spans="1:23" x14ac:dyDescent="0.3">
      <c r="B43" s="360" t="s">
        <v>52</v>
      </c>
      <c r="C43" s="358"/>
      <c r="D43" s="358"/>
      <c r="E43" s="358"/>
      <c r="F43" s="358"/>
      <c r="G43" s="356">
        <f>'CF 2023'!S43</f>
        <v>0</v>
      </c>
      <c r="H43" s="356">
        <f>'CF 2023'!T43</f>
        <v>0</v>
      </c>
      <c r="I43" s="356">
        <f>'CF 2023'!U43</f>
        <v>0</v>
      </c>
      <c r="J43" s="357"/>
      <c r="K43" s="357"/>
      <c r="L43" s="357"/>
      <c r="M43" s="357"/>
      <c r="N43" s="357"/>
      <c r="O43" s="357"/>
      <c r="P43" s="357"/>
      <c r="Q43" s="357"/>
      <c r="R43" s="357"/>
      <c r="S43" s="225">
        <f>'CF 2025'!G43</f>
        <v>0</v>
      </c>
      <c r="T43" s="225">
        <f>'CF 2025'!H43</f>
        <v>0</v>
      </c>
      <c r="U43" s="225">
        <f>'CF 2025'!I43</f>
        <v>0</v>
      </c>
      <c r="V43" s="358"/>
    </row>
    <row r="44" spans="1:23" x14ac:dyDescent="0.3">
      <c r="B44" s="360" t="s">
        <v>175</v>
      </c>
      <c r="C44" s="358"/>
      <c r="D44" s="358"/>
      <c r="E44" s="358"/>
      <c r="F44" s="358"/>
      <c r="G44" s="356">
        <f>'CF 2023'!S44</f>
        <v>-16818</v>
      </c>
      <c r="H44" s="356">
        <f>'CF 2023'!T44</f>
        <v>-16818</v>
      </c>
      <c r="I44" s="356">
        <f>'CF 2023'!U44</f>
        <v>-16818</v>
      </c>
      <c r="J44" s="356">
        <f t="shared" ref="J44" si="10">SUM(J31:J43)</f>
        <v>-16818</v>
      </c>
      <c r="K44" s="356">
        <f t="shared" ref="K44:R44" si="11">SUM(K31:K43)</f>
        <v>-16818</v>
      </c>
      <c r="L44" s="356">
        <f t="shared" si="11"/>
        <v>-16818</v>
      </c>
      <c r="M44" s="356">
        <f t="shared" si="11"/>
        <v>-16818</v>
      </c>
      <c r="N44" s="356">
        <f t="shared" si="11"/>
        <v>-16818</v>
      </c>
      <c r="O44" s="356">
        <f t="shared" si="11"/>
        <v>-16818</v>
      </c>
      <c r="P44" s="356">
        <f t="shared" si="11"/>
        <v>-16818</v>
      </c>
      <c r="Q44" s="356">
        <f t="shared" si="11"/>
        <v>-16818</v>
      </c>
      <c r="R44" s="356">
        <f t="shared" si="11"/>
        <v>-16818</v>
      </c>
      <c r="S44" s="225">
        <f>'CF 2025'!G44</f>
        <v>0</v>
      </c>
      <c r="T44" s="225">
        <f>'CF 2025'!H44</f>
        <v>0</v>
      </c>
      <c r="U44" s="225">
        <f>'CF 2025'!I44</f>
        <v>0</v>
      </c>
      <c r="V44" s="358"/>
    </row>
    <row r="45" spans="1:23" x14ac:dyDescent="0.3">
      <c r="A45" s="216"/>
      <c r="B45" s="370" t="s">
        <v>176</v>
      </c>
      <c r="C45" s="371"/>
      <c r="D45" s="371"/>
      <c r="E45" s="371"/>
      <c r="F45" s="371"/>
      <c r="G45" s="372">
        <f t="shared" ref="G45:J45" si="12">G24+G44</f>
        <v>545981.55840000021</v>
      </c>
      <c r="H45" s="372">
        <f t="shared" si="12"/>
        <v>554959.97759999998</v>
      </c>
      <c r="I45" s="372">
        <f t="shared" si="12"/>
        <v>563938.39679999999</v>
      </c>
      <c r="J45" s="372">
        <f t="shared" si="12"/>
        <v>572916.81599999999</v>
      </c>
      <c r="K45" s="372">
        <f t="shared" ref="K45:R45" si="13">K24+K44</f>
        <v>568427.60640000016</v>
      </c>
      <c r="L45" s="372">
        <f t="shared" si="13"/>
        <v>574039.11839999992</v>
      </c>
      <c r="M45" s="372">
        <f t="shared" si="13"/>
        <v>593118.25920000009</v>
      </c>
      <c r="N45" s="372">
        <f t="shared" si="13"/>
        <v>585262.1423999999</v>
      </c>
      <c r="O45" s="372">
        <f t="shared" si="13"/>
        <v>611075.0976000001</v>
      </c>
      <c r="P45" s="372">
        <f t="shared" si="13"/>
        <v>613880.85360000003</v>
      </c>
      <c r="Q45" s="372">
        <f t="shared" si="13"/>
        <v>596485.1664000001</v>
      </c>
      <c r="R45" s="372">
        <f t="shared" si="13"/>
        <v>608278.12240000011</v>
      </c>
      <c r="S45" s="373">
        <f t="shared" ref="S45:U45" si="14">S24+S44</f>
        <v>635732.67839999986</v>
      </c>
      <c r="T45" s="373">
        <f t="shared" si="14"/>
        <v>644711.0976000001</v>
      </c>
      <c r="U45" s="373">
        <f t="shared" si="14"/>
        <v>598504.83017142839</v>
      </c>
      <c r="V45" s="373">
        <f>SUM(G45:R45)</f>
        <v>6988363.1152000008</v>
      </c>
    </row>
    <row r="46" spans="1:23" x14ac:dyDescent="0.3">
      <c r="A46" s="156"/>
      <c r="B46" s="183" t="s">
        <v>177</v>
      </c>
      <c r="C46" s="156"/>
      <c r="D46" s="156"/>
      <c r="E46" s="156"/>
      <c r="F46" s="156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156"/>
      <c r="T46" s="156"/>
      <c r="U46" s="156"/>
      <c r="V46" s="156"/>
    </row>
    <row r="47" spans="1:23" x14ac:dyDescent="0.3">
      <c r="B47" s="374" t="s">
        <v>168</v>
      </c>
      <c r="C47" s="374"/>
      <c r="D47" s="374"/>
      <c r="E47" s="374"/>
      <c r="F47" s="374"/>
      <c r="G47" s="375">
        <f t="shared" ref="G47:J47" si="15">G29</f>
        <v>0</v>
      </c>
      <c r="H47" s="375">
        <f t="shared" si="15"/>
        <v>0</v>
      </c>
      <c r="I47" s="375">
        <f t="shared" si="15"/>
        <v>0</v>
      </c>
      <c r="J47" s="375">
        <f t="shared" si="15"/>
        <v>0</v>
      </c>
      <c r="K47" s="375">
        <f t="shared" ref="K47:R47" si="16">K29</f>
        <v>0</v>
      </c>
      <c r="L47" s="375">
        <f t="shared" si="16"/>
        <v>0</v>
      </c>
      <c r="M47" s="375">
        <f t="shared" si="16"/>
        <v>0</v>
      </c>
      <c r="N47" s="375">
        <f t="shared" si="16"/>
        <v>0</v>
      </c>
      <c r="O47" s="375">
        <f t="shared" si="16"/>
        <v>0</v>
      </c>
      <c r="P47" s="375">
        <f t="shared" si="16"/>
        <v>0</v>
      </c>
      <c r="Q47" s="375">
        <f t="shared" si="16"/>
        <v>0</v>
      </c>
      <c r="R47" s="375">
        <f t="shared" si="16"/>
        <v>0</v>
      </c>
      <c r="S47" s="376">
        <f t="shared" ref="S47:U47" si="17">S29</f>
        <v>0</v>
      </c>
      <c r="T47" s="376">
        <f t="shared" si="17"/>
        <v>0</v>
      </c>
      <c r="U47" s="376">
        <f t="shared" si="17"/>
        <v>0</v>
      </c>
    </row>
    <row r="48" spans="1:23" x14ac:dyDescent="0.3">
      <c r="B48" s="159" t="s">
        <v>175</v>
      </c>
      <c r="C48" s="159"/>
      <c r="D48" s="159"/>
      <c r="E48" s="159"/>
      <c r="F48" s="159"/>
      <c r="G48" s="363">
        <f t="shared" ref="G48:J48" si="18">G44</f>
        <v>-16818</v>
      </c>
      <c r="H48" s="363">
        <f t="shared" si="18"/>
        <v>-16818</v>
      </c>
      <c r="I48" s="363">
        <f t="shared" si="18"/>
        <v>-16818</v>
      </c>
      <c r="J48" s="363">
        <f t="shared" si="18"/>
        <v>-16818</v>
      </c>
      <c r="K48" s="363">
        <f t="shared" ref="K48:R48" si="19">K44</f>
        <v>-16818</v>
      </c>
      <c r="L48" s="363">
        <f t="shared" si="19"/>
        <v>-16818</v>
      </c>
      <c r="M48" s="363">
        <f t="shared" si="19"/>
        <v>-16818</v>
      </c>
      <c r="N48" s="363">
        <f t="shared" si="19"/>
        <v>-16818</v>
      </c>
      <c r="O48" s="363">
        <f t="shared" si="19"/>
        <v>-16818</v>
      </c>
      <c r="P48" s="363">
        <f t="shared" si="19"/>
        <v>-16818</v>
      </c>
      <c r="Q48" s="363">
        <f t="shared" si="19"/>
        <v>-16818</v>
      </c>
      <c r="R48" s="363">
        <f t="shared" si="19"/>
        <v>-16818</v>
      </c>
      <c r="S48" s="160">
        <f t="shared" ref="S48:U48" si="20">S44</f>
        <v>0</v>
      </c>
      <c r="T48" s="160">
        <f t="shared" si="20"/>
        <v>0</v>
      </c>
      <c r="U48" s="160">
        <f t="shared" si="20"/>
        <v>0</v>
      </c>
    </row>
    <row r="49" spans="1:22" x14ac:dyDescent="0.3">
      <c r="B49" s="159" t="s">
        <v>44</v>
      </c>
      <c r="C49" s="159"/>
      <c r="D49" s="159"/>
      <c r="E49" s="159"/>
      <c r="F49" s="159"/>
      <c r="G49" s="363">
        <f t="shared" ref="G49:J49" si="21">G11</f>
        <v>794028.94800000021</v>
      </c>
      <c r="H49" s="363">
        <f t="shared" si="21"/>
        <v>805251.97199999995</v>
      </c>
      <c r="I49" s="363">
        <f t="shared" si="21"/>
        <v>816474.99600000004</v>
      </c>
      <c r="J49" s="363">
        <f t="shared" si="21"/>
        <v>827698.02</v>
      </c>
      <c r="K49" s="363">
        <f t="shared" ref="K49:R49" si="22">K11</f>
        <v>822086.50800000015</v>
      </c>
      <c r="L49" s="363">
        <f t="shared" si="22"/>
        <v>829100.89799999993</v>
      </c>
      <c r="M49" s="363">
        <f t="shared" si="22"/>
        <v>852949.82400000014</v>
      </c>
      <c r="N49" s="363">
        <f t="shared" si="22"/>
        <v>843129.67799999984</v>
      </c>
      <c r="O49" s="363">
        <f t="shared" si="22"/>
        <v>875395.87200000009</v>
      </c>
      <c r="P49" s="363">
        <f t="shared" si="22"/>
        <v>878903.06700000004</v>
      </c>
      <c r="Q49" s="363">
        <f t="shared" si="22"/>
        <v>857158.4580000001</v>
      </c>
      <c r="R49" s="363">
        <f t="shared" si="22"/>
        <v>860665.65300000017</v>
      </c>
      <c r="S49" s="160">
        <f t="shared" ref="S49:U49" si="23">S11</f>
        <v>864172.84799999977</v>
      </c>
      <c r="T49" s="160">
        <f t="shared" si="23"/>
        <v>875395.87200000009</v>
      </c>
      <c r="U49" s="160">
        <f t="shared" si="23"/>
        <v>817638.03771428554</v>
      </c>
    </row>
    <row r="50" spans="1:22" x14ac:dyDescent="0.3">
      <c r="B50" s="159" t="s">
        <v>45</v>
      </c>
      <c r="C50" s="159"/>
      <c r="D50" s="159"/>
      <c r="E50" s="159"/>
      <c r="F50" s="159"/>
      <c r="G50" s="363">
        <f t="shared" ref="G50:J50" si="24">G19</f>
        <v>-200</v>
      </c>
      <c r="H50" s="363">
        <f t="shared" si="24"/>
        <v>-200</v>
      </c>
      <c r="I50" s="363">
        <f t="shared" si="24"/>
        <v>-200</v>
      </c>
      <c r="J50" s="363">
        <f t="shared" si="24"/>
        <v>-200</v>
      </c>
      <c r="K50" s="363">
        <f t="shared" ref="K50:R50" si="25">K19</f>
        <v>-200</v>
      </c>
      <c r="L50" s="363">
        <f t="shared" si="25"/>
        <v>-200</v>
      </c>
      <c r="M50" s="363">
        <f t="shared" si="25"/>
        <v>-200</v>
      </c>
      <c r="N50" s="363">
        <f t="shared" si="25"/>
        <v>-200</v>
      </c>
      <c r="O50" s="363">
        <f t="shared" si="25"/>
        <v>-200</v>
      </c>
      <c r="P50" s="363">
        <f t="shared" si="25"/>
        <v>-200</v>
      </c>
      <c r="Q50" s="363">
        <f t="shared" si="25"/>
        <v>-200</v>
      </c>
      <c r="R50" s="363">
        <f t="shared" si="25"/>
        <v>-200</v>
      </c>
      <c r="S50" s="160">
        <f t="shared" ref="S50:U50" si="26">S19</f>
        <v>-200</v>
      </c>
      <c r="T50" s="160">
        <f t="shared" si="26"/>
        <v>-200</v>
      </c>
      <c r="U50" s="160">
        <f t="shared" si="26"/>
        <v>-200</v>
      </c>
    </row>
    <row r="51" spans="1:22" x14ac:dyDescent="0.3">
      <c r="B51" s="159" t="s">
        <v>178</v>
      </c>
      <c r="C51" s="159"/>
      <c r="D51" s="159"/>
      <c r="E51" s="159"/>
      <c r="F51" s="159"/>
      <c r="G51" s="363">
        <f t="shared" ref="G51:J51" si="27">SUM(G47:G50)</f>
        <v>777010.94800000021</v>
      </c>
      <c r="H51" s="363">
        <f t="shared" si="27"/>
        <v>788233.97199999995</v>
      </c>
      <c r="I51" s="363">
        <f t="shared" si="27"/>
        <v>799456.99600000004</v>
      </c>
      <c r="J51" s="363">
        <f t="shared" si="27"/>
        <v>810680.02</v>
      </c>
      <c r="K51" s="363">
        <f t="shared" ref="K51:R51" si="28">SUM(K47:K50)</f>
        <v>805068.50800000015</v>
      </c>
      <c r="L51" s="363">
        <f t="shared" si="28"/>
        <v>812082.89799999993</v>
      </c>
      <c r="M51" s="363">
        <f t="shared" si="28"/>
        <v>835931.82400000014</v>
      </c>
      <c r="N51" s="363">
        <f t="shared" si="28"/>
        <v>826111.67799999984</v>
      </c>
      <c r="O51" s="363">
        <f t="shared" si="28"/>
        <v>858377.87200000009</v>
      </c>
      <c r="P51" s="363">
        <f t="shared" si="28"/>
        <v>861885.06700000004</v>
      </c>
      <c r="Q51" s="363">
        <f t="shared" si="28"/>
        <v>840140.4580000001</v>
      </c>
      <c r="R51" s="363">
        <f t="shared" si="28"/>
        <v>843647.65300000017</v>
      </c>
      <c r="S51" s="160">
        <f t="shared" ref="S51:U51" si="29">SUM(S47:S50)</f>
        <v>863972.84799999977</v>
      </c>
      <c r="T51" s="160">
        <f t="shared" si="29"/>
        <v>875195.87200000009</v>
      </c>
      <c r="U51" s="160">
        <f t="shared" si="29"/>
        <v>817438.03771428554</v>
      </c>
    </row>
    <row r="52" spans="1:22" x14ac:dyDescent="0.3">
      <c r="B52" s="159" t="s">
        <v>161</v>
      </c>
      <c r="C52" s="159"/>
      <c r="D52" s="159"/>
      <c r="E52" s="159"/>
      <c r="F52" s="159"/>
      <c r="G52" s="363">
        <f>G20</f>
        <v>-49636.800000000003</v>
      </c>
      <c r="H52" s="363">
        <f t="shared" ref="H52:U52" si="30">H20</f>
        <v>-46273.200000000004</v>
      </c>
      <c r="I52" s="363">
        <f t="shared" si="30"/>
        <v>-42909.600000000006</v>
      </c>
      <c r="J52" s="363">
        <f t="shared" si="30"/>
        <v>-39546</v>
      </c>
      <c r="K52" s="363">
        <f t="shared" si="30"/>
        <v>-36182.400000000001</v>
      </c>
      <c r="L52" s="363">
        <f t="shared" si="30"/>
        <v>-32818.800000000003</v>
      </c>
      <c r="M52" s="363">
        <f t="shared" si="30"/>
        <v>-29455.200000000001</v>
      </c>
      <c r="N52" s="363">
        <f t="shared" si="30"/>
        <v>-26091.600000000002</v>
      </c>
      <c r="O52" s="363">
        <f t="shared" si="30"/>
        <v>-22728</v>
      </c>
      <c r="P52" s="363">
        <f t="shared" si="30"/>
        <v>-19364.400000000001</v>
      </c>
      <c r="Q52" s="363">
        <f t="shared" si="30"/>
        <v>-16000.800000000001</v>
      </c>
      <c r="R52" s="363">
        <f t="shared" si="30"/>
        <v>-12637.2</v>
      </c>
      <c r="S52" s="363">
        <f t="shared" si="30"/>
        <v>0</v>
      </c>
      <c r="T52" s="363">
        <f t="shared" si="30"/>
        <v>0</v>
      </c>
      <c r="U52" s="363">
        <f t="shared" si="30"/>
        <v>0</v>
      </c>
    </row>
    <row r="53" spans="1:22" x14ac:dyDescent="0.3">
      <c r="B53" s="159" t="s">
        <v>162</v>
      </c>
      <c r="C53" s="159"/>
      <c r="D53" s="159"/>
      <c r="E53" s="159"/>
      <c r="F53" s="159"/>
      <c r="G53" s="377">
        <f>G21</f>
        <v>-144904.38960000005</v>
      </c>
      <c r="H53" s="377">
        <f t="shared" ref="H53:U53" si="31">H21</f>
        <v>-147148.9944</v>
      </c>
      <c r="I53" s="377">
        <f t="shared" si="31"/>
        <v>-149393.59920000003</v>
      </c>
      <c r="J53" s="377">
        <f t="shared" si="31"/>
        <v>-151638.204</v>
      </c>
      <c r="K53" s="377">
        <f t="shared" si="31"/>
        <v>-150515.90160000004</v>
      </c>
      <c r="L53" s="377">
        <f t="shared" si="31"/>
        <v>-151918.77959999998</v>
      </c>
      <c r="M53" s="377">
        <f t="shared" si="31"/>
        <v>-156688.56480000002</v>
      </c>
      <c r="N53" s="377">
        <f t="shared" si="31"/>
        <v>-154724.53559999997</v>
      </c>
      <c r="O53" s="377">
        <f t="shared" si="31"/>
        <v>-161177.77440000002</v>
      </c>
      <c r="P53" s="377">
        <f t="shared" si="31"/>
        <v>-161879.21340000001</v>
      </c>
      <c r="Q53" s="377">
        <f t="shared" si="31"/>
        <v>-157530.29160000003</v>
      </c>
      <c r="R53" s="377">
        <f t="shared" si="31"/>
        <v>-160478.53060000006</v>
      </c>
      <c r="S53" s="377">
        <f t="shared" si="31"/>
        <v>-163297.16959999996</v>
      </c>
      <c r="T53" s="377">
        <f t="shared" si="31"/>
        <v>-165541.77440000002</v>
      </c>
      <c r="U53" s="377">
        <f t="shared" si="31"/>
        <v>-153990.20754285713</v>
      </c>
    </row>
    <row r="54" spans="1:22" x14ac:dyDescent="0.3">
      <c r="B54" s="159" t="s">
        <v>176</v>
      </c>
      <c r="C54" s="159"/>
      <c r="D54" s="159"/>
      <c r="E54" s="159"/>
      <c r="F54" s="159"/>
      <c r="G54" s="363">
        <f t="shared" ref="G54:J54" si="32">SUM(G51:G53)</f>
        <v>582469.75840000017</v>
      </c>
      <c r="H54" s="363">
        <f t="shared" si="32"/>
        <v>594811.77760000003</v>
      </c>
      <c r="I54" s="363">
        <f t="shared" si="32"/>
        <v>607153.79680000001</v>
      </c>
      <c r="J54" s="363">
        <f t="shared" si="32"/>
        <v>619495.81599999999</v>
      </c>
      <c r="K54" s="363">
        <f t="shared" ref="K54:R54" si="33">SUM(K51:K53)</f>
        <v>618370.20640000002</v>
      </c>
      <c r="L54" s="363">
        <f t="shared" si="33"/>
        <v>627345.31839999987</v>
      </c>
      <c r="M54" s="363">
        <f t="shared" si="33"/>
        <v>649788.05920000013</v>
      </c>
      <c r="N54" s="363">
        <f t="shared" si="33"/>
        <v>645295.54239999992</v>
      </c>
      <c r="O54" s="363">
        <f t="shared" si="33"/>
        <v>674472.0976000001</v>
      </c>
      <c r="P54" s="363">
        <f t="shared" si="33"/>
        <v>680641.45360000001</v>
      </c>
      <c r="Q54" s="363">
        <f t="shared" si="33"/>
        <v>666609.36640000006</v>
      </c>
      <c r="R54" s="363">
        <f t="shared" si="33"/>
        <v>670531.92240000016</v>
      </c>
      <c r="S54" s="160">
        <f t="shared" ref="S54:U54" si="34">SUM(S51:S53)</f>
        <v>700675.67839999986</v>
      </c>
      <c r="T54" s="160">
        <f t="shared" si="34"/>
        <v>709654.0976000001</v>
      </c>
      <c r="U54" s="160">
        <f t="shared" si="34"/>
        <v>663447.83017142839</v>
      </c>
    </row>
    <row r="55" spans="1:22" x14ac:dyDescent="0.3">
      <c r="B55" s="13"/>
      <c r="C55" s="13"/>
      <c r="D55" s="13"/>
      <c r="E55" s="13"/>
      <c r="F55" s="13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13"/>
      <c r="T55" s="13"/>
      <c r="U55" s="13"/>
    </row>
    <row r="56" spans="1:22" x14ac:dyDescent="0.3">
      <c r="A56" s="156"/>
      <c r="B56" s="183" t="s">
        <v>179</v>
      </c>
      <c r="C56" s="156"/>
      <c r="D56" s="156"/>
      <c r="E56" s="156"/>
      <c r="F56" s="156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156"/>
      <c r="T56" s="156"/>
      <c r="U56" s="156"/>
      <c r="V56" s="156"/>
    </row>
    <row r="57" spans="1:22" x14ac:dyDescent="0.3">
      <c r="B57" s="358" t="s">
        <v>180</v>
      </c>
      <c r="C57" s="358"/>
      <c r="D57" s="358"/>
      <c r="E57" s="358"/>
      <c r="F57" s="358"/>
      <c r="G57" s="356">
        <f t="shared" ref="G57:J57" si="35">SUM(G24+G29)</f>
        <v>562799.55840000021</v>
      </c>
      <c r="H57" s="356">
        <f t="shared" si="35"/>
        <v>571777.97759999998</v>
      </c>
      <c r="I57" s="356">
        <f t="shared" si="35"/>
        <v>580756.39679999999</v>
      </c>
      <c r="J57" s="356">
        <f t="shared" si="35"/>
        <v>589734.81599999999</v>
      </c>
      <c r="K57" s="356">
        <f t="shared" ref="K57:R57" si="36">SUM(K24+K29)</f>
        <v>585245.60640000016</v>
      </c>
      <c r="L57" s="356">
        <f t="shared" si="36"/>
        <v>590857.11839999992</v>
      </c>
      <c r="M57" s="356">
        <f t="shared" si="36"/>
        <v>609936.25920000009</v>
      </c>
      <c r="N57" s="356">
        <f t="shared" si="36"/>
        <v>602080.1423999999</v>
      </c>
      <c r="O57" s="356">
        <f t="shared" si="36"/>
        <v>627893.0976000001</v>
      </c>
      <c r="P57" s="356">
        <f t="shared" si="36"/>
        <v>630698.85360000003</v>
      </c>
      <c r="Q57" s="356">
        <f t="shared" si="36"/>
        <v>613303.1664000001</v>
      </c>
      <c r="R57" s="356">
        <f t="shared" si="36"/>
        <v>625096.12240000011</v>
      </c>
      <c r="S57" s="225">
        <f t="shared" ref="S57:U57" si="37">SUM(S24+S29)</f>
        <v>635732.67839999986</v>
      </c>
      <c r="T57" s="225">
        <f t="shared" si="37"/>
        <v>644711.0976000001</v>
      </c>
      <c r="U57" s="225">
        <f t="shared" si="37"/>
        <v>598504.83017142839</v>
      </c>
    </row>
    <row r="58" spans="1:22" x14ac:dyDescent="0.3">
      <c r="B58" s="358" t="s">
        <v>181</v>
      </c>
      <c r="C58" s="358"/>
      <c r="D58" s="358"/>
      <c r="E58" s="358"/>
      <c r="F58" s="358"/>
      <c r="G58" s="356">
        <f t="shared" ref="G58:J58" si="38">G54</f>
        <v>582469.75840000017</v>
      </c>
      <c r="H58" s="356">
        <f t="shared" si="38"/>
        <v>594811.77760000003</v>
      </c>
      <c r="I58" s="356">
        <f t="shared" si="38"/>
        <v>607153.79680000001</v>
      </c>
      <c r="J58" s="356">
        <f t="shared" si="38"/>
        <v>619495.81599999999</v>
      </c>
      <c r="K58" s="356">
        <f t="shared" ref="K58:R58" si="39">K54</f>
        <v>618370.20640000002</v>
      </c>
      <c r="L58" s="356">
        <f t="shared" si="39"/>
        <v>627345.31839999987</v>
      </c>
      <c r="M58" s="356">
        <f t="shared" si="39"/>
        <v>649788.05920000013</v>
      </c>
      <c r="N58" s="356">
        <f t="shared" si="39"/>
        <v>645295.54239999992</v>
      </c>
      <c r="O58" s="356">
        <f t="shared" si="39"/>
        <v>674472.0976000001</v>
      </c>
      <c r="P58" s="356">
        <f t="shared" si="39"/>
        <v>680641.45360000001</v>
      </c>
      <c r="Q58" s="356">
        <f t="shared" si="39"/>
        <v>666609.36640000006</v>
      </c>
      <c r="R58" s="356">
        <f t="shared" si="39"/>
        <v>670531.92240000016</v>
      </c>
      <c r="S58" s="225">
        <f t="shared" ref="S58:U58" si="40">S54</f>
        <v>700675.67839999986</v>
      </c>
      <c r="T58" s="225">
        <f t="shared" si="40"/>
        <v>709654.0976000001</v>
      </c>
      <c r="U58" s="225">
        <f t="shared" si="40"/>
        <v>663447.83017142839</v>
      </c>
    </row>
    <row r="59" spans="1:22" x14ac:dyDescent="0.3">
      <c r="B59" s="358" t="s">
        <v>182</v>
      </c>
      <c r="C59" s="358"/>
      <c r="D59" s="358"/>
      <c r="E59" s="358"/>
      <c r="F59" s="358"/>
      <c r="G59" s="356">
        <f t="shared" ref="G59:J59" si="41">G54</f>
        <v>582469.75840000017</v>
      </c>
      <c r="H59" s="356">
        <f t="shared" si="41"/>
        <v>594811.77760000003</v>
      </c>
      <c r="I59" s="356">
        <f t="shared" si="41"/>
        <v>607153.79680000001</v>
      </c>
      <c r="J59" s="356">
        <f t="shared" si="41"/>
        <v>619495.81599999999</v>
      </c>
      <c r="K59" s="356">
        <f t="shared" ref="K59:R59" si="42">K54</f>
        <v>618370.20640000002</v>
      </c>
      <c r="L59" s="356">
        <f t="shared" si="42"/>
        <v>627345.31839999987</v>
      </c>
      <c r="M59" s="356">
        <f t="shared" si="42"/>
        <v>649788.05920000013</v>
      </c>
      <c r="N59" s="356">
        <f t="shared" si="42"/>
        <v>645295.54239999992</v>
      </c>
      <c r="O59" s="356">
        <f t="shared" si="42"/>
        <v>674472.0976000001</v>
      </c>
      <c r="P59" s="356">
        <f t="shared" si="42"/>
        <v>680641.45360000001</v>
      </c>
      <c r="Q59" s="356">
        <f t="shared" si="42"/>
        <v>666609.36640000006</v>
      </c>
      <c r="R59" s="356">
        <f t="shared" si="42"/>
        <v>670531.92240000016</v>
      </c>
      <c r="S59" s="225">
        <f t="shared" ref="S59:T59" si="43">S54</f>
        <v>700675.67839999986</v>
      </c>
      <c r="T59" s="225">
        <f t="shared" si="43"/>
        <v>709654.0976000001</v>
      </c>
      <c r="U59" s="225">
        <f>U54</f>
        <v>663447.83017142839</v>
      </c>
    </row>
    <row r="60" spans="1:22" x14ac:dyDescent="0.3">
      <c r="B60" s="358" t="s">
        <v>174</v>
      </c>
      <c r="C60" s="358"/>
      <c r="D60" s="358"/>
      <c r="E60" s="358"/>
      <c r="F60" s="358"/>
      <c r="G60" s="357"/>
      <c r="H60" s="357"/>
      <c r="I60" s="357"/>
      <c r="J60" s="357"/>
      <c r="K60" s="357"/>
      <c r="L60" s="357"/>
      <c r="M60" s="357"/>
      <c r="N60" s="357"/>
      <c r="O60" s="357"/>
      <c r="P60" s="357"/>
      <c r="Q60" s="357"/>
      <c r="R60" s="357"/>
      <c r="S60" s="358"/>
      <c r="T60" s="358"/>
      <c r="U60" s="358"/>
    </row>
    <row r="61" spans="1:22" x14ac:dyDescent="0.3">
      <c r="B61" s="358" t="s">
        <v>176</v>
      </c>
      <c r="C61" s="358"/>
      <c r="D61" s="358"/>
      <c r="E61" s="358"/>
      <c r="F61" s="358"/>
      <c r="G61" s="356">
        <f t="shared" ref="G61:J61" si="44">G54</f>
        <v>582469.75840000017</v>
      </c>
      <c r="H61" s="356">
        <f t="shared" si="44"/>
        <v>594811.77760000003</v>
      </c>
      <c r="I61" s="356">
        <f t="shared" si="44"/>
        <v>607153.79680000001</v>
      </c>
      <c r="J61" s="356">
        <f t="shared" si="44"/>
        <v>619495.81599999999</v>
      </c>
      <c r="K61" s="356">
        <f t="shared" ref="K61:R61" si="45">K54</f>
        <v>618370.20640000002</v>
      </c>
      <c r="L61" s="356">
        <f t="shared" si="45"/>
        <v>627345.31839999987</v>
      </c>
      <c r="M61" s="356">
        <f t="shared" si="45"/>
        <v>649788.05920000013</v>
      </c>
      <c r="N61" s="356">
        <f t="shared" si="45"/>
        <v>645295.54239999992</v>
      </c>
      <c r="O61" s="356">
        <f t="shared" si="45"/>
        <v>674472.0976000001</v>
      </c>
      <c r="P61" s="356">
        <f t="shared" si="45"/>
        <v>680641.45360000001</v>
      </c>
      <c r="Q61" s="356">
        <f t="shared" si="45"/>
        <v>666609.36640000006</v>
      </c>
      <c r="R61" s="356">
        <f t="shared" si="45"/>
        <v>670531.92240000016</v>
      </c>
      <c r="S61" s="225">
        <f t="shared" ref="S61:U61" si="46">S54</f>
        <v>700675.67839999986</v>
      </c>
      <c r="T61" s="225">
        <f t="shared" si="46"/>
        <v>709654.0976000001</v>
      </c>
      <c r="U61" s="225">
        <f t="shared" si="46"/>
        <v>663447.83017142839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76CFE-DF58-4E8A-A729-491A1CD01159}">
  <sheetPr codeName="Sheet29"/>
  <dimension ref="A1:Y1106"/>
  <sheetViews>
    <sheetView showGridLines="0" topLeftCell="A7" workbookViewId="0">
      <selection activeCell="F24" sqref="F24:T24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33203125" style="136" customWidth="1"/>
    <col min="7" max="8" width="9.5546875" bestFit="1" customWidth="1"/>
    <col min="9" max="9" width="10.33203125" customWidth="1"/>
    <col min="10" max="10" width="9.6640625" customWidth="1"/>
    <col min="11" max="11" width="10" customWidth="1"/>
    <col min="12" max="12" width="10.109375" customWidth="1"/>
    <col min="13" max="13" width="9.88671875" customWidth="1"/>
    <col min="14" max="14" width="10" customWidth="1"/>
    <col min="15" max="16" width="9.77734375" customWidth="1"/>
    <col min="17" max="17" width="9.88671875" customWidth="1"/>
    <col min="18" max="18" width="9.88671875" bestFit="1" customWidth="1"/>
    <col min="19" max="19" width="10" customWidth="1"/>
    <col min="20" max="20" width="9.88671875" customWidth="1"/>
    <col min="21" max="21" width="11.10937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184</v>
      </c>
      <c r="F2"/>
    </row>
    <row r="3" spans="1:25" x14ac:dyDescent="0.3">
      <c r="B3" t="s">
        <v>153</v>
      </c>
      <c r="F3"/>
    </row>
    <row r="4" spans="1:25" x14ac:dyDescent="0.3">
      <c r="F4"/>
    </row>
    <row r="5" spans="1:25" x14ac:dyDescent="0.3">
      <c r="A5" s="156"/>
      <c r="B5" s="183" t="s">
        <v>185</v>
      </c>
      <c r="C5" s="156"/>
      <c r="D5" s="156"/>
      <c r="E5" s="156"/>
      <c r="F5" s="215">
        <v>2024</v>
      </c>
      <c r="G5" s="215">
        <v>2024</v>
      </c>
      <c r="H5" s="215">
        <v>2024</v>
      </c>
      <c r="I5" s="215">
        <v>2024</v>
      </c>
      <c r="J5" s="215">
        <v>2024</v>
      </c>
      <c r="K5" s="215">
        <v>2024</v>
      </c>
      <c r="L5" s="215">
        <v>2024</v>
      </c>
      <c r="M5" s="215">
        <v>2024</v>
      </c>
      <c r="N5" s="215">
        <v>2024</v>
      </c>
      <c r="O5" s="215">
        <v>2024</v>
      </c>
      <c r="P5" s="215">
        <v>2024</v>
      </c>
      <c r="Q5" s="215">
        <v>2024</v>
      </c>
      <c r="R5" s="215">
        <v>2025</v>
      </c>
      <c r="S5" s="215">
        <v>2025</v>
      </c>
      <c r="T5" s="215">
        <v>2025</v>
      </c>
      <c r="U5" s="156"/>
    </row>
    <row r="6" spans="1:25" ht="15" thickBot="1" x14ac:dyDescent="0.35">
      <c r="A6" s="168"/>
      <c r="B6" s="169" t="s">
        <v>71</v>
      </c>
      <c r="C6" s="157"/>
      <c r="D6" s="157"/>
      <c r="E6" s="157"/>
      <c r="F6" s="214" t="s">
        <v>32</v>
      </c>
      <c r="G6" s="214" t="s">
        <v>33</v>
      </c>
      <c r="H6" s="214" t="s">
        <v>34</v>
      </c>
      <c r="I6" s="214" t="s">
        <v>35</v>
      </c>
      <c r="J6" s="214" t="s">
        <v>36</v>
      </c>
      <c r="K6" s="214" t="s">
        <v>37</v>
      </c>
      <c r="L6" s="214" t="s">
        <v>38</v>
      </c>
      <c r="M6" s="214" t="s">
        <v>39</v>
      </c>
      <c r="N6" s="214" t="s">
        <v>40</v>
      </c>
      <c r="O6" s="214" t="s">
        <v>41</v>
      </c>
      <c r="P6" s="214" t="s">
        <v>42</v>
      </c>
      <c r="Q6" s="214" t="s">
        <v>43</v>
      </c>
      <c r="R6" s="214" t="s">
        <v>32</v>
      </c>
      <c r="S6" s="214" t="s">
        <v>33</v>
      </c>
      <c r="T6" s="214" t="s">
        <v>34</v>
      </c>
      <c r="U6" s="211" t="s">
        <v>80</v>
      </c>
    </row>
    <row r="7" spans="1:25" s="135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78" t="s">
        <v>186</v>
      </c>
      <c r="F8"/>
    </row>
    <row r="9" spans="1:25" x14ac:dyDescent="0.3">
      <c r="C9" s="179"/>
      <c r="F9"/>
    </row>
    <row r="10" spans="1:25" x14ac:dyDescent="0.3">
      <c r="C10" s="178" t="s">
        <v>55</v>
      </c>
      <c r="F10"/>
      <c r="G10" s="180"/>
      <c r="H10" s="180"/>
      <c r="I10" s="180"/>
      <c r="J10" s="180"/>
      <c r="K10" s="180"/>
      <c r="L10" s="179"/>
      <c r="M10" s="180"/>
      <c r="N10" s="180"/>
      <c r="O10" s="180"/>
      <c r="P10" s="180"/>
      <c r="Q10" s="180"/>
      <c r="R10" s="180"/>
      <c r="S10" s="180"/>
      <c r="T10" s="180"/>
      <c r="V10" s="1"/>
    </row>
    <row r="11" spans="1:25" x14ac:dyDescent="0.3">
      <c r="C11" s="179" t="s">
        <v>187</v>
      </c>
      <c r="F11" s="180">
        <f>'BS 2023'!Q14+'CF 2024'!G54</f>
        <v>5882517.8119680006</v>
      </c>
      <c r="G11" s="180">
        <f>F14+'CF 2024'!H54</f>
        <v>6477329.5895680003</v>
      </c>
      <c r="H11" s="180">
        <f>G14+'CF 2024'!I54</f>
        <v>7084483.3863679999</v>
      </c>
      <c r="I11" s="180">
        <f>H14+'CF 2024'!J54</f>
        <v>7703979.2023679996</v>
      </c>
      <c r="J11" s="180">
        <f>I14+'CF 2024'!K54</f>
        <v>8322349.4087680001</v>
      </c>
      <c r="K11" s="180">
        <f>J14+'CF 2024'!L54</f>
        <v>8949694.7271679994</v>
      </c>
      <c r="L11" s="180">
        <f>K14+'CF 2024'!M54</f>
        <v>9599482.7863679994</v>
      </c>
      <c r="M11" s="180">
        <f>L14+'CF 2024'!N54</f>
        <v>10244778.328768</v>
      </c>
      <c r="N11" s="180">
        <f>M14+'CF 2024'!O54</f>
        <v>10919250.426368</v>
      </c>
      <c r="O11" s="180">
        <f>N14+'CF 2024'!P54</f>
        <v>11599891.879968001</v>
      </c>
      <c r="P11" s="180">
        <f>O14+'CF 2024'!Q54</f>
        <v>12266501.246368</v>
      </c>
      <c r="Q11" s="180">
        <f>P14+'CF 2024'!R54</f>
        <v>12937033.168768</v>
      </c>
      <c r="R11" s="180">
        <f>'BS 2025'!F11</f>
        <v>13642072.847168</v>
      </c>
      <c r="S11" s="180">
        <f>'BS 2025'!G11</f>
        <v>14356090.944768</v>
      </c>
      <c r="T11" s="180">
        <f>'BS 2025'!H11</f>
        <v>15023902.774939429</v>
      </c>
      <c r="V11" s="1"/>
    </row>
    <row r="12" spans="1:25" x14ac:dyDescent="0.3">
      <c r="C12" s="179" t="s">
        <v>188</v>
      </c>
      <c r="F12" s="180"/>
      <c r="G12" s="179"/>
      <c r="H12" s="179"/>
      <c r="I12" s="179" t="s">
        <v>205</v>
      </c>
      <c r="J12" s="179"/>
      <c r="K12" s="179" t="s">
        <v>205</v>
      </c>
      <c r="L12" s="179"/>
      <c r="M12" s="179"/>
      <c r="N12" s="179"/>
      <c r="O12" s="179"/>
      <c r="P12" s="179"/>
      <c r="Q12" s="179"/>
      <c r="R12" s="179"/>
      <c r="S12" s="179" t="s">
        <v>205</v>
      </c>
      <c r="T12" s="179" t="s">
        <v>205</v>
      </c>
      <c r="V12" s="1"/>
    </row>
    <row r="13" spans="1:25" x14ac:dyDescent="0.3">
      <c r="C13" s="179" t="s">
        <v>189</v>
      </c>
      <c r="F13"/>
      <c r="I13" s="180"/>
      <c r="K13" s="180"/>
      <c r="S13" s="180"/>
      <c r="T13" s="180"/>
      <c r="V13" s="1"/>
    </row>
    <row r="14" spans="1:25" x14ac:dyDescent="0.3">
      <c r="C14" s="179" t="s">
        <v>190</v>
      </c>
      <c r="F14" s="180">
        <f>SUM(F11:F13)</f>
        <v>5882517.8119680006</v>
      </c>
      <c r="G14" s="180">
        <f t="shared" ref="G14:Q14" si="0">SUM(G11:G13)</f>
        <v>6477329.5895680003</v>
      </c>
      <c r="H14" s="180">
        <f t="shared" si="0"/>
        <v>7084483.3863679999</v>
      </c>
      <c r="I14" s="180">
        <f t="shared" si="0"/>
        <v>7703979.2023679996</v>
      </c>
      <c r="J14" s="180">
        <f t="shared" si="0"/>
        <v>8322349.4087680001</v>
      </c>
      <c r="K14" s="180">
        <f t="shared" si="0"/>
        <v>8949694.7271679994</v>
      </c>
      <c r="L14" s="180">
        <f t="shared" si="0"/>
        <v>9599482.7863679994</v>
      </c>
      <c r="M14" s="180">
        <f t="shared" si="0"/>
        <v>10244778.328768</v>
      </c>
      <c r="N14" s="180">
        <f t="shared" si="0"/>
        <v>10919250.426368</v>
      </c>
      <c r="O14" s="180">
        <f t="shared" si="0"/>
        <v>11599891.879968001</v>
      </c>
      <c r="P14" s="180">
        <f t="shared" si="0"/>
        <v>12266501.246368</v>
      </c>
      <c r="Q14" s="180">
        <f t="shared" si="0"/>
        <v>12937033.168768</v>
      </c>
      <c r="R14" s="180">
        <f t="shared" ref="R14" si="1">SUM(R11:R13)</f>
        <v>13642072.847168</v>
      </c>
      <c r="S14" s="180">
        <f t="shared" ref="S14" si="2">SUM(S11:S13)</f>
        <v>14356090.944768</v>
      </c>
      <c r="T14" s="180">
        <f t="shared" ref="T14" si="3">SUM(T11:T13)</f>
        <v>15023902.774939429</v>
      </c>
      <c r="U14" s="225">
        <f>SUM(F14:Q14)</f>
        <v>111987291.96281601</v>
      </c>
      <c r="V14" s="1"/>
    </row>
    <row r="15" spans="1:25" x14ac:dyDescent="0.3">
      <c r="C15" s="178" t="s">
        <v>56</v>
      </c>
      <c r="F15"/>
      <c r="G15" s="179"/>
      <c r="H15" s="179"/>
      <c r="I15" s="179"/>
      <c r="J15" s="182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V15" s="1"/>
    </row>
    <row r="16" spans="1:25" x14ac:dyDescent="0.3">
      <c r="C16" s="181" t="s">
        <v>191</v>
      </c>
      <c r="F16" s="180">
        <f>'BS 2023'!Q16-'IS 2024'!F61</f>
        <v>471982</v>
      </c>
      <c r="G16" s="180">
        <f>F16-'IS 2024'!G61</f>
        <v>473432</v>
      </c>
      <c r="H16" s="180">
        <f>G16-'IS 2024'!H61</f>
        <v>474882</v>
      </c>
      <c r="I16" s="180">
        <f>H16-'IS 2024'!I61</f>
        <v>476332</v>
      </c>
      <c r="J16" s="180">
        <f>I16-'IS 2024'!J61</f>
        <v>477782</v>
      </c>
      <c r="K16" s="180">
        <f>J16-'IS 2024'!K61</f>
        <v>479232</v>
      </c>
      <c r="L16" s="180">
        <f>K16-'IS 2024'!L61</f>
        <v>480682</v>
      </c>
      <c r="M16" s="180">
        <f>L16-'IS 2024'!M61</f>
        <v>482132</v>
      </c>
      <c r="N16" s="180">
        <f>M16-'IS 2024'!N61</f>
        <v>483582</v>
      </c>
      <c r="O16" s="180">
        <f>N16-'IS 2024'!O61</f>
        <v>485032</v>
      </c>
      <c r="P16" s="180">
        <f>O16-'IS 2024'!P61</f>
        <v>486482</v>
      </c>
      <c r="Q16" s="180">
        <f>P16-'IS 2024'!Q61</f>
        <v>488332</v>
      </c>
      <c r="R16" s="180">
        <f>Q16-'IS 2025'!F60</f>
        <v>490182</v>
      </c>
      <c r="S16" s="187">
        <f>R16-'IS 2024'!G61</f>
        <v>491632</v>
      </c>
      <c r="T16" s="187">
        <f>S16-'IS 2024'!H61</f>
        <v>493082</v>
      </c>
      <c r="V16" s="1"/>
    </row>
    <row r="17" spans="1:22" x14ac:dyDescent="0.3">
      <c r="C17" s="181" t="s">
        <v>192</v>
      </c>
      <c r="F17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V17" s="1"/>
    </row>
    <row r="18" spans="1:22" x14ac:dyDescent="0.3">
      <c r="C18" s="181" t="s">
        <v>193</v>
      </c>
      <c r="F18" s="187">
        <f>SUM(F16:F17)</f>
        <v>471982</v>
      </c>
      <c r="G18" s="187">
        <f t="shared" ref="G18:T19" si="4">SUM(G16:G17)</f>
        <v>473432</v>
      </c>
      <c r="H18" s="187">
        <f t="shared" si="4"/>
        <v>474882</v>
      </c>
      <c r="I18" s="187">
        <f t="shared" si="4"/>
        <v>476332</v>
      </c>
      <c r="J18" s="187">
        <f t="shared" si="4"/>
        <v>477782</v>
      </c>
      <c r="K18" s="187">
        <f t="shared" si="4"/>
        <v>479232</v>
      </c>
      <c r="L18" s="187">
        <f t="shared" si="4"/>
        <v>480682</v>
      </c>
      <c r="M18" s="187">
        <f t="shared" si="4"/>
        <v>482132</v>
      </c>
      <c r="N18" s="187">
        <f t="shared" si="4"/>
        <v>483582</v>
      </c>
      <c r="O18" s="187">
        <f t="shared" si="4"/>
        <v>485032</v>
      </c>
      <c r="P18" s="187">
        <f t="shared" si="4"/>
        <v>486482</v>
      </c>
      <c r="Q18" s="187">
        <f t="shared" si="4"/>
        <v>488332</v>
      </c>
      <c r="R18" s="187">
        <f t="shared" si="4"/>
        <v>490182</v>
      </c>
      <c r="S18" s="187">
        <f t="shared" si="4"/>
        <v>491632</v>
      </c>
      <c r="T18" s="187">
        <f t="shared" si="4"/>
        <v>493082</v>
      </c>
      <c r="V18" s="1"/>
    </row>
    <row r="19" spans="1:22" x14ac:dyDescent="0.3">
      <c r="A19" s="151"/>
      <c r="B19" s="156"/>
      <c r="C19" s="190" t="s">
        <v>194</v>
      </c>
      <c r="D19" s="156"/>
      <c r="E19" s="156"/>
      <c r="F19" s="191">
        <f>SUM(F17:F18)</f>
        <v>471982</v>
      </c>
      <c r="G19" s="191">
        <f t="shared" si="4"/>
        <v>473432</v>
      </c>
      <c r="H19" s="191">
        <f t="shared" si="4"/>
        <v>474882</v>
      </c>
      <c r="I19" s="191">
        <f t="shared" si="4"/>
        <v>476332</v>
      </c>
      <c r="J19" s="191">
        <f t="shared" si="4"/>
        <v>477782</v>
      </c>
      <c r="K19" s="191">
        <f t="shared" si="4"/>
        <v>479232</v>
      </c>
      <c r="L19" s="191">
        <f t="shared" si="4"/>
        <v>480682</v>
      </c>
      <c r="M19" s="191">
        <f t="shared" si="4"/>
        <v>482132</v>
      </c>
      <c r="N19" s="191">
        <f t="shared" si="4"/>
        <v>483582</v>
      </c>
      <c r="O19" s="191">
        <f t="shared" si="4"/>
        <v>485032</v>
      </c>
      <c r="P19" s="191">
        <f t="shared" si="4"/>
        <v>486482</v>
      </c>
      <c r="Q19" s="191">
        <f t="shared" si="4"/>
        <v>488332</v>
      </c>
      <c r="R19" s="191">
        <f t="shared" si="4"/>
        <v>490182</v>
      </c>
      <c r="S19" s="191">
        <f t="shared" si="4"/>
        <v>491632</v>
      </c>
      <c r="T19" s="191">
        <f t="shared" si="4"/>
        <v>493082</v>
      </c>
      <c r="U19" s="164">
        <f>SUM(F19:Q19)</f>
        <v>5759884</v>
      </c>
      <c r="V19" s="1"/>
    </row>
    <row r="20" spans="1:22" x14ac:dyDescent="0.3">
      <c r="A20" s="168"/>
      <c r="B20" s="157"/>
      <c r="C20" s="192" t="s">
        <v>57</v>
      </c>
      <c r="D20" s="157"/>
      <c r="E20" s="157"/>
      <c r="F20" s="193">
        <f>F14+F19</f>
        <v>6354499.8119680006</v>
      </c>
      <c r="G20" s="193">
        <f>G14+G19</f>
        <v>6950761.5895680003</v>
      </c>
      <c r="H20" s="193">
        <f t="shared" ref="H20:T20" si="5">H14+H19</f>
        <v>7559365.3863679999</v>
      </c>
      <c r="I20" s="193">
        <f t="shared" si="5"/>
        <v>8180311.2023679996</v>
      </c>
      <c r="J20" s="193">
        <f t="shared" si="5"/>
        <v>8800131.4087680001</v>
      </c>
      <c r="K20" s="193">
        <f t="shared" si="5"/>
        <v>9428926.7271679994</v>
      </c>
      <c r="L20" s="193">
        <f t="shared" si="5"/>
        <v>10080164.786367999</v>
      </c>
      <c r="M20" s="193">
        <f t="shared" si="5"/>
        <v>10726910.328768</v>
      </c>
      <c r="N20" s="193">
        <f t="shared" si="5"/>
        <v>11402832.426368</v>
      </c>
      <c r="O20" s="193">
        <f t="shared" si="5"/>
        <v>12084923.879968001</v>
      </c>
      <c r="P20" s="193">
        <f t="shared" si="5"/>
        <v>12752983.246368</v>
      </c>
      <c r="Q20" s="193">
        <f t="shared" si="5"/>
        <v>13425365.168768</v>
      </c>
      <c r="R20" s="193">
        <f t="shared" si="5"/>
        <v>14132254.847168</v>
      </c>
      <c r="S20" s="193">
        <f t="shared" si="5"/>
        <v>14847722.944768</v>
      </c>
      <c r="T20" s="193">
        <f t="shared" si="5"/>
        <v>15516984.774939429</v>
      </c>
      <c r="U20" s="158">
        <f>SUM(F20:Q20)</f>
        <v>117747175.96281601</v>
      </c>
      <c r="V20" s="1"/>
    </row>
    <row r="21" spans="1:22" x14ac:dyDescent="0.3">
      <c r="C21" s="189" t="s">
        <v>58</v>
      </c>
      <c r="F21"/>
      <c r="I21" s="182"/>
      <c r="K21" s="182"/>
      <c r="S21" s="182"/>
      <c r="T21" s="182"/>
      <c r="V21" s="1"/>
    </row>
    <row r="22" spans="1:22" x14ac:dyDescent="0.3">
      <c r="C22" s="181" t="s">
        <v>195</v>
      </c>
      <c r="F22" s="182"/>
      <c r="G22" s="182"/>
      <c r="Q22" s="182"/>
      <c r="V22" s="1"/>
    </row>
    <row r="23" spans="1:22" x14ac:dyDescent="0.3">
      <c r="C23" s="181" t="s">
        <v>196</v>
      </c>
      <c r="F23"/>
      <c r="H23" s="182"/>
      <c r="J23" s="182"/>
      <c r="V23" s="1"/>
    </row>
    <row r="24" spans="1:22" x14ac:dyDescent="0.3">
      <c r="C24" s="179" t="s">
        <v>197</v>
      </c>
      <c r="F24" s="187">
        <f>'CF 2024'!G53</f>
        <v>-144904.38960000005</v>
      </c>
      <c r="G24" s="187">
        <f>'CF 2024'!H53</f>
        <v>-147148.9944</v>
      </c>
      <c r="H24" s="187">
        <f>'CF 2024'!I53</f>
        <v>-149393.59920000003</v>
      </c>
      <c r="I24" s="187">
        <f>'CF 2024'!J53</f>
        <v>-151638.204</v>
      </c>
      <c r="J24" s="187">
        <f>'CF 2024'!K53</f>
        <v>-150515.90160000004</v>
      </c>
      <c r="K24" s="187">
        <f>'CF 2024'!L53</f>
        <v>-151918.77959999998</v>
      </c>
      <c r="L24" s="187">
        <f>'CF 2024'!M53</f>
        <v>-156688.56480000002</v>
      </c>
      <c r="M24" s="187">
        <f>'CF 2024'!N53</f>
        <v>-154724.53559999997</v>
      </c>
      <c r="N24" s="187">
        <f>'CF 2024'!O53</f>
        <v>-161177.77440000002</v>
      </c>
      <c r="O24" s="187">
        <f>'CF 2024'!P53</f>
        <v>-161879.21340000001</v>
      </c>
      <c r="P24" s="187">
        <f>'CF 2024'!Q53</f>
        <v>-157530.29160000003</v>
      </c>
      <c r="Q24" s="187">
        <f>'CF 2024'!R53</f>
        <v>-160478.53060000006</v>
      </c>
      <c r="R24" s="187">
        <f>'CF 2024'!S53</f>
        <v>-163297.16959999996</v>
      </c>
      <c r="S24" s="187">
        <f>'CF 2024'!T53</f>
        <v>-165541.77440000002</v>
      </c>
      <c r="T24" s="187">
        <f>'CF 2024'!U53</f>
        <v>-153990.20754285713</v>
      </c>
      <c r="V24" s="1"/>
    </row>
    <row r="25" spans="1:22" x14ac:dyDescent="0.3">
      <c r="A25" s="156"/>
      <c r="B25" s="156"/>
      <c r="C25" s="183" t="s">
        <v>198</v>
      </c>
      <c r="D25" s="156"/>
      <c r="E25" s="156"/>
      <c r="F25" s="164">
        <f>SUM(F22:F24)</f>
        <v>-144904.38960000005</v>
      </c>
      <c r="G25" s="164">
        <f t="shared" ref="G25:T25" si="6">SUM(G22:G24)</f>
        <v>-147148.9944</v>
      </c>
      <c r="H25" s="164">
        <f t="shared" si="6"/>
        <v>-149393.59920000003</v>
      </c>
      <c r="I25" s="164">
        <f t="shared" si="6"/>
        <v>-151638.204</v>
      </c>
      <c r="J25" s="164">
        <f t="shared" si="6"/>
        <v>-150515.90160000004</v>
      </c>
      <c r="K25" s="164">
        <f t="shared" si="6"/>
        <v>-151918.77959999998</v>
      </c>
      <c r="L25" s="164">
        <f t="shared" si="6"/>
        <v>-156688.56480000002</v>
      </c>
      <c r="M25" s="164">
        <f t="shared" si="6"/>
        <v>-154724.53559999997</v>
      </c>
      <c r="N25" s="164">
        <f t="shared" si="6"/>
        <v>-161177.77440000002</v>
      </c>
      <c r="O25" s="164">
        <f t="shared" si="6"/>
        <v>-161879.21340000001</v>
      </c>
      <c r="P25" s="164">
        <f t="shared" si="6"/>
        <v>-157530.29160000003</v>
      </c>
      <c r="Q25" s="164">
        <f t="shared" si="6"/>
        <v>-160478.53060000006</v>
      </c>
      <c r="R25" s="164">
        <f t="shared" si="6"/>
        <v>-163297.16959999996</v>
      </c>
      <c r="S25" s="164">
        <f t="shared" si="6"/>
        <v>-165541.77440000002</v>
      </c>
      <c r="T25" s="164">
        <f t="shared" si="6"/>
        <v>-153990.20754285713</v>
      </c>
      <c r="U25" s="164">
        <f>SUM(F25:Q25)</f>
        <v>-1847998.7788000004</v>
      </c>
      <c r="V25" s="1"/>
    </row>
    <row r="26" spans="1:22" x14ac:dyDescent="0.3">
      <c r="A26" s="157"/>
      <c r="B26" s="157"/>
      <c r="C26" s="194" t="s">
        <v>59</v>
      </c>
      <c r="D26" s="157"/>
      <c r="E26" s="157"/>
      <c r="F26" s="158"/>
      <c r="G26" s="157"/>
      <c r="H26" s="157"/>
      <c r="I26" s="158"/>
      <c r="J26" s="157"/>
      <c r="K26" s="158"/>
      <c r="L26" s="195"/>
      <c r="M26" s="195"/>
      <c r="N26" s="195"/>
      <c r="O26" s="195"/>
      <c r="P26" s="195"/>
      <c r="Q26" s="157"/>
      <c r="R26" s="195"/>
      <c r="S26" s="158"/>
      <c r="T26" s="158"/>
      <c r="U26" s="157"/>
      <c r="V26" s="1"/>
    </row>
    <row r="27" spans="1:22" x14ac:dyDescent="0.3">
      <c r="C27" s="178" t="s">
        <v>199</v>
      </c>
      <c r="F27" s="187">
        <f>'BS 2023'!Q27-'CF 2024'!G35</f>
        <v>-248184</v>
      </c>
      <c r="G27" s="187">
        <f>F27-'CF 2024'!H35</f>
        <v>-231366</v>
      </c>
      <c r="H27" s="187">
        <f>G27-'CF 2024'!I35</f>
        <v>-214548</v>
      </c>
      <c r="I27" s="187">
        <f>H27-'CF 2024'!J35</f>
        <v>-197730</v>
      </c>
      <c r="J27" s="187">
        <f>I27-'CF 2024'!K35</f>
        <v>-180912</v>
      </c>
      <c r="K27" s="187">
        <f>J27-'CF 2024'!L35</f>
        <v>-164094</v>
      </c>
      <c r="L27" s="187">
        <f>K27-'CF 2024'!M35</f>
        <v>-147276</v>
      </c>
      <c r="M27" s="187">
        <f>L27-'CF 2024'!N35</f>
        <v>-130458</v>
      </c>
      <c r="N27" s="187">
        <f>M27-'CF 2024'!O35</f>
        <v>-113640</v>
      </c>
      <c r="O27" s="187">
        <f>N27-'CF 2024'!P35</f>
        <v>-96822</v>
      </c>
      <c r="P27" s="187">
        <f>O27-'CF 2024'!Q35</f>
        <v>-80004</v>
      </c>
      <c r="Q27" s="187">
        <f>P27-'CF 2024'!R35</f>
        <v>-63186</v>
      </c>
      <c r="R27" s="187">
        <f>'BS 2025'!F27</f>
        <v>0</v>
      </c>
      <c r="S27" s="187">
        <f>'BS 2025'!G27</f>
        <v>0</v>
      </c>
      <c r="T27" s="187">
        <f>'BS 2025'!H27</f>
        <v>0</v>
      </c>
      <c r="U27" s="225">
        <f>SUM(F27:Q27)</f>
        <v>-1868220</v>
      </c>
      <c r="V27" s="1"/>
    </row>
    <row r="28" spans="1:22" ht="12.6" customHeight="1" x14ac:dyDescent="0.3">
      <c r="C28" s="179"/>
      <c r="F28"/>
      <c r="J28" s="180" t="s">
        <v>205</v>
      </c>
      <c r="U28" s="358"/>
      <c r="V28" s="1"/>
    </row>
    <row r="29" spans="1:22" x14ac:dyDescent="0.3">
      <c r="C29" s="178" t="s">
        <v>200</v>
      </c>
      <c r="F29" s="180"/>
      <c r="G29" s="180"/>
      <c r="H29" s="180"/>
      <c r="Q29" s="180"/>
      <c r="U29" s="358"/>
      <c r="V29" s="1"/>
    </row>
    <row r="30" spans="1:22" x14ac:dyDescent="0.3">
      <c r="C30" s="181" t="s">
        <v>208</v>
      </c>
      <c r="F30" s="180"/>
      <c r="G30" s="180"/>
      <c r="H30" s="180"/>
      <c r="Q30" s="180"/>
      <c r="U30" s="358"/>
      <c r="V30" s="1"/>
    </row>
    <row r="31" spans="1:22" x14ac:dyDescent="0.3">
      <c r="C31" s="178" t="s">
        <v>201</v>
      </c>
      <c r="F31" s="187">
        <f>SUM(F27:F29)</f>
        <v>-248184</v>
      </c>
      <c r="G31" s="187">
        <f t="shared" ref="G31:T31" si="7">SUM(G27:G29)</f>
        <v>-231366</v>
      </c>
      <c r="H31" s="187">
        <f t="shared" si="7"/>
        <v>-214548</v>
      </c>
      <c r="I31" s="187">
        <f t="shared" si="7"/>
        <v>-197730</v>
      </c>
      <c r="J31" s="187">
        <f t="shared" si="7"/>
        <v>-180912</v>
      </c>
      <c r="K31" s="187">
        <f t="shared" si="7"/>
        <v>-164094</v>
      </c>
      <c r="L31" s="187">
        <f t="shared" si="7"/>
        <v>-147276</v>
      </c>
      <c r="M31" s="187">
        <f t="shared" si="7"/>
        <v>-130458</v>
      </c>
      <c r="N31" s="187">
        <f t="shared" si="7"/>
        <v>-113640</v>
      </c>
      <c r="O31" s="187">
        <f t="shared" si="7"/>
        <v>-96822</v>
      </c>
      <c r="P31" s="187">
        <f t="shared" si="7"/>
        <v>-80004</v>
      </c>
      <c r="Q31" s="187">
        <f t="shared" si="7"/>
        <v>-63186</v>
      </c>
      <c r="R31" s="187">
        <f t="shared" si="7"/>
        <v>0</v>
      </c>
      <c r="S31" s="187">
        <f t="shared" si="7"/>
        <v>0</v>
      </c>
      <c r="T31" s="187">
        <f t="shared" si="7"/>
        <v>0</v>
      </c>
      <c r="U31" s="358"/>
      <c r="V31" s="1"/>
    </row>
    <row r="32" spans="1:22" x14ac:dyDescent="0.3">
      <c r="C32" s="178" t="s">
        <v>60</v>
      </c>
      <c r="F32" s="187">
        <f>F31+F25</f>
        <v>-393088.38960000005</v>
      </c>
      <c r="G32" s="187">
        <f t="shared" ref="G32:T32" si="8">G31+G24</f>
        <v>-378514.99439999997</v>
      </c>
      <c r="H32" s="187">
        <f t="shared" si="8"/>
        <v>-363941.59920000006</v>
      </c>
      <c r="I32" s="187">
        <f t="shared" si="8"/>
        <v>-349368.20400000003</v>
      </c>
      <c r="J32" s="187">
        <f t="shared" si="8"/>
        <v>-331427.90160000004</v>
      </c>
      <c r="K32" s="187">
        <f t="shared" si="8"/>
        <v>-316012.77960000001</v>
      </c>
      <c r="L32" s="187">
        <f t="shared" si="8"/>
        <v>-303964.56480000005</v>
      </c>
      <c r="M32" s="187">
        <f t="shared" si="8"/>
        <v>-285182.53559999994</v>
      </c>
      <c r="N32" s="187">
        <f t="shared" si="8"/>
        <v>-274817.77439999999</v>
      </c>
      <c r="O32" s="187">
        <f t="shared" si="8"/>
        <v>-258701.21340000001</v>
      </c>
      <c r="P32" s="187">
        <f t="shared" si="8"/>
        <v>-237534.29160000003</v>
      </c>
      <c r="Q32" s="187">
        <f t="shared" si="8"/>
        <v>-223664.53060000006</v>
      </c>
      <c r="R32" s="187">
        <f t="shared" si="8"/>
        <v>-163297.16959999996</v>
      </c>
      <c r="S32" s="187">
        <f t="shared" si="8"/>
        <v>-165541.77440000002</v>
      </c>
      <c r="T32" s="187">
        <f t="shared" si="8"/>
        <v>-153990.20754285713</v>
      </c>
      <c r="U32" s="358"/>
      <c r="V32" s="1"/>
    </row>
    <row r="33" spans="3:22" x14ac:dyDescent="0.3">
      <c r="C33" s="178" t="s">
        <v>61</v>
      </c>
      <c r="F33" s="224">
        <f>F20+F32</f>
        <v>5961411.4223680003</v>
      </c>
      <c r="G33" s="224">
        <f t="shared" ref="G33:Q33" si="9">G20+G32</f>
        <v>6572246.5951680001</v>
      </c>
      <c r="H33" s="224">
        <f t="shared" si="9"/>
        <v>7195423.7871679999</v>
      </c>
      <c r="I33" s="224">
        <f t="shared" si="9"/>
        <v>7830942.9983679997</v>
      </c>
      <c r="J33" s="224">
        <f t="shared" si="9"/>
        <v>8468703.5071680006</v>
      </c>
      <c r="K33" s="224">
        <f t="shared" si="9"/>
        <v>9112913.9475679994</v>
      </c>
      <c r="L33" s="224">
        <f t="shared" si="9"/>
        <v>9776200.2215679996</v>
      </c>
      <c r="M33" s="224">
        <f t="shared" si="9"/>
        <v>10441727.793168001</v>
      </c>
      <c r="N33" s="224">
        <f t="shared" si="9"/>
        <v>11128014.651968</v>
      </c>
      <c r="O33" s="224">
        <f t="shared" si="9"/>
        <v>11826222.666568</v>
      </c>
      <c r="P33" s="224">
        <f t="shared" si="9"/>
        <v>12515448.954768</v>
      </c>
      <c r="Q33" s="224">
        <f t="shared" si="9"/>
        <v>13201700.638168</v>
      </c>
      <c r="R33" s="224">
        <f>R20+R32</f>
        <v>13968957.677568</v>
      </c>
      <c r="S33" s="224">
        <f t="shared" ref="S33" si="10">S20+S32</f>
        <v>14682181.170368001</v>
      </c>
      <c r="T33" s="224">
        <f t="shared" ref="T33" si="11">T20+T32</f>
        <v>15362994.567396572</v>
      </c>
      <c r="U33" s="359">
        <f>SUM(F33:Q33)</f>
        <v>114030957.18401599</v>
      </c>
      <c r="V33" s="1"/>
    </row>
    <row r="34" spans="3:22" x14ac:dyDescent="0.3">
      <c r="C34" s="181" t="s">
        <v>63</v>
      </c>
      <c r="F34" s="179"/>
      <c r="G34" s="179"/>
      <c r="H34" s="179"/>
      <c r="I34" s="179"/>
      <c r="J34" s="180"/>
      <c r="K34" s="180"/>
      <c r="L34" s="180"/>
      <c r="M34" s="180"/>
      <c r="N34" s="180"/>
      <c r="O34" s="180"/>
      <c r="P34" s="180"/>
      <c r="Q34" s="179"/>
      <c r="R34" s="180"/>
      <c r="S34" s="180"/>
      <c r="T34" s="180"/>
      <c r="V34" s="1"/>
    </row>
    <row r="35" spans="3:22" x14ac:dyDescent="0.3">
      <c r="C35" s="181" t="s">
        <v>65</v>
      </c>
      <c r="F35" s="180">
        <f>SUM(F33:F34)</f>
        <v>5961411.4223680003</v>
      </c>
      <c r="G35" s="180">
        <f t="shared" ref="G35:T35" si="12">SUM(G33:G34)</f>
        <v>6572246.5951680001</v>
      </c>
      <c r="H35" s="180">
        <f t="shared" si="12"/>
        <v>7195423.7871679999</v>
      </c>
      <c r="I35" s="180">
        <f t="shared" si="12"/>
        <v>7830942.9983679997</v>
      </c>
      <c r="J35" s="180">
        <f t="shared" si="12"/>
        <v>8468703.5071680006</v>
      </c>
      <c r="K35" s="180">
        <f t="shared" si="12"/>
        <v>9112913.9475679994</v>
      </c>
      <c r="L35" s="180">
        <f t="shared" si="12"/>
        <v>9776200.2215679996</v>
      </c>
      <c r="M35" s="180">
        <f t="shared" si="12"/>
        <v>10441727.793168001</v>
      </c>
      <c r="N35" s="180">
        <f t="shared" si="12"/>
        <v>11128014.651968</v>
      </c>
      <c r="O35" s="180">
        <f t="shared" si="12"/>
        <v>11826222.666568</v>
      </c>
      <c r="P35" s="180">
        <f t="shared" si="12"/>
        <v>12515448.954768</v>
      </c>
      <c r="Q35" s="180">
        <f t="shared" si="12"/>
        <v>13201700.638168</v>
      </c>
      <c r="R35" s="180">
        <f t="shared" si="12"/>
        <v>13968957.677568</v>
      </c>
      <c r="S35" s="180">
        <f t="shared" si="12"/>
        <v>14682181.170368001</v>
      </c>
      <c r="T35" s="180">
        <f t="shared" si="12"/>
        <v>15362994.567396572</v>
      </c>
      <c r="V35" s="1"/>
    </row>
    <row r="36" spans="3:22" x14ac:dyDescent="0.3">
      <c r="C36" s="188" t="s">
        <v>66</v>
      </c>
      <c r="F36" s="180">
        <f>F34+F35</f>
        <v>5961411.4223680003</v>
      </c>
      <c r="G36" s="180">
        <f t="shared" ref="G36:T36" si="13">G34+G35</f>
        <v>6572246.5951680001</v>
      </c>
      <c r="H36" s="180">
        <f t="shared" si="13"/>
        <v>7195423.7871679999</v>
      </c>
      <c r="I36" s="180">
        <f t="shared" si="13"/>
        <v>7830942.9983679997</v>
      </c>
      <c r="J36" s="180">
        <f t="shared" si="13"/>
        <v>8468703.5071680006</v>
      </c>
      <c r="K36" s="180">
        <f t="shared" si="13"/>
        <v>9112913.9475679994</v>
      </c>
      <c r="L36" s="180">
        <f t="shared" si="13"/>
        <v>9776200.2215679996</v>
      </c>
      <c r="M36" s="180">
        <f t="shared" si="13"/>
        <v>10441727.793168001</v>
      </c>
      <c r="N36" s="180">
        <f t="shared" si="13"/>
        <v>11128014.651968</v>
      </c>
      <c r="O36" s="180">
        <f t="shared" si="13"/>
        <v>11826222.666568</v>
      </c>
      <c r="P36" s="180">
        <f t="shared" si="13"/>
        <v>12515448.954768</v>
      </c>
      <c r="Q36" s="180">
        <f t="shared" si="13"/>
        <v>13201700.638168</v>
      </c>
      <c r="R36" s="180">
        <f t="shared" si="13"/>
        <v>13968957.677568</v>
      </c>
      <c r="S36" s="180">
        <f t="shared" si="13"/>
        <v>14682181.170368001</v>
      </c>
      <c r="T36" s="180">
        <f t="shared" si="13"/>
        <v>15362994.567396572</v>
      </c>
      <c r="V36" s="1"/>
    </row>
    <row r="37" spans="3:22" x14ac:dyDescent="0.3">
      <c r="C37" s="181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V37" s="1"/>
    </row>
    <row r="38" spans="3:22" x14ac:dyDescent="0.3">
      <c r="C38" s="181" t="s">
        <v>202</v>
      </c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V38" s="1"/>
    </row>
    <row r="39" spans="3:22" x14ac:dyDescent="0.3">
      <c r="C39" s="181" t="s">
        <v>203</v>
      </c>
      <c r="F3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V39" s="1"/>
    </row>
    <row r="40" spans="3:22" x14ac:dyDescent="0.3">
      <c r="C40" s="181" t="s">
        <v>204</v>
      </c>
      <c r="F40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V40" s="1"/>
    </row>
    <row r="41" spans="3:22" x14ac:dyDescent="0.3">
      <c r="C41" s="181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  <row r="621" spans="6:6" x14ac:dyDescent="0.3">
      <c r="F621"/>
    </row>
    <row r="622" spans="6:6" x14ac:dyDescent="0.3">
      <c r="F622"/>
    </row>
    <row r="623" spans="6:6" x14ac:dyDescent="0.3">
      <c r="F623"/>
    </row>
    <row r="624" spans="6:6" x14ac:dyDescent="0.3">
      <c r="F624"/>
    </row>
    <row r="625" spans="6:6" x14ac:dyDescent="0.3">
      <c r="F625"/>
    </row>
    <row r="626" spans="6:6" x14ac:dyDescent="0.3">
      <c r="F626"/>
    </row>
    <row r="627" spans="6:6" x14ac:dyDescent="0.3">
      <c r="F627"/>
    </row>
    <row r="628" spans="6:6" x14ac:dyDescent="0.3">
      <c r="F628"/>
    </row>
    <row r="629" spans="6:6" x14ac:dyDescent="0.3">
      <c r="F629"/>
    </row>
    <row r="630" spans="6:6" x14ac:dyDescent="0.3">
      <c r="F630"/>
    </row>
    <row r="631" spans="6:6" x14ac:dyDescent="0.3">
      <c r="F631"/>
    </row>
    <row r="632" spans="6:6" x14ac:dyDescent="0.3">
      <c r="F632"/>
    </row>
    <row r="633" spans="6:6" x14ac:dyDescent="0.3">
      <c r="F633"/>
    </row>
    <row r="634" spans="6:6" x14ac:dyDescent="0.3">
      <c r="F634"/>
    </row>
    <row r="635" spans="6:6" x14ac:dyDescent="0.3">
      <c r="F635"/>
    </row>
    <row r="636" spans="6:6" x14ac:dyDescent="0.3">
      <c r="F636"/>
    </row>
    <row r="637" spans="6:6" x14ac:dyDescent="0.3">
      <c r="F637"/>
    </row>
    <row r="638" spans="6:6" x14ac:dyDescent="0.3">
      <c r="F638"/>
    </row>
    <row r="639" spans="6:6" x14ac:dyDescent="0.3">
      <c r="F639"/>
    </row>
    <row r="640" spans="6:6" x14ac:dyDescent="0.3">
      <c r="F640"/>
    </row>
    <row r="641" spans="6:6" x14ac:dyDescent="0.3">
      <c r="F641"/>
    </row>
    <row r="642" spans="6:6" x14ac:dyDescent="0.3">
      <c r="F642"/>
    </row>
    <row r="643" spans="6:6" x14ac:dyDescent="0.3">
      <c r="F643"/>
    </row>
    <row r="644" spans="6:6" x14ac:dyDescent="0.3">
      <c r="F644"/>
    </row>
    <row r="645" spans="6:6" x14ac:dyDescent="0.3">
      <c r="F645"/>
    </row>
    <row r="646" spans="6:6" x14ac:dyDescent="0.3">
      <c r="F646"/>
    </row>
    <row r="647" spans="6:6" x14ac:dyDescent="0.3">
      <c r="F647"/>
    </row>
    <row r="648" spans="6:6" x14ac:dyDescent="0.3">
      <c r="F648"/>
    </row>
    <row r="649" spans="6:6" x14ac:dyDescent="0.3">
      <c r="F649"/>
    </row>
    <row r="650" spans="6:6" x14ac:dyDescent="0.3">
      <c r="F650"/>
    </row>
    <row r="651" spans="6:6" x14ac:dyDescent="0.3">
      <c r="F651"/>
    </row>
    <row r="652" spans="6:6" x14ac:dyDescent="0.3">
      <c r="F652"/>
    </row>
    <row r="653" spans="6:6" x14ac:dyDescent="0.3">
      <c r="F653"/>
    </row>
    <row r="654" spans="6:6" x14ac:dyDescent="0.3">
      <c r="F654"/>
    </row>
    <row r="655" spans="6:6" x14ac:dyDescent="0.3">
      <c r="F655"/>
    </row>
    <row r="656" spans="6:6" x14ac:dyDescent="0.3">
      <c r="F656"/>
    </row>
    <row r="657" spans="6:6" x14ac:dyDescent="0.3">
      <c r="F657"/>
    </row>
    <row r="658" spans="6:6" x14ac:dyDescent="0.3">
      <c r="F658"/>
    </row>
    <row r="659" spans="6:6" x14ac:dyDescent="0.3">
      <c r="F659"/>
    </row>
    <row r="660" spans="6:6" x14ac:dyDescent="0.3">
      <c r="F660"/>
    </row>
    <row r="661" spans="6:6" x14ac:dyDescent="0.3">
      <c r="F661"/>
    </row>
    <row r="662" spans="6:6" x14ac:dyDescent="0.3">
      <c r="F662"/>
    </row>
    <row r="663" spans="6:6" x14ac:dyDescent="0.3">
      <c r="F663"/>
    </row>
    <row r="664" spans="6:6" x14ac:dyDescent="0.3">
      <c r="F664"/>
    </row>
    <row r="665" spans="6:6" x14ac:dyDescent="0.3">
      <c r="F665"/>
    </row>
    <row r="666" spans="6:6" x14ac:dyDescent="0.3">
      <c r="F666"/>
    </row>
    <row r="667" spans="6:6" x14ac:dyDescent="0.3">
      <c r="F667"/>
    </row>
    <row r="668" spans="6:6" x14ac:dyDescent="0.3">
      <c r="F668"/>
    </row>
    <row r="669" spans="6:6" x14ac:dyDescent="0.3">
      <c r="F669"/>
    </row>
    <row r="670" spans="6:6" x14ac:dyDescent="0.3">
      <c r="F670"/>
    </row>
    <row r="671" spans="6:6" x14ac:dyDescent="0.3">
      <c r="F671"/>
    </row>
    <row r="672" spans="6:6" x14ac:dyDescent="0.3">
      <c r="F672"/>
    </row>
    <row r="673" spans="6:6" x14ac:dyDescent="0.3">
      <c r="F673"/>
    </row>
    <row r="674" spans="6:6" x14ac:dyDescent="0.3">
      <c r="F674"/>
    </row>
    <row r="675" spans="6:6" x14ac:dyDescent="0.3">
      <c r="F675"/>
    </row>
    <row r="676" spans="6:6" x14ac:dyDescent="0.3">
      <c r="F676"/>
    </row>
    <row r="677" spans="6:6" x14ac:dyDescent="0.3">
      <c r="F677"/>
    </row>
    <row r="678" spans="6:6" x14ac:dyDescent="0.3">
      <c r="F678"/>
    </row>
    <row r="679" spans="6:6" x14ac:dyDescent="0.3">
      <c r="F679"/>
    </row>
    <row r="680" spans="6:6" x14ac:dyDescent="0.3">
      <c r="F680"/>
    </row>
    <row r="681" spans="6:6" x14ac:dyDescent="0.3">
      <c r="F681"/>
    </row>
    <row r="682" spans="6:6" x14ac:dyDescent="0.3">
      <c r="F682"/>
    </row>
    <row r="683" spans="6:6" x14ac:dyDescent="0.3">
      <c r="F683"/>
    </row>
    <row r="684" spans="6:6" x14ac:dyDescent="0.3">
      <c r="F684"/>
    </row>
    <row r="685" spans="6:6" x14ac:dyDescent="0.3">
      <c r="F685"/>
    </row>
    <row r="686" spans="6:6" x14ac:dyDescent="0.3">
      <c r="F686"/>
    </row>
    <row r="687" spans="6:6" x14ac:dyDescent="0.3">
      <c r="F687"/>
    </row>
    <row r="688" spans="6:6" x14ac:dyDescent="0.3">
      <c r="F688"/>
    </row>
    <row r="689" spans="6:6" x14ac:dyDescent="0.3">
      <c r="F689"/>
    </row>
    <row r="690" spans="6:6" x14ac:dyDescent="0.3">
      <c r="F690"/>
    </row>
    <row r="691" spans="6:6" x14ac:dyDescent="0.3">
      <c r="F691"/>
    </row>
    <row r="692" spans="6:6" x14ac:dyDescent="0.3">
      <c r="F692"/>
    </row>
    <row r="693" spans="6:6" x14ac:dyDescent="0.3">
      <c r="F693"/>
    </row>
    <row r="694" spans="6:6" x14ac:dyDescent="0.3">
      <c r="F694"/>
    </row>
    <row r="695" spans="6:6" x14ac:dyDescent="0.3">
      <c r="F695"/>
    </row>
    <row r="696" spans="6:6" x14ac:dyDescent="0.3">
      <c r="F696"/>
    </row>
    <row r="697" spans="6:6" x14ac:dyDescent="0.3">
      <c r="F697"/>
    </row>
    <row r="698" spans="6:6" x14ac:dyDescent="0.3">
      <c r="F698"/>
    </row>
    <row r="699" spans="6:6" x14ac:dyDescent="0.3">
      <c r="F699"/>
    </row>
    <row r="700" spans="6:6" x14ac:dyDescent="0.3">
      <c r="F700"/>
    </row>
    <row r="701" spans="6:6" x14ac:dyDescent="0.3">
      <c r="F701"/>
    </row>
    <row r="702" spans="6:6" x14ac:dyDescent="0.3">
      <c r="F702"/>
    </row>
    <row r="703" spans="6:6" x14ac:dyDescent="0.3">
      <c r="F703"/>
    </row>
    <row r="704" spans="6:6" x14ac:dyDescent="0.3">
      <c r="F704"/>
    </row>
    <row r="705" spans="6:6" x14ac:dyDescent="0.3">
      <c r="F705"/>
    </row>
    <row r="706" spans="6:6" x14ac:dyDescent="0.3">
      <c r="F706"/>
    </row>
    <row r="707" spans="6:6" x14ac:dyDescent="0.3">
      <c r="F707"/>
    </row>
    <row r="708" spans="6:6" x14ac:dyDescent="0.3">
      <c r="F708"/>
    </row>
    <row r="709" spans="6:6" x14ac:dyDescent="0.3">
      <c r="F709"/>
    </row>
    <row r="710" spans="6:6" x14ac:dyDescent="0.3">
      <c r="F710"/>
    </row>
    <row r="711" spans="6:6" x14ac:dyDescent="0.3">
      <c r="F711"/>
    </row>
    <row r="712" spans="6:6" x14ac:dyDescent="0.3">
      <c r="F712"/>
    </row>
    <row r="713" spans="6:6" x14ac:dyDescent="0.3">
      <c r="F713"/>
    </row>
    <row r="714" spans="6:6" x14ac:dyDescent="0.3">
      <c r="F714"/>
    </row>
    <row r="715" spans="6:6" x14ac:dyDescent="0.3">
      <c r="F715"/>
    </row>
    <row r="716" spans="6:6" x14ac:dyDescent="0.3">
      <c r="F716"/>
    </row>
    <row r="717" spans="6:6" x14ac:dyDescent="0.3">
      <c r="F717"/>
    </row>
    <row r="718" spans="6:6" x14ac:dyDescent="0.3">
      <c r="F718"/>
    </row>
    <row r="719" spans="6:6" x14ac:dyDescent="0.3">
      <c r="F719"/>
    </row>
    <row r="720" spans="6:6" x14ac:dyDescent="0.3">
      <c r="F720"/>
    </row>
    <row r="721" spans="6:6" x14ac:dyDescent="0.3">
      <c r="F721"/>
    </row>
    <row r="722" spans="6:6" x14ac:dyDescent="0.3">
      <c r="F722"/>
    </row>
    <row r="723" spans="6:6" x14ac:dyDescent="0.3">
      <c r="F723"/>
    </row>
    <row r="724" spans="6:6" x14ac:dyDescent="0.3">
      <c r="F724"/>
    </row>
    <row r="725" spans="6:6" x14ac:dyDescent="0.3">
      <c r="F725"/>
    </row>
    <row r="726" spans="6:6" x14ac:dyDescent="0.3">
      <c r="F726"/>
    </row>
    <row r="727" spans="6:6" x14ac:dyDescent="0.3">
      <c r="F727"/>
    </row>
    <row r="728" spans="6:6" x14ac:dyDescent="0.3">
      <c r="F728"/>
    </row>
    <row r="729" spans="6:6" x14ac:dyDescent="0.3">
      <c r="F729"/>
    </row>
    <row r="730" spans="6:6" x14ac:dyDescent="0.3">
      <c r="F730"/>
    </row>
    <row r="731" spans="6:6" x14ac:dyDescent="0.3">
      <c r="F731"/>
    </row>
    <row r="732" spans="6:6" x14ac:dyDescent="0.3">
      <c r="F732"/>
    </row>
    <row r="733" spans="6:6" x14ac:dyDescent="0.3">
      <c r="F733"/>
    </row>
    <row r="734" spans="6:6" x14ac:dyDescent="0.3">
      <c r="F734"/>
    </row>
    <row r="735" spans="6:6" x14ac:dyDescent="0.3">
      <c r="F735"/>
    </row>
    <row r="736" spans="6:6" x14ac:dyDescent="0.3">
      <c r="F736"/>
    </row>
    <row r="737" spans="6:6" x14ac:dyDescent="0.3">
      <c r="F737"/>
    </row>
    <row r="738" spans="6:6" x14ac:dyDescent="0.3">
      <c r="F738"/>
    </row>
    <row r="739" spans="6:6" x14ac:dyDescent="0.3">
      <c r="F739"/>
    </row>
    <row r="740" spans="6:6" x14ac:dyDescent="0.3">
      <c r="F740"/>
    </row>
    <row r="741" spans="6:6" x14ac:dyDescent="0.3">
      <c r="F741"/>
    </row>
    <row r="742" spans="6:6" x14ac:dyDescent="0.3">
      <c r="F742"/>
    </row>
    <row r="743" spans="6:6" x14ac:dyDescent="0.3">
      <c r="F743"/>
    </row>
    <row r="744" spans="6:6" x14ac:dyDescent="0.3">
      <c r="F744"/>
    </row>
    <row r="745" spans="6:6" x14ac:dyDescent="0.3">
      <c r="F745"/>
    </row>
    <row r="746" spans="6:6" x14ac:dyDescent="0.3">
      <c r="F746"/>
    </row>
    <row r="747" spans="6:6" x14ac:dyDescent="0.3">
      <c r="F747"/>
    </row>
    <row r="748" spans="6:6" x14ac:dyDescent="0.3">
      <c r="F748"/>
    </row>
    <row r="749" spans="6:6" x14ac:dyDescent="0.3">
      <c r="F749"/>
    </row>
    <row r="750" spans="6:6" x14ac:dyDescent="0.3">
      <c r="F750"/>
    </row>
    <row r="751" spans="6:6" x14ac:dyDescent="0.3">
      <c r="F751"/>
    </row>
    <row r="752" spans="6:6" x14ac:dyDescent="0.3">
      <c r="F752"/>
    </row>
    <row r="753" spans="6:6" x14ac:dyDescent="0.3">
      <c r="F753"/>
    </row>
    <row r="754" spans="6:6" x14ac:dyDescent="0.3">
      <c r="F754"/>
    </row>
    <row r="755" spans="6:6" x14ac:dyDescent="0.3">
      <c r="F755"/>
    </row>
    <row r="756" spans="6:6" x14ac:dyDescent="0.3">
      <c r="F756"/>
    </row>
    <row r="757" spans="6:6" x14ac:dyDescent="0.3">
      <c r="F757"/>
    </row>
    <row r="758" spans="6:6" x14ac:dyDescent="0.3">
      <c r="F758"/>
    </row>
    <row r="759" spans="6:6" x14ac:dyDescent="0.3">
      <c r="F759"/>
    </row>
    <row r="760" spans="6:6" x14ac:dyDescent="0.3">
      <c r="F760"/>
    </row>
    <row r="761" spans="6:6" x14ac:dyDescent="0.3">
      <c r="F761"/>
    </row>
    <row r="762" spans="6:6" x14ac:dyDescent="0.3">
      <c r="F762"/>
    </row>
    <row r="763" spans="6:6" x14ac:dyDescent="0.3">
      <c r="F763"/>
    </row>
    <row r="764" spans="6:6" x14ac:dyDescent="0.3">
      <c r="F764"/>
    </row>
    <row r="765" spans="6:6" x14ac:dyDescent="0.3">
      <c r="F765"/>
    </row>
    <row r="766" spans="6:6" x14ac:dyDescent="0.3">
      <c r="F766"/>
    </row>
    <row r="767" spans="6:6" x14ac:dyDescent="0.3">
      <c r="F767"/>
    </row>
    <row r="768" spans="6:6" x14ac:dyDescent="0.3">
      <c r="F768"/>
    </row>
    <row r="769" spans="6:6" x14ac:dyDescent="0.3">
      <c r="F769"/>
    </row>
    <row r="770" spans="6:6" x14ac:dyDescent="0.3">
      <c r="F770"/>
    </row>
    <row r="771" spans="6:6" x14ac:dyDescent="0.3">
      <c r="F771"/>
    </row>
    <row r="772" spans="6:6" x14ac:dyDescent="0.3">
      <c r="F772"/>
    </row>
    <row r="773" spans="6:6" x14ac:dyDescent="0.3">
      <c r="F773"/>
    </row>
    <row r="774" spans="6:6" x14ac:dyDescent="0.3">
      <c r="F774"/>
    </row>
    <row r="775" spans="6:6" x14ac:dyDescent="0.3">
      <c r="F775"/>
    </row>
    <row r="776" spans="6:6" x14ac:dyDescent="0.3">
      <c r="F776"/>
    </row>
    <row r="777" spans="6:6" x14ac:dyDescent="0.3">
      <c r="F777"/>
    </row>
    <row r="778" spans="6:6" x14ac:dyDescent="0.3">
      <c r="F778"/>
    </row>
    <row r="779" spans="6:6" x14ac:dyDescent="0.3">
      <c r="F779"/>
    </row>
    <row r="780" spans="6:6" x14ac:dyDescent="0.3">
      <c r="F780"/>
    </row>
    <row r="781" spans="6:6" x14ac:dyDescent="0.3">
      <c r="F781"/>
    </row>
    <row r="782" spans="6:6" x14ac:dyDescent="0.3">
      <c r="F782"/>
    </row>
    <row r="783" spans="6:6" x14ac:dyDescent="0.3">
      <c r="F783"/>
    </row>
    <row r="784" spans="6:6" x14ac:dyDescent="0.3">
      <c r="F784"/>
    </row>
    <row r="785" spans="6:6" x14ac:dyDescent="0.3">
      <c r="F785"/>
    </row>
    <row r="786" spans="6:6" x14ac:dyDescent="0.3">
      <c r="F786"/>
    </row>
    <row r="787" spans="6:6" x14ac:dyDescent="0.3">
      <c r="F787"/>
    </row>
    <row r="788" spans="6:6" x14ac:dyDescent="0.3">
      <c r="F788"/>
    </row>
    <row r="789" spans="6:6" x14ac:dyDescent="0.3">
      <c r="F789"/>
    </row>
    <row r="790" spans="6:6" x14ac:dyDescent="0.3">
      <c r="F790"/>
    </row>
    <row r="791" spans="6:6" x14ac:dyDescent="0.3">
      <c r="F791"/>
    </row>
    <row r="792" spans="6:6" x14ac:dyDescent="0.3">
      <c r="F792"/>
    </row>
    <row r="793" spans="6:6" x14ac:dyDescent="0.3">
      <c r="F793"/>
    </row>
    <row r="794" spans="6:6" x14ac:dyDescent="0.3">
      <c r="F794"/>
    </row>
    <row r="795" spans="6:6" x14ac:dyDescent="0.3">
      <c r="F795"/>
    </row>
    <row r="796" spans="6:6" x14ac:dyDescent="0.3">
      <c r="F796"/>
    </row>
    <row r="797" spans="6:6" x14ac:dyDescent="0.3">
      <c r="F797"/>
    </row>
    <row r="798" spans="6:6" x14ac:dyDescent="0.3">
      <c r="F798"/>
    </row>
    <row r="799" spans="6:6" x14ac:dyDescent="0.3">
      <c r="F799"/>
    </row>
    <row r="800" spans="6:6" x14ac:dyDescent="0.3">
      <c r="F800"/>
    </row>
    <row r="801" spans="6:6" x14ac:dyDescent="0.3">
      <c r="F801"/>
    </row>
    <row r="802" spans="6:6" x14ac:dyDescent="0.3">
      <c r="F802"/>
    </row>
    <row r="803" spans="6:6" x14ac:dyDescent="0.3">
      <c r="F803"/>
    </row>
    <row r="804" spans="6:6" x14ac:dyDescent="0.3">
      <c r="F804"/>
    </row>
    <row r="805" spans="6:6" x14ac:dyDescent="0.3">
      <c r="F805"/>
    </row>
    <row r="806" spans="6:6" x14ac:dyDescent="0.3">
      <c r="F806"/>
    </row>
    <row r="807" spans="6:6" x14ac:dyDescent="0.3">
      <c r="F807"/>
    </row>
    <row r="808" spans="6:6" x14ac:dyDescent="0.3">
      <c r="F808"/>
    </row>
    <row r="809" spans="6:6" x14ac:dyDescent="0.3">
      <c r="F809"/>
    </row>
    <row r="810" spans="6:6" x14ac:dyDescent="0.3">
      <c r="F810"/>
    </row>
    <row r="811" spans="6:6" x14ac:dyDescent="0.3">
      <c r="F811"/>
    </row>
    <row r="812" spans="6:6" x14ac:dyDescent="0.3">
      <c r="F812"/>
    </row>
    <row r="813" spans="6:6" x14ac:dyDescent="0.3">
      <c r="F813"/>
    </row>
    <row r="814" spans="6:6" x14ac:dyDescent="0.3">
      <c r="F814"/>
    </row>
    <row r="815" spans="6:6" x14ac:dyDescent="0.3">
      <c r="F815"/>
    </row>
    <row r="816" spans="6:6" x14ac:dyDescent="0.3">
      <c r="F816"/>
    </row>
    <row r="817" spans="6:6" x14ac:dyDescent="0.3">
      <c r="F817"/>
    </row>
    <row r="818" spans="6:6" x14ac:dyDescent="0.3">
      <c r="F818"/>
    </row>
    <row r="819" spans="6:6" x14ac:dyDescent="0.3">
      <c r="F819"/>
    </row>
    <row r="820" spans="6:6" x14ac:dyDescent="0.3">
      <c r="F820"/>
    </row>
    <row r="821" spans="6:6" x14ac:dyDescent="0.3">
      <c r="F821"/>
    </row>
    <row r="822" spans="6:6" x14ac:dyDescent="0.3">
      <c r="F822"/>
    </row>
    <row r="823" spans="6:6" x14ac:dyDescent="0.3">
      <c r="F823"/>
    </row>
    <row r="824" spans="6:6" x14ac:dyDescent="0.3">
      <c r="F824"/>
    </row>
    <row r="825" spans="6:6" x14ac:dyDescent="0.3">
      <c r="F825"/>
    </row>
    <row r="826" spans="6:6" x14ac:dyDescent="0.3">
      <c r="F826"/>
    </row>
    <row r="827" spans="6:6" x14ac:dyDescent="0.3">
      <c r="F827"/>
    </row>
    <row r="828" spans="6:6" x14ac:dyDescent="0.3">
      <c r="F828"/>
    </row>
    <row r="829" spans="6:6" x14ac:dyDescent="0.3">
      <c r="F829"/>
    </row>
    <row r="830" spans="6:6" x14ac:dyDescent="0.3">
      <c r="F830"/>
    </row>
    <row r="831" spans="6:6" x14ac:dyDescent="0.3">
      <c r="F831"/>
    </row>
    <row r="832" spans="6:6" x14ac:dyDescent="0.3">
      <c r="F832"/>
    </row>
    <row r="833" spans="6:6" x14ac:dyDescent="0.3">
      <c r="F833"/>
    </row>
    <row r="834" spans="6:6" x14ac:dyDescent="0.3">
      <c r="F834"/>
    </row>
    <row r="835" spans="6:6" x14ac:dyDescent="0.3">
      <c r="F835"/>
    </row>
    <row r="836" spans="6:6" x14ac:dyDescent="0.3">
      <c r="F836"/>
    </row>
    <row r="837" spans="6:6" x14ac:dyDescent="0.3">
      <c r="F837"/>
    </row>
    <row r="838" spans="6:6" x14ac:dyDescent="0.3">
      <c r="F838"/>
    </row>
    <row r="839" spans="6:6" x14ac:dyDescent="0.3">
      <c r="F839"/>
    </row>
    <row r="840" spans="6:6" x14ac:dyDescent="0.3">
      <c r="F840"/>
    </row>
    <row r="841" spans="6:6" x14ac:dyDescent="0.3">
      <c r="F841"/>
    </row>
    <row r="842" spans="6:6" x14ac:dyDescent="0.3">
      <c r="F842"/>
    </row>
    <row r="843" spans="6:6" x14ac:dyDescent="0.3">
      <c r="F843"/>
    </row>
    <row r="844" spans="6:6" x14ac:dyDescent="0.3">
      <c r="F844"/>
    </row>
    <row r="845" spans="6:6" x14ac:dyDescent="0.3">
      <c r="F845"/>
    </row>
    <row r="846" spans="6:6" x14ac:dyDescent="0.3">
      <c r="F846"/>
    </row>
    <row r="847" spans="6:6" x14ac:dyDescent="0.3">
      <c r="F847"/>
    </row>
    <row r="848" spans="6:6" x14ac:dyDescent="0.3">
      <c r="F848"/>
    </row>
    <row r="849" spans="6:6" x14ac:dyDescent="0.3">
      <c r="F849"/>
    </row>
    <row r="850" spans="6:6" x14ac:dyDescent="0.3">
      <c r="F850"/>
    </row>
    <row r="851" spans="6:6" x14ac:dyDescent="0.3">
      <c r="F851"/>
    </row>
    <row r="852" spans="6:6" x14ac:dyDescent="0.3">
      <c r="F852"/>
    </row>
    <row r="853" spans="6:6" x14ac:dyDescent="0.3">
      <c r="F853"/>
    </row>
    <row r="854" spans="6:6" x14ac:dyDescent="0.3">
      <c r="F854"/>
    </row>
    <row r="855" spans="6:6" x14ac:dyDescent="0.3">
      <c r="F855"/>
    </row>
    <row r="856" spans="6:6" x14ac:dyDescent="0.3">
      <c r="F856"/>
    </row>
    <row r="857" spans="6:6" x14ac:dyDescent="0.3">
      <c r="F857"/>
    </row>
    <row r="858" spans="6:6" x14ac:dyDescent="0.3">
      <c r="F858"/>
    </row>
    <row r="859" spans="6:6" x14ac:dyDescent="0.3">
      <c r="F859"/>
    </row>
    <row r="860" spans="6:6" x14ac:dyDescent="0.3">
      <c r="F860"/>
    </row>
    <row r="861" spans="6:6" x14ac:dyDescent="0.3">
      <c r="F861"/>
    </row>
    <row r="862" spans="6:6" x14ac:dyDescent="0.3">
      <c r="F862"/>
    </row>
    <row r="863" spans="6:6" x14ac:dyDescent="0.3">
      <c r="F863"/>
    </row>
    <row r="864" spans="6:6" x14ac:dyDescent="0.3">
      <c r="F864"/>
    </row>
    <row r="865" spans="6:6" x14ac:dyDescent="0.3">
      <c r="F865"/>
    </row>
    <row r="866" spans="6:6" x14ac:dyDescent="0.3">
      <c r="F866"/>
    </row>
    <row r="867" spans="6:6" x14ac:dyDescent="0.3">
      <c r="F867"/>
    </row>
    <row r="868" spans="6:6" x14ac:dyDescent="0.3">
      <c r="F868"/>
    </row>
    <row r="869" spans="6:6" x14ac:dyDescent="0.3">
      <c r="F869"/>
    </row>
    <row r="870" spans="6:6" x14ac:dyDescent="0.3">
      <c r="F870"/>
    </row>
    <row r="871" spans="6:6" x14ac:dyDescent="0.3">
      <c r="F871"/>
    </row>
    <row r="872" spans="6:6" x14ac:dyDescent="0.3">
      <c r="F872"/>
    </row>
    <row r="873" spans="6:6" x14ac:dyDescent="0.3">
      <c r="F873"/>
    </row>
    <row r="874" spans="6:6" x14ac:dyDescent="0.3">
      <c r="F874"/>
    </row>
    <row r="875" spans="6:6" x14ac:dyDescent="0.3">
      <c r="F875"/>
    </row>
    <row r="876" spans="6:6" x14ac:dyDescent="0.3">
      <c r="F876"/>
    </row>
    <row r="877" spans="6:6" x14ac:dyDescent="0.3">
      <c r="F877"/>
    </row>
    <row r="878" spans="6:6" x14ac:dyDescent="0.3">
      <c r="F878"/>
    </row>
    <row r="879" spans="6:6" x14ac:dyDescent="0.3">
      <c r="F879"/>
    </row>
    <row r="880" spans="6:6" x14ac:dyDescent="0.3">
      <c r="F880"/>
    </row>
    <row r="881" spans="6:6" x14ac:dyDescent="0.3">
      <c r="F881"/>
    </row>
    <row r="882" spans="6:6" x14ac:dyDescent="0.3">
      <c r="F882"/>
    </row>
    <row r="883" spans="6:6" x14ac:dyDescent="0.3">
      <c r="F883"/>
    </row>
    <row r="884" spans="6:6" x14ac:dyDescent="0.3">
      <c r="F884"/>
    </row>
    <row r="885" spans="6:6" x14ac:dyDescent="0.3">
      <c r="F885"/>
    </row>
    <row r="886" spans="6:6" x14ac:dyDescent="0.3">
      <c r="F886"/>
    </row>
    <row r="887" spans="6:6" x14ac:dyDescent="0.3">
      <c r="F887"/>
    </row>
    <row r="888" spans="6:6" x14ac:dyDescent="0.3">
      <c r="F888"/>
    </row>
    <row r="889" spans="6:6" x14ac:dyDescent="0.3">
      <c r="F889"/>
    </row>
    <row r="890" spans="6:6" x14ac:dyDescent="0.3">
      <c r="F890"/>
    </row>
    <row r="891" spans="6:6" x14ac:dyDescent="0.3">
      <c r="F891"/>
    </row>
    <row r="892" spans="6:6" x14ac:dyDescent="0.3">
      <c r="F892"/>
    </row>
    <row r="893" spans="6:6" x14ac:dyDescent="0.3">
      <c r="F893"/>
    </row>
    <row r="894" spans="6:6" x14ac:dyDescent="0.3">
      <c r="F894"/>
    </row>
    <row r="895" spans="6:6" x14ac:dyDescent="0.3">
      <c r="F895"/>
    </row>
    <row r="896" spans="6:6" x14ac:dyDescent="0.3">
      <c r="F896"/>
    </row>
    <row r="897" spans="6:6" x14ac:dyDescent="0.3">
      <c r="F897"/>
    </row>
    <row r="898" spans="6:6" x14ac:dyDescent="0.3">
      <c r="F898"/>
    </row>
    <row r="899" spans="6:6" x14ac:dyDescent="0.3">
      <c r="F899"/>
    </row>
    <row r="900" spans="6:6" x14ac:dyDescent="0.3">
      <c r="F900"/>
    </row>
    <row r="901" spans="6:6" x14ac:dyDescent="0.3">
      <c r="F901"/>
    </row>
    <row r="902" spans="6:6" x14ac:dyDescent="0.3">
      <c r="F902"/>
    </row>
    <row r="903" spans="6:6" x14ac:dyDescent="0.3">
      <c r="F903"/>
    </row>
    <row r="904" spans="6:6" x14ac:dyDescent="0.3">
      <c r="F904"/>
    </row>
    <row r="905" spans="6:6" x14ac:dyDescent="0.3">
      <c r="F905"/>
    </row>
    <row r="906" spans="6:6" x14ac:dyDescent="0.3">
      <c r="F906"/>
    </row>
    <row r="907" spans="6:6" x14ac:dyDescent="0.3">
      <c r="F907"/>
    </row>
    <row r="908" spans="6:6" x14ac:dyDescent="0.3">
      <c r="F908"/>
    </row>
    <row r="909" spans="6:6" x14ac:dyDescent="0.3">
      <c r="F909"/>
    </row>
    <row r="910" spans="6:6" x14ac:dyDescent="0.3">
      <c r="F910"/>
    </row>
    <row r="911" spans="6:6" x14ac:dyDescent="0.3">
      <c r="F911"/>
    </row>
    <row r="912" spans="6:6" x14ac:dyDescent="0.3">
      <c r="F912"/>
    </row>
    <row r="913" spans="6:6" x14ac:dyDescent="0.3">
      <c r="F913"/>
    </row>
    <row r="914" spans="6:6" x14ac:dyDescent="0.3">
      <c r="F914"/>
    </row>
    <row r="915" spans="6:6" x14ac:dyDescent="0.3">
      <c r="F915"/>
    </row>
    <row r="916" spans="6:6" x14ac:dyDescent="0.3">
      <c r="F916"/>
    </row>
    <row r="917" spans="6:6" x14ac:dyDescent="0.3">
      <c r="F917"/>
    </row>
    <row r="918" spans="6:6" x14ac:dyDescent="0.3">
      <c r="F918"/>
    </row>
    <row r="919" spans="6:6" x14ac:dyDescent="0.3">
      <c r="F919"/>
    </row>
    <row r="920" spans="6:6" x14ac:dyDescent="0.3">
      <c r="F920"/>
    </row>
    <row r="921" spans="6:6" x14ac:dyDescent="0.3">
      <c r="F921"/>
    </row>
    <row r="922" spans="6:6" x14ac:dyDescent="0.3">
      <c r="F922"/>
    </row>
    <row r="923" spans="6:6" x14ac:dyDescent="0.3">
      <c r="F923"/>
    </row>
    <row r="924" spans="6:6" x14ac:dyDescent="0.3">
      <c r="F924"/>
    </row>
    <row r="925" spans="6:6" x14ac:dyDescent="0.3">
      <c r="F925"/>
    </row>
    <row r="926" spans="6:6" x14ac:dyDescent="0.3">
      <c r="F926"/>
    </row>
    <row r="927" spans="6:6" x14ac:dyDescent="0.3">
      <c r="F927"/>
    </row>
    <row r="928" spans="6:6" x14ac:dyDescent="0.3">
      <c r="F928"/>
    </row>
    <row r="929" spans="6:6" x14ac:dyDescent="0.3">
      <c r="F929"/>
    </row>
    <row r="930" spans="6:6" x14ac:dyDescent="0.3">
      <c r="F930"/>
    </row>
    <row r="931" spans="6:6" x14ac:dyDescent="0.3">
      <c r="F931"/>
    </row>
    <row r="932" spans="6:6" x14ac:dyDescent="0.3">
      <c r="F932"/>
    </row>
    <row r="933" spans="6:6" x14ac:dyDescent="0.3">
      <c r="F933"/>
    </row>
    <row r="934" spans="6:6" x14ac:dyDescent="0.3">
      <c r="F934"/>
    </row>
    <row r="935" spans="6:6" x14ac:dyDescent="0.3">
      <c r="F935"/>
    </row>
    <row r="936" spans="6:6" x14ac:dyDescent="0.3">
      <c r="F936"/>
    </row>
    <row r="937" spans="6:6" x14ac:dyDescent="0.3">
      <c r="F937"/>
    </row>
    <row r="938" spans="6:6" x14ac:dyDescent="0.3">
      <c r="F938"/>
    </row>
    <row r="939" spans="6:6" x14ac:dyDescent="0.3">
      <c r="F939"/>
    </row>
    <row r="940" spans="6:6" x14ac:dyDescent="0.3">
      <c r="F940"/>
    </row>
    <row r="941" spans="6:6" x14ac:dyDescent="0.3">
      <c r="F941"/>
    </row>
    <row r="942" spans="6:6" x14ac:dyDescent="0.3">
      <c r="F942"/>
    </row>
    <row r="943" spans="6:6" x14ac:dyDescent="0.3">
      <c r="F943"/>
    </row>
    <row r="944" spans="6:6" x14ac:dyDescent="0.3">
      <c r="F944"/>
    </row>
    <row r="945" spans="6:6" x14ac:dyDescent="0.3">
      <c r="F945"/>
    </row>
    <row r="946" spans="6:6" x14ac:dyDescent="0.3">
      <c r="F946"/>
    </row>
    <row r="947" spans="6:6" x14ac:dyDescent="0.3">
      <c r="F947"/>
    </row>
    <row r="948" spans="6:6" x14ac:dyDescent="0.3">
      <c r="F948"/>
    </row>
    <row r="949" spans="6:6" x14ac:dyDescent="0.3">
      <c r="F949"/>
    </row>
    <row r="950" spans="6:6" x14ac:dyDescent="0.3">
      <c r="F950"/>
    </row>
    <row r="951" spans="6:6" x14ac:dyDescent="0.3">
      <c r="F951"/>
    </row>
    <row r="952" spans="6:6" x14ac:dyDescent="0.3">
      <c r="F952"/>
    </row>
    <row r="953" spans="6:6" x14ac:dyDescent="0.3">
      <c r="F953"/>
    </row>
    <row r="954" spans="6:6" x14ac:dyDescent="0.3">
      <c r="F954"/>
    </row>
    <row r="955" spans="6:6" x14ac:dyDescent="0.3">
      <c r="F955"/>
    </row>
    <row r="956" spans="6:6" x14ac:dyDescent="0.3">
      <c r="F956"/>
    </row>
    <row r="957" spans="6:6" x14ac:dyDescent="0.3">
      <c r="F957"/>
    </row>
    <row r="958" spans="6:6" x14ac:dyDescent="0.3">
      <c r="F958"/>
    </row>
    <row r="959" spans="6:6" x14ac:dyDescent="0.3">
      <c r="F959"/>
    </row>
    <row r="960" spans="6:6" x14ac:dyDescent="0.3">
      <c r="F960"/>
    </row>
    <row r="961" spans="6:6" x14ac:dyDescent="0.3">
      <c r="F961"/>
    </row>
    <row r="962" spans="6:6" x14ac:dyDescent="0.3">
      <c r="F962"/>
    </row>
    <row r="963" spans="6:6" x14ac:dyDescent="0.3">
      <c r="F963"/>
    </row>
    <row r="964" spans="6:6" x14ac:dyDescent="0.3">
      <c r="F964"/>
    </row>
    <row r="965" spans="6:6" x14ac:dyDescent="0.3">
      <c r="F965"/>
    </row>
    <row r="966" spans="6:6" x14ac:dyDescent="0.3">
      <c r="F966"/>
    </row>
    <row r="967" spans="6:6" x14ac:dyDescent="0.3">
      <c r="F967"/>
    </row>
    <row r="968" spans="6:6" x14ac:dyDescent="0.3">
      <c r="F968"/>
    </row>
    <row r="969" spans="6:6" x14ac:dyDescent="0.3">
      <c r="F969"/>
    </row>
    <row r="970" spans="6:6" x14ac:dyDescent="0.3">
      <c r="F970"/>
    </row>
    <row r="971" spans="6:6" x14ac:dyDescent="0.3">
      <c r="F971"/>
    </row>
    <row r="972" spans="6:6" x14ac:dyDescent="0.3">
      <c r="F972"/>
    </row>
    <row r="973" spans="6:6" x14ac:dyDescent="0.3">
      <c r="F973"/>
    </row>
    <row r="974" spans="6:6" x14ac:dyDescent="0.3">
      <c r="F974"/>
    </row>
    <row r="975" spans="6:6" x14ac:dyDescent="0.3">
      <c r="F975"/>
    </row>
    <row r="976" spans="6:6" x14ac:dyDescent="0.3">
      <c r="F976"/>
    </row>
    <row r="977" spans="6:6" x14ac:dyDescent="0.3">
      <c r="F977"/>
    </row>
    <row r="978" spans="6:6" x14ac:dyDescent="0.3">
      <c r="F978"/>
    </row>
    <row r="979" spans="6:6" x14ac:dyDescent="0.3">
      <c r="F979"/>
    </row>
    <row r="980" spans="6:6" x14ac:dyDescent="0.3">
      <c r="F980"/>
    </row>
    <row r="981" spans="6:6" x14ac:dyDescent="0.3">
      <c r="F981"/>
    </row>
    <row r="982" spans="6:6" x14ac:dyDescent="0.3">
      <c r="F982"/>
    </row>
    <row r="983" spans="6:6" x14ac:dyDescent="0.3">
      <c r="F983"/>
    </row>
    <row r="984" spans="6:6" x14ac:dyDescent="0.3">
      <c r="F984"/>
    </row>
    <row r="985" spans="6:6" x14ac:dyDescent="0.3">
      <c r="F985"/>
    </row>
    <row r="986" spans="6:6" x14ac:dyDescent="0.3">
      <c r="F986"/>
    </row>
    <row r="987" spans="6:6" x14ac:dyDescent="0.3">
      <c r="F987"/>
    </row>
    <row r="988" spans="6:6" x14ac:dyDescent="0.3">
      <c r="F988"/>
    </row>
    <row r="989" spans="6:6" x14ac:dyDescent="0.3">
      <c r="F989"/>
    </row>
    <row r="990" spans="6:6" x14ac:dyDescent="0.3">
      <c r="F990"/>
    </row>
    <row r="991" spans="6:6" x14ac:dyDescent="0.3">
      <c r="F991"/>
    </row>
    <row r="992" spans="6:6" x14ac:dyDescent="0.3">
      <c r="F992"/>
    </row>
    <row r="993" spans="6:6" x14ac:dyDescent="0.3">
      <c r="F993"/>
    </row>
    <row r="994" spans="6:6" x14ac:dyDescent="0.3">
      <c r="F994"/>
    </row>
    <row r="995" spans="6:6" x14ac:dyDescent="0.3">
      <c r="F995"/>
    </row>
    <row r="996" spans="6:6" x14ac:dyDescent="0.3">
      <c r="F996"/>
    </row>
    <row r="997" spans="6:6" x14ac:dyDescent="0.3">
      <c r="F997"/>
    </row>
    <row r="998" spans="6:6" x14ac:dyDescent="0.3">
      <c r="F998"/>
    </row>
    <row r="999" spans="6:6" x14ac:dyDescent="0.3">
      <c r="F999"/>
    </row>
    <row r="1000" spans="6:6" x14ac:dyDescent="0.3">
      <c r="F1000"/>
    </row>
    <row r="1001" spans="6:6" x14ac:dyDescent="0.3">
      <c r="F1001"/>
    </row>
    <row r="1002" spans="6:6" x14ac:dyDescent="0.3">
      <c r="F1002"/>
    </row>
    <row r="1003" spans="6:6" x14ac:dyDescent="0.3">
      <c r="F1003"/>
    </row>
    <row r="1004" spans="6:6" x14ac:dyDescent="0.3">
      <c r="F1004"/>
    </row>
    <row r="1005" spans="6:6" x14ac:dyDescent="0.3">
      <c r="F1005"/>
    </row>
    <row r="1006" spans="6:6" x14ac:dyDescent="0.3">
      <c r="F1006"/>
    </row>
    <row r="1007" spans="6:6" x14ac:dyDescent="0.3">
      <c r="F1007"/>
    </row>
    <row r="1008" spans="6:6" x14ac:dyDescent="0.3">
      <c r="F1008"/>
    </row>
    <row r="1009" spans="6:6" x14ac:dyDescent="0.3">
      <c r="F1009"/>
    </row>
    <row r="1010" spans="6:6" x14ac:dyDescent="0.3">
      <c r="F1010"/>
    </row>
    <row r="1011" spans="6:6" x14ac:dyDescent="0.3">
      <c r="F1011"/>
    </row>
    <row r="1012" spans="6:6" x14ac:dyDescent="0.3">
      <c r="F1012"/>
    </row>
    <row r="1013" spans="6:6" x14ac:dyDescent="0.3">
      <c r="F1013"/>
    </row>
    <row r="1014" spans="6:6" x14ac:dyDescent="0.3">
      <c r="F1014"/>
    </row>
    <row r="1015" spans="6:6" x14ac:dyDescent="0.3">
      <c r="F1015"/>
    </row>
    <row r="1016" spans="6:6" x14ac:dyDescent="0.3">
      <c r="F1016"/>
    </row>
    <row r="1017" spans="6:6" x14ac:dyDescent="0.3">
      <c r="F1017"/>
    </row>
    <row r="1018" spans="6:6" x14ac:dyDescent="0.3">
      <c r="F1018"/>
    </row>
    <row r="1019" spans="6:6" x14ac:dyDescent="0.3">
      <c r="F1019"/>
    </row>
    <row r="1020" spans="6:6" x14ac:dyDescent="0.3">
      <c r="F1020"/>
    </row>
    <row r="1021" spans="6:6" x14ac:dyDescent="0.3">
      <c r="F1021"/>
    </row>
    <row r="1022" spans="6:6" x14ac:dyDescent="0.3">
      <c r="F1022"/>
    </row>
    <row r="1023" spans="6:6" x14ac:dyDescent="0.3">
      <c r="F1023"/>
    </row>
    <row r="1024" spans="6:6" x14ac:dyDescent="0.3">
      <c r="F1024"/>
    </row>
    <row r="1025" spans="6:6" x14ac:dyDescent="0.3">
      <c r="F1025"/>
    </row>
    <row r="1026" spans="6:6" x14ac:dyDescent="0.3">
      <c r="F1026"/>
    </row>
    <row r="1027" spans="6:6" x14ac:dyDescent="0.3">
      <c r="F1027"/>
    </row>
    <row r="1028" spans="6:6" x14ac:dyDescent="0.3">
      <c r="F1028"/>
    </row>
    <row r="1029" spans="6:6" x14ac:dyDescent="0.3">
      <c r="F1029"/>
    </row>
    <row r="1030" spans="6:6" x14ac:dyDescent="0.3">
      <c r="F1030"/>
    </row>
    <row r="1031" spans="6:6" x14ac:dyDescent="0.3">
      <c r="F1031"/>
    </row>
    <row r="1032" spans="6:6" x14ac:dyDescent="0.3">
      <c r="F1032"/>
    </row>
    <row r="1033" spans="6:6" x14ac:dyDescent="0.3">
      <c r="F1033"/>
    </row>
    <row r="1034" spans="6:6" x14ac:dyDescent="0.3">
      <c r="F1034"/>
    </row>
    <row r="1035" spans="6:6" x14ac:dyDescent="0.3">
      <c r="F1035"/>
    </row>
    <row r="1036" spans="6:6" x14ac:dyDescent="0.3">
      <c r="F1036"/>
    </row>
    <row r="1037" spans="6:6" x14ac:dyDescent="0.3">
      <c r="F1037"/>
    </row>
    <row r="1038" spans="6:6" x14ac:dyDescent="0.3">
      <c r="F1038"/>
    </row>
    <row r="1039" spans="6:6" x14ac:dyDescent="0.3">
      <c r="F1039"/>
    </row>
    <row r="1040" spans="6:6" x14ac:dyDescent="0.3">
      <c r="F1040"/>
    </row>
    <row r="1041" spans="6:6" x14ac:dyDescent="0.3">
      <c r="F1041"/>
    </row>
    <row r="1042" spans="6:6" x14ac:dyDescent="0.3">
      <c r="F1042"/>
    </row>
    <row r="1043" spans="6:6" x14ac:dyDescent="0.3">
      <c r="F1043"/>
    </row>
    <row r="1044" spans="6:6" x14ac:dyDescent="0.3">
      <c r="F1044"/>
    </row>
    <row r="1045" spans="6:6" x14ac:dyDescent="0.3">
      <c r="F1045"/>
    </row>
    <row r="1046" spans="6:6" x14ac:dyDescent="0.3">
      <c r="F1046"/>
    </row>
    <row r="1047" spans="6:6" x14ac:dyDescent="0.3">
      <c r="F1047"/>
    </row>
    <row r="1048" spans="6:6" x14ac:dyDescent="0.3">
      <c r="F1048"/>
    </row>
    <row r="1049" spans="6:6" x14ac:dyDescent="0.3">
      <c r="F1049"/>
    </row>
    <row r="1050" spans="6:6" x14ac:dyDescent="0.3">
      <c r="F1050"/>
    </row>
    <row r="1051" spans="6:6" x14ac:dyDescent="0.3">
      <c r="F1051"/>
    </row>
    <row r="1052" spans="6:6" x14ac:dyDescent="0.3">
      <c r="F1052"/>
    </row>
    <row r="1053" spans="6:6" x14ac:dyDescent="0.3">
      <c r="F1053"/>
    </row>
    <row r="1054" spans="6:6" x14ac:dyDescent="0.3">
      <c r="F1054"/>
    </row>
    <row r="1055" spans="6:6" x14ac:dyDescent="0.3">
      <c r="F1055"/>
    </row>
    <row r="1056" spans="6:6" x14ac:dyDescent="0.3">
      <c r="F1056"/>
    </row>
    <row r="1057" spans="6:6" x14ac:dyDescent="0.3">
      <c r="F1057"/>
    </row>
    <row r="1058" spans="6:6" x14ac:dyDescent="0.3">
      <c r="F1058"/>
    </row>
    <row r="1059" spans="6:6" x14ac:dyDescent="0.3">
      <c r="F1059"/>
    </row>
    <row r="1060" spans="6:6" x14ac:dyDescent="0.3">
      <c r="F1060"/>
    </row>
    <row r="1061" spans="6:6" x14ac:dyDescent="0.3">
      <c r="F1061"/>
    </row>
    <row r="1062" spans="6:6" x14ac:dyDescent="0.3">
      <c r="F1062"/>
    </row>
    <row r="1063" spans="6:6" x14ac:dyDescent="0.3">
      <c r="F1063"/>
    </row>
    <row r="1064" spans="6:6" x14ac:dyDescent="0.3">
      <c r="F1064"/>
    </row>
    <row r="1065" spans="6:6" x14ac:dyDescent="0.3">
      <c r="F1065"/>
    </row>
    <row r="1066" spans="6:6" x14ac:dyDescent="0.3">
      <c r="F1066"/>
    </row>
    <row r="1067" spans="6:6" x14ac:dyDescent="0.3">
      <c r="F1067"/>
    </row>
    <row r="1068" spans="6:6" x14ac:dyDescent="0.3">
      <c r="F1068"/>
    </row>
    <row r="1069" spans="6:6" x14ac:dyDescent="0.3">
      <c r="F1069"/>
    </row>
    <row r="1070" spans="6:6" x14ac:dyDescent="0.3">
      <c r="F1070"/>
    </row>
    <row r="1071" spans="6:6" x14ac:dyDescent="0.3">
      <c r="F1071"/>
    </row>
    <row r="1072" spans="6:6" x14ac:dyDescent="0.3">
      <c r="F1072"/>
    </row>
    <row r="1073" spans="6:6" x14ac:dyDescent="0.3">
      <c r="F1073"/>
    </row>
    <row r="1074" spans="6:6" x14ac:dyDescent="0.3">
      <c r="F1074"/>
    </row>
    <row r="1075" spans="6:6" x14ac:dyDescent="0.3">
      <c r="F1075"/>
    </row>
    <row r="1076" spans="6:6" x14ac:dyDescent="0.3">
      <c r="F1076"/>
    </row>
    <row r="1077" spans="6:6" x14ac:dyDescent="0.3">
      <c r="F1077"/>
    </row>
    <row r="1078" spans="6:6" x14ac:dyDescent="0.3">
      <c r="F1078"/>
    </row>
    <row r="1079" spans="6:6" x14ac:dyDescent="0.3">
      <c r="F1079"/>
    </row>
    <row r="1080" spans="6:6" x14ac:dyDescent="0.3">
      <c r="F1080"/>
    </row>
    <row r="1081" spans="6:6" x14ac:dyDescent="0.3">
      <c r="F1081"/>
    </row>
    <row r="1082" spans="6:6" x14ac:dyDescent="0.3">
      <c r="F1082"/>
    </row>
    <row r="1083" spans="6:6" x14ac:dyDescent="0.3">
      <c r="F1083"/>
    </row>
    <row r="1084" spans="6:6" x14ac:dyDescent="0.3">
      <c r="F1084"/>
    </row>
    <row r="1085" spans="6:6" x14ac:dyDescent="0.3">
      <c r="F1085"/>
    </row>
    <row r="1086" spans="6:6" x14ac:dyDescent="0.3">
      <c r="F1086"/>
    </row>
    <row r="1087" spans="6:6" x14ac:dyDescent="0.3">
      <c r="F1087"/>
    </row>
    <row r="1088" spans="6:6" x14ac:dyDescent="0.3">
      <c r="F1088"/>
    </row>
    <row r="1089" spans="6:6" x14ac:dyDescent="0.3">
      <c r="F1089"/>
    </row>
    <row r="1090" spans="6:6" x14ac:dyDescent="0.3">
      <c r="F1090"/>
    </row>
    <row r="1091" spans="6:6" x14ac:dyDescent="0.3">
      <c r="F1091"/>
    </row>
    <row r="1092" spans="6:6" x14ac:dyDescent="0.3">
      <c r="F1092"/>
    </row>
    <row r="1093" spans="6:6" x14ac:dyDescent="0.3">
      <c r="F1093"/>
    </row>
    <row r="1094" spans="6:6" x14ac:dyDescent="0.3">
      <c r="F1094"/>
    </row>
    <row r="1095" spans="6:6" x14ac:dyDescent="0.3">
      <c r="F1095"/>
    </row>
    <row r="1096" spans="6:6" x14ac:dyDescent="0.3">
      <c r="F1096"/>
    </row>
    <row r="1097" spans="6:6" x14ac:dyDescent="0.3">
      <c r="F1097"/>
    </row>
    <row r="1098" spans="6:6" x14ac:dyDescent="0.3">
      <c r="F1098"/>
    </row>
    <row r="1099" spans="6:6" x14ac:dyDescent="0.3">
      <c r="F1099"/>
    </row>
    <row r="1100" spans="6:6" x14ac:dyDescent="0.3">
      <c r="F1100"/>
    </row>
    <row r="1101" spans="6:6" x14ac:dyDescent="0.3">
      <c r="F1101"/>
    </row>
    <row r="1102" spans="6:6" x14ac:dyDescent="0.3">
      <c r="F1102"/>
    </row>
    <row r="1103" spans="6:6" x14ac:dyDescent="0.3">
      <c r="F1103"/>
    </row>
    <row r="1104" spans="6:6" x14ac:dyDescent="0.3">
      <c r="F1104"/>
    </row>
    <row r="1105" spans="6:6" x14ac:dyDescent="0.3">
      <c r="F1105"/>
    </row>
    <row r="1106" spans="6:6" x14ac:dyDescent="0.3">
      <c r="F1106"/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2023 Sales Summary</vt:lpstr>
      <vt:lpstr>IS 2023</vt:lpstr>
      <vt:lpstr>CF 2023</vt:lpstr>
      <vt:lpstr>BS 2023</vt:lpstr>
      <vt:lpstr>Statements Summary 2023</vt:lpstr>
      <vt:lpstr>2024 Sales Summary</vt:lpstr>
      <vt:lpstr>IS 2024</vt:lpstr>
      <vt:lpstr>CF 2024</vt:lpstr>
      <vt:lpstr>BS 2024</vt:lpstr>
      <vt:lpstr>Statements Summary 2024</vt:lpstr>
      <vt:lpstr>2025 Sales Summary</vt:lpstr>
      <vt:lpstr>IS 2025</vt:lpstr>
      <vt:lpstr>CF 2025</vt:lpstr>
      <vt:lpstr>BS 2025</vt:lpstr>
      <vt:lpstr>Statements Summary 2025</vt:lpstr>
      <vt:lpstr>2026 Sales Summary</vt:lpstr>
      <vt:lpstr>IS 2026</vt:lpstr>
      <vt:lpstr>CF 2026</vt:lpstr>
      <vt:lpstr>BS 2026</vt:lpstr>
      <vt:lpstr>Statements Summary 2026</vt:lpstr>
      <vt:lpstr>2027 Sales Summary</vt:lpstr>
      <vt:lpstr>IS 2027</vt:lpstr>
      <vt:lpstr>CF 2027</vt:lpstr>
      <vt:lpstr>BS 2027</vt:lpstr>
      <vt:lpstr>Statements Summary 2027</vt:lpstr>
      <vt:lpstr>Sales Summary Charts</vt:lpstr>
      <vt:lpstr>BEA</vt:lpstr>
      <vt:lpstr>Top Expenses</vt:lpstr>
      <vt:lpstr>Salaries Assumptions</vt:lpstr>
      <vt:lpstr>Services Assumptions </vt:lpstr>
      <vt:lpstr>COGS Assumptions</vt:lpstr>
      <vt:lpstr>Planned Hours of Work</vt:lpstr>
      <vt:lpstr>KPI Stage Financials</vt:lpstr>
      <vt:lpstr>KPI Spend</vt:lpstr>
      <vt:lpstr>Benchmarking Plan Over Time</vt:lpstr>
      <vt:lpstr>TimeData</vt:lpstr>
      <vt:lpstr>Unit Usage</vt:lpstr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Sharp</dc:creator>
  <cp:lastModifiedBy>Roger Sharp</cp:lastModifiedBy>
  <dcterms:created xsi:type="dcterms:W3CDTF">2023-11-23T10:27:01Z</dcterms:created>
  <dcterms:modified xsi:type="dcterms:W3CDTF">2024-05-23T19:27:34Z</dcterms:modified>
</cp:coreProperties>
</file>