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6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7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8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9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9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0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1.xml" ContentType="application/vnd.openxmlformats-officedocument.drawingml.chart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4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11.xml" ContentType="application/vnd.openxmlformats-officedocument.drawing+xml"/>
  <Override PartName="/xl/charts/chart55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6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7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8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12.xml" ContentType="application/vnd.openxmlformats-officedocument.drawing+xml"/>
  <Override PartName="/xl/charts/chart59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60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1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2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3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4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5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6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7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8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9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70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\Desktop\MPP\Flevy\Solar Energy Solutions\EV Charging Station\"/>
    </mc:Choice>
  </mc:AlternateContent>
  <xr:revisionPtr revIDLastSave="0" documentId="13_ncr:1_{765DF637-9CD6-4143-8C31-3714F8EBFAF4}" xr6:coauthVersionLast="47" xr6:coauthVersionMax="47" xr10:uidLastSave="{00000000-0000-0000-0000-000000000000}"/>
  <bookViews>
    <workbookView xWindow="-108" yWindow="-108" windowWidth="23256" windowHeight="13896" tabRatio="934" xr2:uid="{152CE74B-ACBB-4039-8F2C-96E2E3436DFB}"/>
  </bookViews>
  <sheets>
    <sheet name="IS 2023" sheetId="23" r:id="rId1"/>
    <sheet name="CF 2023" sheetId="24" r:id="rId2"/>
    <sheet name="BS 2023" sheetId="25" r:id="rId3"/>
    <sheet name="Statements Summary 2023" sheetId="30" r:id="rId4"/>
    <sheet name="Dashboard" sheetId="56" r:id="rId5"/>
    <sheet name="IS 2024" sheetId="26" r:id="rId6"/>
    <sheet name="CF 2024" sheetId="33" r:id="rId7"/>
    <sheet name="BS 2024" sheetId="40" r:id="rId8"/>
    <sheet name="Statements Summary 2024" sheetId="31" r:id="rId9"/>
    <sheet name="IS 2025" sheetId="27" r:id="rId10"/>
    <sheet name="CF 2025" sheetId="37" r:id="rId11"/>
    <sheet name="BS 2025" sheetId="41" r:id="rId12"/>
    <sheet name="Statements Summary 2025" sheetId="32" r:id="rId13"/>
    <sheet name="IS 2026" sheetId="28" r:id="rId14"/>
    <sheet name="CF 2026" sheetId="38" r:id="rId15"/>
    <sheet name="BS 2026" sheetId="42" r:id="rId16"/>
    <sheet name="Statements Summary 2026" sheetId="44" r:id="rId17"/>
    <sheet name="IS 2027" sheetId="29" r:id="rId18"/>
    <sheet name="CF 2027" sheetId="39" r:id="rId19"/>
    <sheet name="BS 2027" sheetId="43" r:id="rId20"/>
    <sheet name="Statements Summary 2027" sheetId="45" r:id="rId21"/>
    <sheet name="BEA" sheetId="3" r:id="rId22"/>
    <sheet name="Top Expenses" sheetId="9" r:id="rId23"/>
    <sheet name="Salaries Assumptions" sheetId="11" r:id="rId24"/>
    <sheet name="Services Assumptions " sheetId="47" r:id="rId25"/>
    <sheet name="COGS Assumptions" sheetId="48" r:id="rId26"/>
    <sheet name="Servcies Team Upselling %" sheetId="16" r:id="rId27"/>
    <sheet name="KPI Stage Financials" sheetId="17" r:id="rId28"/>
    <sheet name="KPI Spend" sheetId="15" r:id="rId29"/>
    <sheet name="Benchmarking Plan Over Time" sheetId="21" r:id="rId30"/>
    <sheet name="TimeData" sheetId="20" r:id="rId31"/>
    <sheet name="Unit Usage" sheetId="10" r:id="rId32"/>
    <sheet name="Calculations" sheetId="2" r:id="rId33"/>
    <sheet name="Sheet2" sheetId="57" r:id="rId34"/>
  </sheets>
  <definedNames>
    <definedName name="List_Yes_No">#REF!</definedName>
    <definedName name="market_inputs_climate_benefit">#REF!</definedName>
    <definedName name="market_inputs_co2e_gasoline">#REF!</definedName>
    <definedName name="market_inputs_electrical_grid_benefit">#REF!</definedName>
    <definedName name="market_inputs_electrical_grid_emissions_rate">#REF!</definedName>
    <definedName name="market_inputs_energy_security_benefit">#REF!</definedName>
    <definedName name="market_inputs_ev_fuel_economy">#REF!</definedName>
    <definedName name="market_inputs_gasoline_fuel_economy">#REF!</definedName>
    <definedName name="ooi_climate_share">#REF!</definedName>
    <definedName name="ooi_electrical_grid_share">#REF!</definedName>
    <definedName name="ooi_energy_security_share">#REF!</definedName>
    <definedName name="ooi_type_1_share_onsite_energy_generation">#REF!</definedName>
    <definedName name="ooi_type_1_total_number_of_sites">#REF!</definedName>
    <definedName name="ooi_type_1_total_number_of_stations">#REF!</definedName>
    <definedName name="ooi_type_2_share_onsite_energy_generation">#REF!</definedName>
    <definedName name="ooi_type_2_total_number_of_stations">#REF!</definedName>
    <definedName name="ooi_type_3_share_onsite_energy_generation">#REF!</definedName>
    <definedName name="ooi_type_3_total_number_of_stations">#REF!</definedName>
    <definedName name="psp_electric_utility_benefit_capture">#REF!</definedName>
    <definedName name="pusp_equity_return_ca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6" i="11" l="1"/>
  <c r="P36" i="11"/>
  <c r="O36" i="11"/>
  <c r="N36" i="11"/>
  <c r="M36" i="11"/>
  <c r="L36" i="11"/>
  <c r="K36" i="11"/>
  <c r="J36" i="11"/>
  <c r="I36" i="11"/>
  <c r="H36" i="11"/>
  <c r="H31" i="11"/>
  <c r="H32" i="11"/>
  <c r="H33" i="11"/>
  <c r="H34" i="11"/>
  <c r="H35" i="11"/>
  <c r="C31" i="11"/>
  <c r="C32" i="11"/>
  <c r="C33" i="11"/>
  <c r="C34" i="11"/>
  <c r="C35" i="11"/>
  <c r="C36" i="11"/>
  <c r="C30" i="11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E76" i="16"/>
  <c r="C76" i="16"/>
  <c r="B76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E42" i="16"/>
  <c r="C42" i="16"/>
  <c r="B42" i="16"/>
  <c r="E8" i="16"/>
  <c r="C8" i="16"/>
  <c r="G77" i="24"/>
  <c r="G78" i="24"/>
  <c r="G77" i="37"/>
  <c r="I77" i="24"/>
  <c r="L6" i="32"/>
  <c r="M6" i="32"/>
  <c r="N6" i="32"/>
  <c r="O6" i="32"/>
  <c r="P6" i="32"/>
  <c r="Q6" i="32"/>
  <c r="R6" i="32"/>
  <c r="S6" i="32"/>
  <c r="T6" i="32"/>
  <c r="U6" i="32"/>
  <c r="V6" i="32"/>
  <c r="K6" i="32"/>
  <c r="G6" i="32"/>
  <c r="L6" i="31"/>
  <c r="M6" i="31"/>
  <c r="N6" i="31"/>
  <c r="O6" i="31"/>
  <c r="P6" i="31"/>
  <c r="Q6" i="31"/>
  <c r="R6" i="31"/>
  <c r="S6" i="31"/>
  <c r="T6" i="31"/>
  <c r="U6" i="31"/>
  <c r="V6" i="31"/>
  <c r="K6" i="31"/>
  <c r="G6" i="31"/>
  <c r="F6" i="31"/>
  <c r="L5" i="30"/>
  <c r="M5" i="30"/>
  <c r="N5" i="30"/>
  <c r="O5" i="30"/>
  <c r="P5" i="30"/>
  <c r="Q5" i="30"/>
  <c r="R5" i="30"/>
  <c r="S5" i="30"/>
  <c r="T5" i="30"/>
  <c r="U5" i="30"/>
  <c r="V5" i="30"/>
  <c r="K5" i="30"/>
  <c r="E5" i="30"/>
  <c r="G6" i="30"/>
  <c r="F6" i="30"/>
  <c r="L6" i="30"/>
  <c r="M6" i="30"/>
  <c r="N6" i="30"/>
  <c r="O6" i="30"/>
  <c r="P6" i="30"/>
  <c r="Q6" i="30"/>
  <c r="R6" i="30"/>
  <c r="S6" i="30"/>
  <c r="T6" i="30"/>
  <c r="U6" i="30"/>
  <c r="V6" i="30"/>
  <c r="K6" i="30"/>
  <c r="E6" i="30"/>
  <c r="G53" i="2"/>
  <c r="F53" i="2"/>
  <c r="E53" i="2"/>
  <c r="D53" i="2"/>
  <c r="C53" i="2"/>
  <c r="G52" i="2"/>
  <c r="F52" i="2"/>
  <c r="E52" i="2"/>
  <c r="D52" i="2"/>
  <c r="C52" i="2"/>
  <c r="G51" i="2"/>
  <c r="F51" i="2"/>
  <c r="E51" i="2"/>
  <c r="D51" i="2"/>
  <c r="C51" i="2"/>
  <c r="G49" i="2"/>
  <c r="F49" i="2"/>
  <c r="E49" i="2"/>
  <c r="D49" i="2"/>
  <c r="C49" i="2"/>
  <c r="G48" i="2"/>
  <c r="F48" i="2"/>
  <c r="E48" i="2"/>
  <c r="D48" i="2"/>
  <c r="C48" i="2"/>
  <c r="G47" i="2"/>
  <c r="F47" i="2"/>
  <c r="E47" i="2"/>
  <c r="D47" i="2"/>
  <c r="C47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C10" i="24"/>
  <c r="H13" i="56"/>
  <c r="H38" i="39"/>
  <c r="I38" i="39"/>
  <c r="J38" i="39"/>
  <c r="K38" i="39"/>
  <c r="L38" i="39"/>
  <c r="M38" i="39"/>
  <c r="N38" i="39"/>
  <c r="O38" i="39"/>
  <c r="P38" i="39"/>
  <c r="Q38" i="39"/>
  <c r="R38" i="39"/>
  <c r="G38" i="39"/>
  <c r="H10" i="56"/>
  <c r="H9" i="56"/>
  <c r="H8" i="56"/>
  <c r="H7" i="56"/>
  <c r="H5" i="56"/>
  <c r="H4" i="56"/>
  <c r="H3" i="56"/>
  <c r="G13" i="56"/>
  <c r="G10" i="56"/>
  <c r="G9" i="56"/>
  <c r="G7" i="56"/>
  <c r="G5" i="56"/>
  <c r="G4" i="56"/>
  <c r="G3" i="56"/>
  <c r="U34" i="28"/>
  <c r="F13" i="56" l="1"/>
  <c r="F10" i="56"/>
  <c r="F9" i="56"/>
  <c r="F7" i="56"/>
  <c r="F5" i="56"/>
  <c r="F4" i="56"/>
  <c r="F3" i="56"/>
  <c r="E10" i="56"/>
  <c r="E9" i="56"/>
  <c r="E7" i="56"/>
  <c r="E5" i="56"/>
  <c r="E4" i="56"/>
  <c r="U34" i="26"/>
  <c r="E3" i="56" s="1"/>
  <c r="D4" i="56"/>
  <c r="D7" i="56"/>
  <c r="R28" i="28"/>
  <c r="S28" i="28"/>
  <c r="T28" i="28"/>
  <c r="R29" i="28"/>
  <c r="S29" i="28"/>
  <c r="T29" i="28"/>
  <c r="S27" i="28"/>
  <c r="T27" i="28"/>
  <c r="R27" i="28"/>
  <c r="R20" i="28"/>
  <c r="S20" i="28"/>
  <c r="T20" i="28"/>
  <c r="R21" i="28"/>
  <c r="U21" i="28" s="1"/>
  <c r="S21" i="28"/>
  <c r="T21" i="28"/>
  <c r="S19" i="28"/>
  <c r="T19" i="28"/>
  <c r="R19" i="28"/>
  <c r="R12" i="28"/>
  <c r="S12" i="28"/>
  <c r="T12" i="28"/>
  <c r="U14" i="38" s="1"/>
  <c r="R13" i="28"/>
  <c r="U13" i="28" s="1"/>
  <c r="S13" i="28"/>
  <c r="T13" i="28"/>
  <c r="S11" i="28"/>
  <c r="T11" i="28"/>
  <c r="R11" i="28"/>
  <c r="U34" i="27"/>
  <c r="T34" i="27"/>
  <c r="R28" i="27"/>
  <c r="S28" i="27"/>
  <c r="T28" i="27"/>
  <c r="R29" i="27"/>
  <c r="S29" i="27"/>
  <c r="T32" i="37" s="1"/>
  <c r="T29" i="27"/>
  <c r="U32" i="37" s="1"/>
  <c r="S27" i="27"/>
  <c r="T27" i="27"/>
  <c r="R27" i="27"/>
  <c r="R20" i="27"/>
  <c r="S20" i="27"/>
  <c r="T20" i="27"/>
  <c r="R21" i="27"/>
  <c r="S21" i="27"/>
  <c r="S22" i="27" s="1"/>
  <c r="S24" i="27" s="1"/>
  <c r="T21" i="27"/>
  <c r="T22" i="27" s="1"/>
  <c r="S19" i="27"/>
  <c r="T19" i="27"/>
  <c r="R19" i="27"/>
  <c r="R12" i="27"/>
  <c r="S12" i="27"/>
  <c r="T12" i="27"/>
  <c r="R13" i="27"/>
  <c r="S16" i="37" s="1"/>
  <c r="S13" i="27"/>
  <c r="T16" i="37" s="1"/>
  <c r="T13" i="27"/>
  <c r="U16" i="37" s="1"/>
  <c r="S11" i="27"/>
  <c r="T11" i="27"/>
  <c r="R11" i="27"/>
  <c r="Q43" i="27"/>
  <c r="U27" i="33"/>
  <c r="R28" i="26"/>
  <c r="S28" i="26"/>
  <c r="T28" i="26"/>
  <c r="R29" i="26"/>
  <c r="R30" i="26" s="1"/>
  <c r="R32" i="26" s="1"/>
  <c r="S32" i="33" s="1"/>
  <c r="S29" i="26"/>
  <c r="S30" i="26" s="1"/>
  <c r="T29" i="26"/>
  <c r="S27" i="26"/>
  <c r="T27" i="26"/>
  <c r="R27" i="26"/>
  <c r="R20" i="26"/>
  <c r="S20" i="26"/>
  <c r="T20" i="26"/>
  <c r="R21" i="26"/>
  <c r="S21" i="26"/>
  <c r="T21" i="26"/>
  <c r="S19" i="26"/>
  <c r="T19" i="26"/>
  <c r="R19" i="26"/>
  <c r="R12" i="26"/>
  <c r="S12" i="26"/>
  <c r="T12" i="26"/>
  <c r="R13" i="26"/>
  <c r="S13" i="26"/>
  <c r="T13" i="26"/>
  <c r="U13" i="26" s="1"/>
  <c r="V13" i="33" s="1"/>
  <c r="S11" i="26"/>
  <c r="T11" i="26"/>
  <c r="R11" i="26"/>
  <c r="R22" i="33"/>
  <c r="S20" i="33"/>
  <c r="T20" i="33"/>
  <c r="U20" i="33"/>
  <c r="S21" i="33"/>
  <c r="T21" i="33"/>
  <c r="U21" i="33"/>
  <c r="T19" i="33"/>
  <c r="U19" i="33"/>
  <c r="S19" i="33"/>
  <c r="S12" i="33"/>
  <c r="T12" i="33"/>
  <c r="U12" i="33"/>
  <c r="S13" i="33"/>
  <c r="T13" i="33"/>
  <c r="U13" i="33"/>
  <c r="T11" i="33"/>
  <c r="U11" i="33"/>
  <c r="S11" i="33"/>
  <c r="H29" i="39"/>
  <c r="I29" i="39"/>
  <c r="J29" i="39"/>
  <c r="K29" i="39"/>
  <c r="L29" i="39"/>
  <c r="M29" i="39"/>
  <c r="N29" i="39"/>
  <c r="O29" i="39"/>
  <c r="P29" i="39"/>
  <c r="Q29" i="39"/>
  <c r="R29" i="39"/>
  <c r="H30" i="39"/>
  <c r="I30" i="39"/>
  <c r="J30" i="39"/>
  <c r="K30" i="39"/>
  <c r="L30" i="39"/>
  <c r="M30" i="39"/>
  <c r="N30" i="39"/>
  <c r="O30" i="39"/>
  <c r="P30" i="39"/>
  <c r="Q30" i="39"/>
  <c r="R30" i="39"/>
  <c r="H31" i="39"/>
  <c r="I31" i="39"/>
  <c r="J31" i="39"/>
  <c r="K31" i="39"/>
  <c r="L31" i="39"/>
  <c r="M31" i="39"/>
  <c r="N31" i="39"/>
  <c r="O31" i="39"/>
  <c r="P31" i="39"/>
  <c r="Q31" i="39"/>
  <c r="R31" i="39"/>
  <c r="G30" i="39"/>
  <c r="G31" i="39"/>
  <c r="G29" i="39"/>
  <c r="G32" i="39" s="1"/>
  <c r="G34" i="39" s="1"/>
  <c r="H21" i="39"/>
  <c r="I21" i="39"/>
  <c r="J21" i="39"/>
  <c r="K21" i="39"/>
  <c r="L21" i="39"/>
  <c r="M21" i="39"/>
  <c r="N21" i="39"/>
  <c r="O21" i="39"/>
  <c r="P21" i="39"/>
  <c r="Q21" i="39"/>
  <c r="R21" i="39"/>
  <c r="H22" i="39"/>
  <c r="I22" i="39"/>
  <c r="J22" i="39"/>
  <c r="K22" i="39"/>
  <c r="L22" i="39"/>
  <c r="M22" i="39"/>
  <c r="N22" i="39"/>
  <c r="O22" i="39"/>
  <c r="P22" i="39"/>
  <c r="Q22" i="39"/>
  <c r="R22" i="39"/>
  <c r="H23" i="39"/>
  <c r="I23" i="39"/>
  <c r="J23" i="39"/>
  <c r="K23" i="39"/>
  <c r="L23" i="39"/>
  <c r="M23" i="39"/>
  <c r="N23" i="39"/>
  <c r="O23" i="39"/>
  <c r="P23" i="39"/>
  <c r="Q23" i="39"/>
  <c r="R23" i="39"/>
  <c r="G22" i="39"/>
  <c r="G23" i="39"/>
  <c r="G21" i="39"/>
  <c r="H13" i="39"/>
  <c r="I13" i="39"/>
  <c r="J13" i="39"/>
  <c r="K13" i="39"/>
  <c r="L13" i="39"/>
  <c r="M13" i="39"/>
  <c r="N13" i="39"/>
  <c r="O13" i="39"/>
  <c r="P13" i="39"/>
  <c r="Q13" i="39"/>
  <c r="R13" i="39"/>
  <c r="H14" i="39"/>
  <c r="I14" i="39"/>
  <c r="J14" i="39"/>
  <c r="K14" i="39"/>
  <c r="L14" i="39"/>
  <c r="M14" i="39"/>
  <c r="N14" i="39"/>
  <c r="O14" i="39"/>
  <c r="P14" i="39"/>
  <c r="Q14" i="39"/>
  <c r="R14" i="39"/>
  <c r="H15" i="39"/>
  <c r="I15" i="39"/>
  <c r="J15" i="39"/>
  <c r="K15" i="39"/>
  <c r="L15" i="39"/>
  <c r="M15" i="39"/>
  <c r="N15" i="39"/>
  <c r="O15" i="39"/>
  <c r="P15" i="39"/>
  <c r="Q15" i="39"/>
  <c r="R15" i="39"/>
  <c r="G14" i="39"/>
  <c r="G15" i="39"/>
  <c r="G13" i="39"/>
  <c r="G16" i="39" s="1"/>
  <c r="G18" i="39" s="1"/>
  <c r="G11" i="38"/>
  <c r="U33" i="39"/>
  <c r="U25" i="39"/>
  <c r="U17" i="39"/>
  <c r="U31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Q27" i="29"/>
  <c r="P27" i="29"/>
  <c r="O27" i="29"/>
  <c r="N27" i="29"/>
  <c r="N30" i="29" s="1"/>
  <c r="N32" i="29" s="1"/>
  <c r="M27" i="29"/>
  <c r="M30" i="29" s="1"/>
  <c r="M32" i="29" s="1"/>
  <c r="L27" i="29"/>
  <c r="K27" i="29"/>
  <c r="J27" i="29"/>
  <c r="I27" i="29"/>
  <c r="H27" i="29"/>
  <c r="G27" i="29"/>
  <c r="F27" i="29"/>
  <c r="F30" i="29" s="1"/>
  <c r="U23" i="29"/>
  <c r="Q22" i="29"/>
  <c r="Q24" i="29" s="1"/>
  <c r="P22" i="29"/>
  <c r="P24" i="29" s="1"/>
  <c r="O22" i="29"/>
  <c r="O24" i="29" s="1"/>
  <c r="N22" i="29"/>
  <c r="N24" i="29" s="1"/>
  <c r="M22" i="29"/>
  <c r="M24" i="29" s="1"/>
  <c r="L22" i="29"/>
  <c r="L24" i="29" s="1"/>
  <c r="K22" i="29"/>
  <c r="K24" i="29" s="1"/>
  <c r="J22" i="29"/>
  <c r="J24" i="29" s="1"/>
  <c r="I22" i="29"/>
  <c r="I24" i="29" s="1"/>
  <c r="H22" i="29"/>
  <c r="H24" i="29" s="1"/>
  <c r="G22" i="29"/>
  <c r="G24" i="29" s="1"/>
  <c r="F22" i="29"/>
  <c r="F24" i="29" s="1"/>
  <c r="U21" i="29"/>
  <c r="U20" i="29"/>
  <c r="U19" i="29"/>
  <c r="U15" i="29"/>
  <c r="Q14" i="29"/>
  <c r="Q16" i="29" s="1"/>
  <c r="P14" i="29"/>
  <c r="P16" i="29" s="1"/>
  <c r="O14" i="29"/>
  <c r="O16" i="29" s="1"/>
  <c r="N14" i="29"/>
  <c r="N16" i="29" s="1"/>
  <c r="M14" i="29"/>
  <c r="M16" i="29" s="1"/>
  <c r="L14" i="29"/>
  <c r="L16" i="29" s="1"/>
  <c r="K14" i="29"/>
  <c r="K16" i="29" s="1"/>
  <c r="J14" i="29"/>
  <c r="J16" i="29" s="1"/>
  <c r="I14" i="29"/>
  <c r="I16" i="29" s="1"/>
  <c r="H14" i="29"/>
  <c r="H16" i="29" s="1"/>
  <c r="G14" i="29"/>
  <c r="G16" i="29" s="1"/>
  <c r="F14" i="29"/>
  <c r="F16" i="29" s="1"/>
  <c r="U13" i="29"/>
  <c r="U12" i="29"/>
  <c r="U11" i="29"/>
  <c r="H70" i="38"/>
  <c r="I70" i="38"/>
  <c r="J70" i="38"/>
  <c r="K70" i="38"/>
  <c r="L70" i="38"/>
  <c r="M70" i="38"/>
  <c r="N70" i="38"/>
  <c r="O70" i="38"/>
  <c r="P70" i="38"/>
  <c r="Q70" i="38"/>
  <c r="R70" i="38"/>
  <c r="S70" i="38"/>
  <c r="T70" i="38"/>
  <c r="U70" i="38"/>
  <c r="G27" i="28"/>
  <c r="H27" i="28"/>
  <c r="I27" i="28"/>
  <c r="J27" i="28"/>
  <c r="K27" i="28"/>
  <c r="L27" i="28"/>
  <c r="M27" i="28"/>
  <c r="M30" i="28" s="1"/>
  <c r="N27" i="28"/>
  <c r="N30" i="28" s="1"/>
  <c r="N32" i="28" s="1"/>
  <c r="O27" i="28"/>
  <c r="P27" i="28"/>
  <c r="Q27" i="28"/>
  <c r="G28" i="28"/>
  <c r="H28" i="28"/>
  <c r="I28" i="28"/>
  <c r="J28" i="28"/>
  <c r="K28" i="28"/>
  <c r="L28" i="28"/>
  <c r="M28" i="28"/>
  <c r="N28" i="28"/>
  <c r="O28" i="28"/>
  <c r="P28" i="28"/>
  <c r="Q28" i="28"/>
  <c r="G29" i="28"/>
  <c r="H29" i="28"/>
  <c r="I29" i="28"/>
  <c r="J29" i="28"/>
  <c r="K29" i="28"/>
  <c r="L29" i="28"/>
  <c r="M29" i="28"/>
  <c r="N29" i="28"/>
  <c r="O29" i="28"/>
  <c r="P29" i="28"/>
  <c r="Q29" i="28"/>
  <c r="F28" i="28"/>
  <c r="F29" i="28"/>
  <c r="F27" i="28"/>
  <c r="H21" i="38"/>
  <c r="I21" i="38"/>
  <c r="J21" i="38"/>
  <c r="K21" i="38"/>
  <c r="L21" i="38"/>
  <c r="M21" i="38"/>
  <c r="N21" i="38"/>
  <c r="O21" i="38"/>
  <c r="P21" i="38"/>
  <c r="Q21" i="38"/>
  <c r="R21" i="38"/>
  <c r="S21" i="38"/>
  <c r="H22" i="38"/>
  <c r="I22" i="38"/>
  <c r="J22" i="38"/>
  <c r="K22" i="38"/>
  <c r="L22" i="38"/>
  <c r="M22" i="38"/>
  <c r="N22" i="38"/>
  <c r="O22" i="38"/>
  <c r="P22" i="38"/>
  <c r="Q22" i="38"/>
  <c r="R22" i="38"/>
  <c r="H23" i="38"/>
  <c r="I23" i="38"/>
  <c r="J23" i="38"/>
  <c r="K23" i="38"/>
  <c r="L23" i="38"/>
  <c r="M23" i="38"/>
  <c r="N23" i="38"/>
  <c r="O23" i="38"/>
  <c r="P23" i="38"/>
  <c r="Q23" i="38"/>
  <c r="R23" i="38"/>
  <c r="G22" i="38"/>
  <c r="G23" i="38"/>
  <c r="G21" i="38"/>
  <c r="H13" i="38"/>
  <c r="I13" i="38"/>
  <c r="J13" i="38"/>
  <c r="K13" i="38"/>
  <c r="L13" i="38"/>
  <c r="M13" i="38"/>
  <c r="N13" i="38"/>
  <c r="O13" i="38"/>
  <c r="P13" i="38"/>
  <c r="Q13" i="38"/>
  <c r="R13" i="38"/>
  <c r="S13" i="38"/>
  <c r="T13" i="38"/>
  <c r="U13" i="38"/>
  <c r="H14" i="38"/>
  <c r="I14" i="38"/>
  <c r="J14" i="38"/>
  <c r="K14" i="38"/>
  <c r="L14" i="38"/>
  <c r="M14" i="38"/>
  <c r="N14" i="38"/>
  <c r="O14" i="38"/>
  <c r="P14" i="38"/>
  <c r="Q14" i="38"/>
  <c r="R14" i="38"/>
  <c r="S14" i="38"/>
  <c r="T14" i="38"/>
  <c r="H15" i="38"/>
  <c r="I15" i="38"/>
  <c r="J15" i="38"/>
  <c r="K15" i="38"/>
  <c r="L15" i="38"/>
  <c r="M15" i="38"/>
  <c r="N15" i="38"/>
  <c r="O15" i="38"/>
  <c r="P15" i="38"/>
  <c r="Q15" i="38"/>
  <c r="R15" i="38"/>
  <c r="S15" i="38"/>
  <c r="T15" i="38"/>
  <c r="U15" i="38"/>
  <c r="G14" i="38"/>
  <c r="G15" i="38"/>
  <c r="G13" i="38"/>
  <c r="M8" i="24"/>
  <c r="V33" i="38"/>
  <c r="U32" i="38"/>
  <c r="U34" i="38" s="1"/>
  <c r="T32" i="38"/>
  <c r="T34" i="38" s="1"/>
  <c r="S32" i="38"/>
  <c r="S34" i="38" s="1"/>
  <c r="R32" i="38"/>
  <c r="R34" i="38" s="1"/>
  <c r="Q32" i="38"/>
  <c r="Q34" i="38" s="1"/>
  <c r="P32" i="38"/>
  <c r="P34" i="38" s="1"/>
  <c r="O32" i="38"/>
  <c r="O34" i="38" s="1"/>
  <c r="N32" i="38"/>
  <c r="N34" i="38" s="1"/>
  <c r="M32" i="38"/>
  <c r="M34" i="38" s="1"/>
  <c r="L32" i="38"/>
  <c r="L34" i="38" s="1"/>
  <c r="K32" i="38"/>
  <c r="K34" i="38" s="1"/>
  <c r="J32" i="38"/>
  <c r="J34" i="38" s="1"/>
  <c r="I32" i="38"/>
  <c r="I34" i="38" s="1"/>
  <c r="H32" i="38"/>
  <c r="H34" i="38" s="1"/>
  <c r="G32" i="38"/>
  <c r="V31" i="38"/>
  <c r="V30" i="38"/>
  <c r="V29" i="38"/>
  <c r="V25" i="38"/>
  <c r="U18" i="38"/>
  <c r="T18" i="38"/>
  <c r="S18" i="38"/>
  <c r="V17" i="38"/>
  <c r="U31" i="28"/>
  <c r="U23" i="28"/>
  <c r="Q22" i="28"/>
  <c r="Q24" i="28" s="1"/>
  <c r="P22" i="28"/>
  <c r="P24" i="28" s="1"/>
  <c r="O22" i="28"/>
  <c r="O24" i="28" s="1"/>
  <c r="N22" i="28"/>
  <c r="N24" i="28" s="1"/>
  <c r="M22" i="28"/>
  <c r="M24" i="28" s="1"/>
  <c r="L22" i="28"/>
  <c r="L24" i="28" s="1"/>
  <c r="K22" i="28"/>
  <c r="K24" i="28" s="1"/>
  <c r="J22" i="28"/>
  <c r="J24" i="28" s="1"/>
  <c r="I22" i="28"/>
  <c r="I24" i="28" s="1"/>
  <c r="H22" i="28"/>
  <c r="H24" i="28" s="1"/>
  <c r="G22" i="28"/>
  <c r="G24" i="28" s="1"/>
  <c r="F22" i="28"/>
  <c r="F24" i="28" s="1"/>
  <c r="U23" i="38"/>
  <c r="T23" i="38"/>
  <c r="U22" i="38"/>
  <c r="T22" i="38"/>
  <c r="U20" i="28"/>
  <c r="U21" i="38"/>
  <c r="S22" i="28"/>
  <c r="S24" i="28" s="1"/>
  <c r="R22" i="28"/>
  <c r="R24" i="28" s="1"/>
  <c r="T16" i="28"/>
  <c r="S16" i="28"/>
  <c r="R16" i="28"/>
  <c r="U15" i="28"/>
  <c r="Q14" i="28"/>
  <c r="Q16" i="28" s="1"/>
  <c r="P14" i="28"/>
  <c r="P16" i="28" s="1"/>
  <c r="O14" i="28"/>
  <c r="O16" i="28" s="1"/>
  <c r="N14" i="28"/>
  <c r="N16" i="28" s="1"/>
  <c r="M14" i="28"/>
  <c r="M16" i="28" s="1"/>
  <c r="L14" i="28"/>
  <c r="L16" i="28" s="1"/>
  <c r="K14" i="28"/>
  <c r="K16" i="28" s="1"/>
  <c r="J14" i="28"/>
  <c r="J16" i="28" s="1"/>
  <c r="I14" i="28"/>
  <c r="I16" i="28" s="1"/>
  <c r="H14" i="28"/>
  <c r="H16" i="28" s="1"/>
  <c r="G14" i="28"/>
  <c r="G16" i="28" s="1"/>
  <c r="F14" i="28"/>
  <c r="F16" i="28" s="1"/>
  <c r="U11" i="28"/>
  <c r="H70" i="37"/>
  <c r="I70" i="37"/>
  <c r="J70" i="37"/>
  <c r="K70" i="37"/>
  <c r="L70" i="37"/>
  <c r="M70" i="37"/>
  <c r="N70" i="37"/>
  <c r="O70" i="37"/>
  <c r="P70" i="37"/>
  <c r="Q70" i="37"/>
  <c r="R70" i="37"/>
  <c r="S70" i="37"/>
  <c r="T70" i="37"/>
  <c r="U70" i="37"/>
  <c r="G70" i="37"/>
  <c r="H38" i="37"/>
  <c r="I38" i="37"/>
  <c r="J38" i="37"/>
  <c r="K38" i="37"/>
  <c r="L38" i="37"/>
  <c r="M38" i="37"/>
  <c r="N38" i="37"/>
  <c r="O38" i="37"/>
  <c r="P38" i="37"/>
  <c r="Q38" i="37"/>
  <c r="R38" i="37"/>
  <c r="G38" i="37"/>
  <c r="V36" i="37"/>
  <c r="H40" i="37"/>
  <c r="H69" i="37" s="1"/>
  <c r="I40" i="37"/>
  <c r="I69" i="37" s="1"/>
  <c r="J40" i="37"/>
  <c r="J69" i="37" s="1"/>
  <c r="K40" i="37"/>
  <c r="K69" i="37" s="1"/>
  <c r="L40" i="37"/>
  <c r="L69" i="37" s="1"/>
  <c r="M40" i="37"/>
  <c r="M69" i="37" s="1"/>
  <c r="N40" i="37"/>
  <c r="N69" i="37" s="1"/>
  <c r="O40" i="37"/>
  <c r="O69" i="37" s="1"/>
  <c r="P40" i="37"/>
  <c r="P69" i="37" s="1"/>
  <c r="Q40" i="37"/>
  <c r="Q69" i="37" s="1"/>
  <c r="R40" i="37"/>
  <c r="R69" i="37" s="1"/>
  <c r="G40" i="37"/>
  <c r="G69" i="37" s="1"/>
  <c r="H30" i="37"/>
  <c r="T27" i="33" s="1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H31" i="37"/>
  <c r="T28" i="33" s="1"/>
  <c r="I31" i="37"/>
  <c r="U28" i="33" s="1"/>
  <c r="J31" i="37"/>
  <c r="K31" i="37"/>
  <c r="L31" i="37"/>
  <c r="M31" i="37"/>
  <c r="N31" i="37"/>
  <c r="O31" i="37"/>
  <c r="P31" i="37"/>
  <c r="Q31" i="37"/>
  <c r="R31" i="37"/>
  <c r="S31" i="37"/>
  <c r="T31" i="37"/>
  <c r="U31" i="37"/>
  <c r="H32" i="37"/>
  <c r="T29" i="33" s="1"/>
  <c r="I32" i="37"/>
  <c r="U29" i="33" s="1"/>
  <c r="J32" i="37"/>
  <c r="K32" i="37"/>
  <c r="L32" i="37"/>
  <c r="M32" i="37"/>
  <c r="N32" i="37"/>
  <c r="O32" i="37"/>
  <c r="P32" i="37"/>
  <c r="Q32" i="37"/>
  <c r="R32" i="37"/>
  <c r="S32" i="37"/>
  <c r="G31" i="37"/>
  <c r="S28" i="33" s="1"/>
  <c r="G32" i="37"/>
  <c r="S29" i="33" s="1"/>
  <c r="G30" i="37"/>
  <c r="S27" i="33" s="1"/>
  <c r="H22" i="37"/>
  <c r="I22" i="37"/>
  <c r="J22" i="37"/>
  <c r="K22" i="37"/>
  <c r="L22" i="37"/>
  <c r="M22" i="37"/>
  <c r="N22" i="37"/>
  <c r="O22" i="37"/>
  <c r="P22" i="37"/>
  <c r="Q22" i="37"/>
  <c r="R22" i="37"/>
  <c r="S22" i="37"/>
  <c r="T22" i="37"/>
  <c r="U22" i="37"/>
  <c r="H23" i="37"/>
  <c r="I23" i="37"/>
  <c r="J23" i="37"/>
  <c r="K23" i="37"/>
  <c r="L23" i="37"/>
  <c r="M23" i="37"/>
  <c r="N23" i="37"/>
  <c r="O23" i="37"/>
  <c r="P23" i="37"/>
  <c r="Q23" i="37"/>
  <c r="R23" i="37"/>
  <c r="S23" i="37"/>
  <c r="T23" i="37"/>
  <c r="U23" i="37"/>
  <c r="H24" i="37"/>
  <c r="I24" i="37"/>
  <c r="J24" i="37"/>
  <c r="K24" i="37"/>
  <c r="L24" i="37"/>
  <c r="M24" i="37"/>
  <c r="N24" i="37"/>
  <c r="O24" i="37"/>
  <c r="P24" i="37"/>
  <c r="Q24" i="37"/>
  <c r="R24" i="37"/>
  <c r="S24" i="37"/>
  <c r="T24" i="37"/>
  <c r="U24" i="37"/>
  <c r="G23" i="37"/>
  <c r="G24" i="37"/>
  <c r="G22" i="37"/>
  <c r="H14" i="37"/>
  <c r="I14" i="37"/>
  <c r="J14" i="37"/>
  <c r="K14" i="37"/>
  <c r="L14" i="37"/>
  <c r="M14" i="37"/>
  <c r="N14" i="37"/>
  <c r="O14" i="37"/>
  <c r="P14" i="37"/>
  <c r="Q14" i="37"/>
  <c r="R14" i="37"/>
  <c r="S14" i="37"/>
  <c r="T14" i="37"/>
  <c r="U14" i="37"/>
  <c r="H15" i="37"/>
  <c r="I15" i="37"/>
  <c r="J15" i="37"/>
  <c r="K15" i="37"/>
  <c r="L15" i="37"/>
  <c r="M15" i="37"/>
  <c r="N15" i="37"/>
  <c r="O15" i="37"/>
  <c r="P15" i="37"/>
  <c r="Q15" i="37"/>
  <c r="R15" i="37"/>
  <c r="S15" i="37"/>
  <c r="T15" i="37"/>
  <c r="U15" i="37"/>
  <c r="H16" i="37"/>
  <c r="I16" i="37"/>
  <c r="J16" i="37"/>
  <c r="K16" i="37"/>
  <c r="L16" i="37"/>
  <c r="M16" i="37"/>
  <c r="N16" i="37"/>
  <c r="O16" i="37"/>
  <c r="P16" i="37"/>
  <c r="Q16" i="37"/>
  <c r="R16" i="37"/>
  <c r="G15" i="37"/>
  <c r="G16" i="37"/>
  <c r="G14" i="37"/>
  <c r="C13" i="37"/>
  <c r="S19" i="37"/>
  <c r="T19" i="37"/>
  <c r="U19" i="37"/>
  <c r="V34" i="37"/>
  <c r="V26" i="37"/>
  <c r="V18" i="37"/>
  <c r="G34" i="27"/>
  <c r="H34" i="27"/>
  <c r="I34" i="27"/>
  <c r="J34" i="27"/>
  <c r="K34" i="27"/>
  <c r="L34" i="27"/>
  <c r="M34" i="27"/>
  <c r="N34" i="27"/>
  <c r="O34" i="27"/>
  <c r="P34" i="27"/>
  <c r="Q34" i="27"/>
  <c r="F34" i="27"/>
  <c r="G38" i="33"/>
  <c r="G68" i="33" s="1"/>
  <c r="V10" i="33"/>
  <c r="G11" i="33"/>
  <c r="H11" i="33"/>
  <c r="I11" i="33"/>
  <c r="J11" i="33"/>
  <c r="K11" i="33"/>
  <c r="L11" i="33"/>
  <c r="M11" i="33"/>
  <c r="N11" i="33"/>
  <c r="O11" i="33"/>
  <c r="P11" i="33"/>
  <c r="Q11" i="33"/>
  <c r="R11" i="33"/>
  <c r="G12" i="33"/>
  <c r="H12" i="33"/>
  <c r="I12" i="33"/>
  <c r="J12" i="33"/>
  <c r="K12" i="33"/>
  <c r="L12" i="33"/>
  <c r="M12" i="33"/>
  <c r="N12" i="33"/>
  <c r="O12" i="33"/>
  <c r="P12" i="33"/>
  <c r="Q12" i="33"/>
  <c r="R12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G14" i="33"/>
  <c r="H14" i="33"/>
  <c r="I14" i="33"/>
  <c r="J14" i="33"/>
  <c r="K14" i="33"/>
  <c r="L14" i="33"/>
  <c r="M14" i="33"/>
  <c r="N14" i="33"/>
  <c r="O14" i="33"/>
  <c r="P14" i="33"/>
  <c r="Q14" i="33"/>
  <c r="R14" i="33"/>
  <c r="S14" i="33"/>
  <c r="T14" i="33"/>
  <c r="U14" i="33"/>
  <c r="V14" i="33"/>
  <c r="G15" i="33"/>
  <c r="H15" i="33"/>
  <c r="I15" i="33"/>
  <c r="J15" i="33"/>
  <c r="K15" i="33"/>
  <c r="L15" i="33"/>
  <c r="M15" i="33"/>
  <c r="N15" i="33"/>
  <c r="O15" i="33"/>
  <c r="P15" i="33"/>
  <c r="Q15" i="33"/>
  <c r="R15" i="33"/>
  <c r="S15" i="33"/>
  <c r="T15" i="33"/>
  <c r="U15" i="33"/>
  <c r="V15" i="33"/>
  <c r="G16" i="33"/>
  <c r="H16" i="33"/>
  <c r="I16" i="33"/>
  <c r="J16" i="33"/>
  <c r="K16" i="33"/>
  <c r="L16" i="33"/>
  <c r="M16" i="33"/>
  <c r="N16" i="33"/>
  <c r="O16" i="33"/>
  <c r="P16" i="33"/>
  <c r="Q16" i="33"/>
  <c r="R16" i="33"/>
  <c r="S16" i="33"/>
  <c r="T16" i="33"/>
  <c r="U16" i="33"/>
  <c r="V16" i="33"/>
  <c r="G19" i="33"/>
  <c r="H19" i="33"/>
  <c r="I19" i="33"/>
  <c r="J19" i="33"/>
  <c r="K19" i="33"/>
  <c r="L19" i="33"/>
  <c r="M19" i="33"/>
  <c r="N19" i="33"/>
  <c r="O19" i="33"/>
  <c r="P19" i="33"/>
  <c r="Q19" i="33"/>
  <c r="R19" i="33"/>
  <c r="G20" i="33"/>
  <c r="H20" i="33"/>
  <c r="I20" i="33"/>
  <c r="J20" i="33"/>
  <c r="K20" i="33"/>
  <c r="L20" i="33"/>
  <c r="M20" i="33"/>
  <c r="N20" i="33"/>
  <c r="O20" i="33"/>
  <c r="P20" i="33"/>
  <c r="Q20" i="33"/>
  <c r="R20" i="33"/>
  <c r="G21" i="33"/>
  <c r="H21" i="33"/>
  <c r="I21" i="33"/>
  <c r="J21" i="33"/>
  <c r="K21" i="33"/>
  <c r="L21" i="33"/>
  <c r="M21" i="33"/>
  <c r="N21" i="33"/>
  <c r="O21" i="33"/>
  <c r="P21" i="33"/>
  <c r="Q21" i="33"/>
  <c r="R21" i="33"/>
  <c r="G22" i="33"/>
  <c r="H22" i="33"/>
  <c r="I22" i="33"/>
  <c r="J22" i="33"/>
  <c r="K22" i="33"/>
  <c r="L22" i="33"/>
  <c r="M22" i="33"/>
  <c r="N22" i="33"/>
  <c r="O22" i="33"/>
  <c r="P22" i="33"/>
  <c r="Q22" i="33"/>
  <c r="G23" i="33"/>
  <c r="H23" i="33"/>
  <c r="I23" i="33"/>
  <c r="J23" i="33"/>
  <c r="K23" i="33"/>
  <c r="L23" i="33"/>
  <c r="M23" i="33"/>
  <c r="N23" i="33"/>
  <c r="O23" i="33"/>
  <c r="P23" i="33"/>
  <c r="Q23" i="33"/>
  <c r="R23" i="33"/>
  <c r="S23" i="33"/>
  <c r="T23" i="33"/>
  <c r="U23" i="33"/>
  <c r="V23" i="33"/>
  <c r="G24" i="33"/>
  <c r="H24" i="33"/>
  <c r="I24" i="33"/>
  <c r="J24" i="33"/>
  <c r="K24" i="33"/>
  <c r="L24" i="33"/>
  <c r="M24" i="33"/>
  <c r="N24" i="33"/>
  <c r="O24" i="33"/>
  <c r="P24" i="33"/>
  <c r="Q24" i="33"/>
  <c r="R24" i="33"/>
  <c r="G27" i="33"/>
  <c r="H27" i="33"/>
  <c r="I27" i="33"/>
  <c r="J27" i="33"/>
  <c r="K27" i="33"/>
  <c r="L27" i="33"/>
  <c r="M27" i="33"/>
  <c r="N27" i="33"/>
  <c r="O27" i="33"/>
  <c r="P27" i="33"/>
  <c r="Q27" i="33"/>
  <c r="R27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G29" i="33"/>
  <c r="H29" i="33"/>
  <c r="I29" i="33"/>
  <c r="J29" i="33"/>
  <c r="K29" i="33"/>
  <c r="L29" i="33"/>
  <c r="M29" i="33"/>
  <c r="N29" i="33"/>
  <c r="O29" i="33"/>
  <c r="P29" i="33"/>
  <c r="Q29" i="33"/>
  <c r="R29" i="33"/>
  <c r="G30" i="33"/>
  <c r="H30" i="33"/>
  <c r="I30" i="33"/>
  <c r="J30" i="33"/>
  <c r="K30" i="33"/>
  <c r="L30" i="33"/>
  <c r="M30" i="33"/>
  <c r="N30" i="33"/>
  <c r="O30" i="33"/>
  <c r="P30" i="33"/>
  <c r="Q30" i="33"/>
  <c r="R30" i="33"/>
  <c r="G31" i="33"/>
  <c r="H31" i="33"/>
  <c r="I31" i="33"/>
  <c r="J31" i="33"/>
  <c r="K31" i="33"/>
  <c r="L31" i="33"/>
  <c r="M31" i="33"/>
  <c r="N31" i="33"/>
  <c r="O31" i="33"/>
  <c r="P31" i="33"/>
  <c r="Q31" i="33"/>
  <c r="R31" i="33"/>
  <c r="S31" i="33"/>
  <c r="T31" i="33"/>
  <c r="U31" i="33"/>
  <c r="V31" i="33"/>
  <c r="G32" i="33"/>
  <c r="H32" i="33"/>
  <c r="I32" i="33"/>
  <c r="J32" i="33"/>
  <c r="K32" i="33"/>
  <c r="L32" i="33"/>
  <c r="M32" i="33"/>
  <c r="N32" i="33"/>
  <c r="O32" i="33"/>
  <c r="P32" i="33"/>
  <c r="Q32" i="33"/>
  <c r="R32" i="33"/>
  <c r="C10" i="33"/>
  <c r="C11" i="33"/>
  <c r="C12" i="33"/>
  <c r="C13" i="33"/>
  <c r="C14" i="33"/>
  <c r="C15" i="33"/>
  <c r="C16" i="33"/>
  <c r="C18" i="33"/>
  <c r="C19" i="33"/>
  <c r="C20" i="33"/>
  <c r="C21" i="33"/>
  <c r="C22" i="33"/>
  <c r="C23" i="33"/>
  <c r="C24" i="33"/>
  <c r="C26" i="33"/>
  <c r="C27" i="33"/>
  <c r="C28" i="33"/>
  <c r="C29" i="33"/>
  <c r="C30" i="33"/>
  <c r="C31" i="33"/>
  <c r="C32" i="33"/>
  <c r="M32" i="27"/>
  <c r="U31" i="27"/>
  <c r="S30" i="27"/>
  <c r="S32" i="27" s="1"/>
  <c r="R30" i="27"/>
  <c r="R32" i="27" s="1"/>
  <c r="Q30" i="27"/>
  <c r="Q32" i="27" s="1"/>
  <c r="P30" i="27"/>
  <c r="P32" i="27" s="1"/>
  <c r="O30" i="27"/>
  <c r="O32" i="27" s="1"/>
  <c r="N30" i="27"/>
  <c r="N32" i="27" s="1"/>
  <c r="M30" i="27"/>
  <c r="L30" i="27"/>
  <c r="L32" i="27" s="1"/>
  <c r="K30" i="27"/>
  <c r="K32" i="27" s="1"/>
  <c r="J30" i="27"/>
  <c r="J32" i="27" s="1"/>
  <c r="I30" i="27"/>
  <c r="I32" i="27" s="1"/>
  <c r="H30" i="27"/>
  <c r="H32" i="27" s="1"/>
  <c r="G30" i="27"/>
  <c r="G32" i="27" s="1"/>
  <c r="F30" i="27"/>
  <c r="U28" i="27"/>
  <c r="V31" i="37" s="1"/>
  <c r="U27" i="27"/>
  <c r="V30" i="37" s="1"/>
  <c r="Q24" i="27"/>
  <c r="J24" i="27"/>
  <c r="U23" i="27"/>
  <c r="Q22" i="27"/>
  <c r="P22" i="27"/>
  <c r="P24" i="27" s="1"/>
  <c r="O22" i="27"/>
  <c r="O24" i="27" s="1"/>
  <c r="N22" i="27"/>
  <c r="N24" i="27" s="1"/>
  <c r="M22" i="27"/>
  <c r="M24" i="27" s="1"/>
  <c r="L22" i="27"/>
  <c r="L24" i="27" s="1"/>
  <c r="K22" i="27"/>
  <c r="K24" i="27" s="1"/>
  <c r="J22" i="27"/>
  <c r="I22" i="27"/>
  <c r="I24" i="27" s="1"/>
  <c r="H22" i="27"/>
  <c r="H24" i="27" s="1"/>
  <c r="G22" i="27"/>
  <c r="G24" i="27" s="1"/>
  <c r="F22" i="27"/>
  <c r="F24" i="27" s="1"/>
  <c r="U21" i="27"/>
  <c r="U20" i="27"/>
  <c r="U19" i="27"/>
  <c r="R22" i="27"/>
  <c r="R24" i="27" s="1"/>
  <c r="T16" i="27"/>
  <c r="S16" i="27"/>
  <c r="R16" i="27"/>
  <c r="Q16" i="27"/>
  <c r="K16" i="27"/>
  <c r="I16" i="27"/>
  <c r="U15" i="27"/>
  <c r="Q14" i="27"/>
  <c r="P14" i="27"/>
  <c r="P16" i="27" s="1"/>
  <c r="O14" i="27"/>
  <c r="O16" i="27" s="1"/>
  <c r="N14" i="27"/>
  <c r="N16" i="27" s="1"/>
  <c r="M14" i="27"/>
  <c r="M16" i="27" s="1"/>
  <c r="L14" i="27"/>
  <c r="L16" i="27" s="1"/>
  <c r="K14" i="27"/>
  <c r="J14" i="27"/>
  <c r="J16" i="27" s="1"/>
  <c r="I14" i="27"/>
  <c r="H14" i="27"/>
  <c r="H16" i="27" s="1"/>
  <c r="G14" i="27"/>
  <c r="G16" i="27" s="1"/>
  <c r="F14" i="27"/>
  <c r="F16" i="27" s="1"/>
  <c r="U13" i="27"/>
  <c r="U12" i="27"/>
  <c r="U11" i="27"/>
  <c r="Q44" i="26"/>
  <c r="U71" i="33"/>
  <c r="H69" i="33"/>
  <c r="I69" i="33"/>
  <c r="J69" i="33"/>
  <c r="K69" i="33"/>
  <c r="L69" i="33"/>
  <c r="M69" i="33"/>
  <c r="N69" i="33"/>
  <c r="O69" i="33"/>
  <c r="P69" i="33"/>
  <c r="Q69" i="33"/>
  <c r="R69" i="33"/>
  <c r="S69" i="33"/>
  <c r="T69" i="33"/>
  <c r="U69" i="33"/>
  <c r="H72" i="24"/>
  <c r="I72" i="24"/>
  <c r="J72" i="24"/>
  <c r="K72" i="24"/>
  <c r="M72" i="24"/>
  <c r="N72" i="24"/>
  <c r="O72" i="24"/>
  <c r="P72" i="24"/>
  <c r="Q72" i="24"/>
  <c r="R72" i="24"/>
  <c r="G72" i="24"/>
  <c r="H69" i="24"/>
  <c r="I69" i="24"/>
  <c r="J69" i="24"/>
  <c r="K69" i="24"/>
  <c r="L69" i="24"/>
  <c r="M69" i="24"/>
  <c r="N69" i="24"/>
  <c r="O69" i="24"/>
  <c r="P69" i="24"/>
  <c r="Q69" i="24"/>
  <c r="R69" i="24"/>
  <c r="S69" i="24"/>
  <c r="T69" i="24"/>
  <c r="U69" i="24"/>
  <c r="G69" i="24"/>
  <c r="R36" i="33"/>
  <c r="Q36" i="33"/>
  <c r="P36" i="33"/>
  <c r="O36" i="33"/>
  <c r="N36" i="33"/>
  <c r="M36" i="33"/>
  <c r="K36" i="33"/>
  <c r="J36" i="33"/>
  <c r="I36" i="33"/>
  <c r="H36" i="33"/>
  <c r="G36" i="33"/>
  <c r="S31" i="23"/>
  <c r="T31" i="23"/>
  <c r="U31" i="24" s="1"/>
  <c r="R31" i="23"/>
  <c r="S31" i="24" s="1"/>
  <c r="R28" i="23"/>
  <c r="S28" i="23"/>
  <c r="T28" i="23"/>
  <c r="R29" i="23"/>
  <c r="S29" i="23"/>
  <c r="T29" i="23"/>
  <c r="S27" i="23"/>
  <c r="T27" i="23"/>
  <c r="R27" i="23"/>
  <c r="R12" i="23"/>
  <c r="S12" i="23"/>
  <c r="T12" i="23"/>
  <c r="U12" i="24" s="1"/>
  <c r="R13" i="23"/>
  <c r="S13" i="23"/>
  <c r="T13" i="24" s="1"/>
  <c r="T13" i="23"/>
  <c r="U13" i="24" s="1"/>
  <c r="S11" i="23"/>
  <c r="T11" i="23"/>
  <c r="R11" i="23"/>
  <c r="R20" i="23"/>
  <c r="S20" i="23"/>
  <c r="T20" i="23"/>
  <c r="R21" i="23"/>
  <c r="S21" i="23"/>
  <c r="T21" i="23"/>
  <c r="S19" i="23"/>
  <c r="T19" i="23"/>
  <c r="R19" i="23"/>
  <c r="U31" i="26"/>
  <c r="T30" i="26"/>
  <c r="T32" i="26" s="1"/>
  <c r="U32" i="33" s="1"/>
  <c r="Q30" i="26"/>
  <c r="Q32" i="26" s="1"/>
  <c r="P30" i="26"/>
  <c r="P32" i="26" s="1"/>
  <c r="O30" i="26"/>
  <c r="O32" i="26" s="1"/>
  <c r="N30" i="26"/>
  <c r="N32" i="26" s="1"/>
  <c r="M30" i="26"/>
  <c r="M32" i="26" s="1"/>
  <c r="L30" i="26"/>
  <c r="L32" i="26" s="1"/>
  <c r="K30" i="26"/>
  <c r="K32" i="26" s="1"/>
  <c r="J30" i="26"/>
  <c r="J32" i="26" s="1"/>
  <c r="I30" i="26"/>
  <c r="I32" i="26" s="1"/>
  <c r="H30" i="26"/>
  <c r="H32" i="26" s="1"/>
  <c r="G30" i="26"/>
  <c r="G32" i="26" s="1"/>
  <c r="F30" i="26"/>
  <c r="U29" i="26"/>
  <c r="V29" i="33" s="1"/>
  <c r="U28" i="26"/>
  <c r="V28" i="33" s="1"/>
  <c r="U27" i="26"/>
  <c r="V27" i="33" s="1"/>
  <c r="U23" i="26"/>
  <c r="Q22" i="26"/>
  <c r="Q24" i="26" s="1"/>
  <c r="P22" i="26"/>
  <c r="P24" i="26" s="1"/>
  <c r="O22" i="26"/>
  <c r="O24" i="26" s="1"/>
  <c r="N22" i="26"/>
  <c r="N24" i="26" s="1"/>
  <c r="M22" i="26"/>
  <c r="M24" i="26" s="1"/>
  <c r="L22" i="26"/>
  <c r="L24" i="26" s="1"/>
  <c r="K22" i="26"/>
  <c r="K24" i="26" s="1"/>
  <c r="J22" i="26"/>
  <c r="J24" i="26" s="1"/>
  <c r="I22" i="26"/>
  <c r="I24" i="26" s="1"/>
  <c r="H22" i="26"/>
  <c r="H24" i="26" s="1"/>
  <c r="G22" i="26"/>
  <c r="G24" i="26" s="1"/>
  <c r="F22" i="26"/>
  <c r="F24" i="26" s="1"/>
  <c r="T16" i="26"/>
  <c r="S16" i="26"/>
  <c r="R16" i="26"/>
  <c r="U15" i="26"/>
  <c r="Q14" i="26"/>
  <c r="Q16" i="26" s="1"/>
  <c r="P14" i="26"/>
  <c r="P16" i="26" s="1"/>
  <c r="O14" i="26"/>
  <c r="O16" i="26" s="1"/>
  <c r="N14" i="26"/>
  <c r="N16" i="26" s="1"/>
  <c r="M14" i="26"/>
  <c r="M16" i="26" s="1"/>
  <c r="L14" i="26"/>
  <c r="L16" i="26" s="1"/>
  <c r="K14" i="26"/>
  <c r="K16" i="26" s="1"/>
  <c r="J14" i="26"/>
  <c r="J16" i="26" s="1"/>
  <c r="I14" i="26"/>
  <c r="I16" i="26" s="1"/>
  <c r="H14" i="26"/>
  <c r="H16" i="26" s="1"/>
  <c r="G14" i="26"/>
  <c r="F14" i="26"/>
  <c r="F16" i="26" s="1"/>
  <c r="U12" i="26"/>
  <c r="V12" i="33" s="1"/>
  <c r="U11" i="26"/>
  <c r="V11" i="33" s="1"/>
  <c r="V52" i="24"/>
  <c r="F27" i="25"/>
  <c r="F72" i="23" s="1"/>
  <c r="G35" i="24" s="1"/>
  <c r="H36" i="24"/>
  <c r="I36" i="24"/>
  <c r="J36" i="24"/>
  <c r="K36" i="24"/>
  <c r="M36" i="24"/>
  <c r="N36" i="24"/>
  <c r="O36" i="24"/>
  <c r="P36" i="24"/>
  <c r="Q36" i="24"/>
  <c r="R36" i="24"/>
  <c r="G36" i="24"/>
  <c r="H38" i="24"/>
  <c r="H68" i="24" s="1"/>
  <c r="I38" i="24"/>
  <c r="I68" i="24" s="1"/>
  <c r="J38" i="24"/>
  <c r="J68" i="24" s="1"/>
  <c r="K38" i="24"/>
  <c r="K68" i="24" s="1"/>
  <c r="M38" i="24"/>
  <c r="M68" i="24" s="1"/>
  <c r="N38" i="24"/>
  <c r="N68" i="24" s="1"/>
  <c r="O38" i="24"/>
  <c r="O68" i="24" s="1"/>
  <c r="P38" i="24"/>
  <c r="P68" i="24" s="1"/>
  <c r="Q38" i="24"/>
  <c r="Q68" i="24" s="1"/>
  <c r="R38" i="24"/>
  <c r="R68" i="24" s="1"/>
  <c r="G38" i="24"/>
  <c r="G68" i="24" s="1"/>
  <c r="H16" i="24"/>
  <c r="I16" i="24"/>
  <c r="J16" i="24"/>
  <c r="K16" i="24"/>
  <c r="M16" i="24"/>
  <c r="N16" i="24"/>
  <c r="O16" i="24"/>
  <c r="P16" i="24"/>
  <c r="Q16" i="24"/>
  <c r="R16" i="24"/>
  <c r="G16" i="24"/>
  <c r="H24" i="24"/>
  <c r="I24" i="24"/>
  <c r="J24" i="24"/>
  <c r="K24" i="24"/>
  <c r="L24" i="24"/>
  <c r="M24" i="24"/>
  <c r="N24" i="24"/>
  <c r="O24" i="24"/>
  <c r="P24" i="24"/>
  <c r="Q24" i="24"/>
  <c r="R24" i="24"/>
  <c r="G24" i="24"/>
  <c r="H32" i="24"/>
  <c r="I32" i="24"/>
  <c r="J32" i="24"/>
  <c r="K32" i="24"/>
  <c r="L32" i="24"/>
  <c r="M32" i="24"/>
  <c r="N32" i="24"/>
  <c r="O32" i="24"/>
  <c r="P32" i="24"/>
  <c r="Q32" i="24"/>
  <c r="R32" i="24"/>
  <c r="G32" i="24"/>
  <c r="F16" i="23"/>
  <c r="V10" i="24"/>
  <c r="C11" i="24"/>
  <c r="G11" i="24"/>
  <c r="H11" i="24"/>
  <c r="I11" i="24"/>
  <c r="J11" i="24"/>
  <c r="K11" i="24"/>
  <c r="L11" i="24"/>
  <c r="M11" i="24"/>
  <c r="N11" i="24"/>
  <c r="O11" i="24"/>
  <c r="P11" i="24"/>
  <c r="Q11" i="24"/>
  <c r="R11" i="24"/>
  <c r="C12" i="24"/>
  <c r="G12" i="24"/>
  <c r="H12" i="24"/>
  <c r="I12" i="24"/>
  <c r="J12" i="24"/>
  <c r="K12" i="24"/>
  <c r="L12" i="24"/>
  <c r="M12" i="24"/>
  <c r="N12" i="24"/>
  <c r="O12" i="24"/>
  <c r="P12" i="24"/>
  <c r="Q12" i="24"/>
  <c r="R12" i="24"/>
  <c r="C13" i="24"/>
  <c r="G13" i="24"/>
  <c r="H13" i="24"/>
  <c r="I13" i="24"/>
  <c r="J13" i="24"/>
  <c r="K13" i="24"/>
  <c r="L13" i="24"/>
  <c r="M13" i="24"/>
  <c r="N13" i="24"/>
  <c r="O13" i="24"/>
  <c r="P13" i="24"/>
  <c r="Q13" i="24"/>
  <c r="R13" i="24"/>
  <c r="C14" i="24"/>
  <c r="G14" i="24"/>
  <c r="H14" i="24"/>
  <c r="I14" i="24"/>
  <c r="J14" i="24"/>
  <c r="K14" i="24"/>
  <c r="M14" i="24"/>
  <c r="N14" i="24"/>
  <c r="O14" i="24"/>
  <c r="P14" i="24"/>
  <c r="Q14" i="24"/>
  <c r="R14" i="24"/>
  <c r="C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C16" i="24"/>
  <c r="C18" i="24"/>
  <c r="C19" i="24"/>
  <c r="G19" i="24"/>
  <c r="H19" i="24"/>
  <c r="I19" i="24"/>
  <c r="J19" i="24"/>
  <c r="K19" i="24"/>
  <c r="L19" i="24"/>
  <c r="M19" i="24"/>
  <c r="N19" i="24"/>
  <c r="O19" i="24"/>
  <c r="P19" i="24"/>
  <c r="Q19" i="24"/>
  <c r="R19" i="24"/>
  <c r="C20" i="24"/>
  <c r="G20" i="24"/>
  <c r="H20" i="24"/>
  <c r="I20" i="24"/>
  <c r="J20" i="24"/>
  <c r="K20" i="24"/>
  <c r="L20" i="24"/>
  <c r="M20" i="24"/>
  <c r="N20" i="24"/>
  <c r="O20" i="24"/>
  <c r="P20" i="24"/>
  <c r="Q20" i="24"/>
  <c r="R20" i="24"/>
  <c r="C21" i="24"/>
  <c r="G21" i="24"/>
  <c r="H21" i="24"/>
  <c r="I21" i="24"/>
  <c r="J21" i="24"/>
  <c r="K21" i="24"/>
  <c r="L21" i="24"/>
  <c r="M21" i="24"/>
  <c r="N21" i="24"/>
  <c r="O21" i="24"/>
  <c r="P21" i="24"/>
  <c r="Q21" i="24"/>
  <c r="R21" i="24"/>
  <c r="C22" i="24"/>
  <c r="G22" i="24"/>
  <c r="H22" i="24"/>
  <c r="I22" i="24"/>
  <c r="J22" i="24"/>
  <c r="K22" i="24"/>
  <c r="L22" i="24"/>
  <c r="M22" i="24"/>
  <c r="N22" i="24"/>
  <c r="O22" i="24"/>
  <c r="P22" i="24"/>
  <c r="Q22" i="24"/>
  <c r="R22" i="24"/>
  <c r="C23" i="24"/>
  <c r="G23" i="24"/>
  <c r="H23" i="24"/>
  <c r="I23" i="24"/>
  <c r="J23" i="24"/>
  <c r="K23" i="24"/>
  <c r="L23" i="24"/>
  <c r="M23" i="24"/>
  <c r="N23" i="24"/>
  <c r="O23" i="24"/>
  <c r="P23" i="24"/>
  <c r="Q23" i="24"/>
  <c r="R23" i="24"/>
  <c r="S23" i="24"/>
  <c r="T23" i="24"/>
  <c r="U23" i="24"/>
  <c r="V23" i="24"/>
  <c r="C24" i="24"/>
  <c r="C26" i="24"/>
  <c r="C27" i="24"/>
  <c r="G27" i="24"/>
  <c r="H27" i="24"/>
  <c r="I27" i="24"/>
  <c r="J27" i="24"/>
  <c r="K27" i="24"/>
  <c r="L27" i="24"/>
  <c r="M27" i="24"/>
  <c r="N27" i="24"/>
  <c r="O27" i="24"/>
  <c r="P27" i="24"/>
  <c r="Q27" i="24"/>
  <c r="R27" i="24"/>
  <c r="C28" i="24"/>
  <c r="G28" i="24"/>
  <c r="H28" i="24"/>
  <c r="I28" i="24"/>
  <c r="J28" i="24"/>
  <c r="K28" i="24"/>
  <c r="L28" i="24"/>
  <c r="M28" i="24"/>
  <c r="N28" i="24"/>
  <c r="O28" i="24"/>
  <c r="P28" i="24"/>
  <c r="Q28" i="24"/>
  <c r="R28" i="24"/>
  <c r="C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T29" i="24"/>
  <c r="U29" i="24"/>
  <c r="C30" i="24"/>
  <c r="G30" i="24"/>
  <c r="H30" i="24"/>
  <c r="I30" i="24"/>
  <c r="J30" i="24"/>
  <c r="K30" i="24"/>
  <c r="L30" i="24"/>
  <c r="M30" i="24"/>
  <c r="N30" i="24"/>
  <c r="O30" i="24"/>
  <c r="P30" i="24"/>
  <c r="Q30" i="24"/>
  <c r="R30" i="24"/>
  <c r="C31" i="24"/>
  <c r="G31" i="24"/>
  <c r="H31" i="24"/>
  <c r="I31" i="24"/>
  <c r="J31" i="24"/>
  <c r="K31" i="24"/>
  <c r="L31" i="24"/>
  <c r="M31" i="24"/>
  <c r="N31" i="24"/>
  <c r="O31" i="24"/>
  <c r="P31" i="24"/>
  <c r="Q31" i="24"/>
  <c r="R31" i="24"/>
  <c r="T31" i="24"/>
  <c r="C32" i="24"/>
  <c r="U31" i="23"/>
  <c r="V31" i="24" s="1"/>
  <c r="U23" i="23"/>
  <c r="U15" i="23"/>
  <c r="F30" i="23"/>
  <c r="F22" i="23"/>
  <c r="F14" i="23"/>
  <c r="N8" i="24" l="1"/>
  <c r="K8" i="24"/>
  <c r="J8" i="24"/>
  <c r="R8" i="24"/>
  <c r="I8" i="24"/>
  <c r="Q8" i="24"/>
  <c r="H8" i="24"/>
  <c r="P8" i="24"/>
  <c r="G8" i="24"/>
  <c r="O8" i="24"/>
  <c r="Q8" i="33"/>
  <c r="I8" i="33"/>
  <c r="P8" i="33"/>
  <c r="H8" i="33"/>
  <c r="G39" i="24"/>
  <c r="V40" i="37"/>
  <c r="U24" i="38"/>
  <c r="U12" i="28"/>
  <c r="T30" i="27"/>
  <c r="T32" i="27" s="1"/>
  <c r="T33" i="37"/>
  <c r="T35" i="37" s="1"/>
  <c r="U29" i="27"/>
  <c r="V32" i="37" s="1"/>
  <c r="T24" i="27"/>
  <c r="U40" i="37"/>
  <c r="U69" i="37" s="1"/>
  <c r="T25" i="37"/>
  <c r="T27" i="37" s="1"/>
  <c r="U25" i="37"/>
  <c r="S25" i="37"/>
  <c r="S27" i="37" s="1"/>
  <c r="S34" i="27"/>
  <c r="T40" i="37" s="1"/>
  <c r="T69" i="37" s="1"/>
  <c r="R34" i="27"/>
  <c r="O8" i="33"/>
  <c r="G8" i="33"/>
  <c r="K8" i="33"/>
  <c r="J8" i="33"/>
  <c r="N8" i="33"/>
  <c r="R8" i="33"/>
  <c r="M8" i="33"/>
  <c r="L8" i="33"/>
  <c r="L33" i="37"/>
  <c r="L35" i="37" s="1"/>
  <c r="S33" i="37"/>
  <c r="S35" i="37" s="1"/>
  <c r="L25" i="37"/>
  <c r="L27" i="37" s="1"/>
  <c r="U33" i="37"/>
  <c r="M33" i="37"/>
  <c r="M35" i="37" s="1"/>
  <c r="S32" i="26"/>
  <c r="T32" i="33" s="1"/>
  <c r="T30" i="33"/>
  <c r="U30" i="33"/>
  <c r="S30" i="33"/>
  <c r="G24" i="39"/>
  <c r="G26" i="39" s="1"/>
  <c r="K24" i="39"/>
  <c r="K26" i="39" s="1"/>
  <c r="M24" i="39"/>
  <c r="M26" i="39" s="1"/>
  <c r="L24" i="39"/>
  <c r="L26" i="39" s="1"/>
  <c r="O24" i="39"/>
  <c r="O26" i="39" s="1"/>
  <c r="J16" i="39"/>
  <c r="J18" i="39" s="1"/>
  <c r="N24" i="39"/>
  <c r="N26" i="39" s="1"/>
  <c r="H16" i="39"/>
  <c r="H18" i="39" s="1"/>
  <c r="H32" i="39"/>
  <c r="H34" i="39" s="1"/>
  <c r="P16" i="39"/>
  <c r="P18" i="39" s="1"/>
  <c r="U14" i="39"/>
  <c r="Q24" i="39"/>
  <c r="Q26" i="39" s="1"/>
  <c r="I24" i="39"/>
  <c r="I26" i="39" s="1"/>
  <c r="Q16" i="39"/>
  <c r="Q18" i="39" s="1"/>
  <c r="I16" i="39"/>
  <c r="I18" i="39" s="1"/>
  <c r="O16" i="39"/>
  <c r="O18" i="39" s="1"/>
  <c r="P24" i="39"/>
  <c r="P26" i="39" s="1"/>
  <c r="H24" i="39"/>
  <c r="H26" i="39" s="1"/>
  <c r="U15" i="39"/>
  <c r="K16" i="39"/>
  <c r="K18" i="39" s="1"/>
  <c r="N16" i="39"/>
  <c r="N18" i="39" s="1"/>
  <c r="R24" i="39"/>
  <c r="R26" i="39" s="1"/>
  <c r="J24" i="39"/>
  <c r="J26" i="39" s="1"/>
  <c r="U13" i="39"/>
  <c r="U23" i="39"/>
  <c r="U22" i="39"/>
  <c r="R16" i="39"/>
  <c r="R18" i="39" s="1"/>
  <c r="M16" i="39"/>
  <c r="M18" i="39" s="1"/>
  <c r="L16" i="39"/>
  <c r="L18" i="39" s="1"/>
  <c r="U21" i="39"/>
  <c r="G11" i="39"/>
  <c r="U30" i="39"/>
  <c r="P32" i="39"/>
  <c r="P34" i="39" s="1"/>
  <c r="I32" i="39"/>
  <c r="I34" i="39" s="1"/>
  <c r="Q32" i="39"/>
  <c r="Q34" i="39" s="1"/>
  <c r="O32" i="39"/>
  <c r="O34" i="39" s="1"/>
  <c r="U31" i="39"/>
  <c r="L32" i="39"/>
  <c r="L34" i="39" s="1"/>
  <c r="K32" i="39"/>
  <c r="K34" i="39" s="1"/>
  <c r="M32" i="39"/>
  <c r="M34" i="39" s="1"/>
  <c r="N32" i="39"/>
  <c r="N34" i="39" s="1"/>
  <c r="J32" i="39"/>
  <c r="J34" i="39" s="1"/>
  <c r="R32" i="39"/>
  <c r="R34" i="39" s="1"/>
  <c r="U29" i="39"/>
  <c r="O30" i="29"/>
  <c r="O32" i="29" s="1"/>
  <c r="F34" i="29"/>
  <c r="H30" i="29"/>
  <c r="H32" i="29" s="1"/>
  <c r="O34" i="29"/>
  <c r="N34" i="29"/>
  <c r="P30" i="29"/>
  <c r="P32" i="29" s="1"/>
  <c r="M34" i="29"/>
  <c r="L34" i="29"/>
  <c r="G30" i="29"/>
  <c r="U16" i="29"/>
  <c r="Q30" i="29"/>
  <c r="Q32" i="29" s="1"/>
  <c r="U14" i="29"/>
  <c r="K30" i="29"/>
  <c r="K32" i="29" s="1"/>
  <c r="I30" i="29"/>
  <c r="I32" i="29" s="1"/>
  <c r="J30" i="29"/>
  <c r="L30" i="29"/>
  <c r="L32" i="29" s="1"/>
  <c r="U29" i="29"/>
  <c r="U28" i="29"/>
  <c r="F32" i="29"/>
  <c r="U24" i="29"/>
  <c r="U22" i="29"/>
  <c r="U27" i="29"/>
  <c r="U19" i="28"/>
  <c r="R24" i="38"/>
  <c r="R26" i="38" s="1"/>
  <c r="J30" i="28"/>
  <c r="J32" i="28" s="1"/>
  <c r="H30" i="28"/>
  <c r="I24" i="38"/>
  <c r="I26" i="38" s="1"/>
  <c r="I30" i="28"/>
  <c r="L24" i="38"/>
  <c r="L26" i="38" s="1"/>
  <c r="M16" i="38"/>
  <c r="M18" i="38" s="1"/>
  <c r="S22" i="38"/>
  <c r="V22" i="38" s="1"/>
  <c r="R30" i="28"/>
  <c r="R32" i="28" s="1"/>
  <c r="Q30" i="28"/>
  <c r="Q32" i="28" s="1"/>
  <c r="O30" i="28"/>
  <c r="O32" i="28" s="1"/>
  <c r="T30" i="28"/>
  <c r="T32" i="28" s="1"/>
  <c r="G16" i="38"/>
  <c r="G18" i="38" s="1"/>
  <c r="P16" i="38"/>
  <c r="P18" i="38" s="1"/>
  <c r="L16" i="38"/>
  <c r="L11" i="38" s="1"/>
  <c r="L69" i="38" s="1"/>
  <c r="J24" i="38"/>
  <c r="J26" i="38" s="1"/>
  <c r="P30" i="28"/>
  <c r="P32" i="28" s="1"/>
  <c r="L30" i="28"/>
  <c r="L34" i="28" s="1"/>
  <c r="U26" i="38"/>
  <c r="U11" i="38"/>
  <c r="U69" i="38" s="1"/>
  <c r="S23" i="38"/>
  <c r="O24" i="38"/>
  <c r="O26" i="38" s="1"/>
  <c r="F30" i="28"/>
  <c r="F34" i="28" s="1"/>
  <c r="S30" i="28"/>
  <c r="S32" i="28" s="1"/>
  <c r="K30" i="28"/>
  <c r="T22" i="28"/>
  <c r="T21" i="38"/>
  <c r="T24" i="38" s="1"/>
  <c r="G24" i="38"/>
  <c r="G26" i="38" s="1"/>
  <c r="H16" i="38"/>
  <c r="V15" i="38"/>
  <c r="U28" i="28"/>
  <c r="G30" i="28"/>
  <c r="G32" i="28" s="1"/>
  <c r="K24" i="38"/>
  <c r="K26" i="38" s="1"/>
  <c r="Q24" i="38"/>
  <c r="Q26" i="38" s="1"/>
  <c r="U29" i="28"/>
  <c r="P24" i="38"/>
  <c r="P26" i="38" s="1"/>
  <c r="H24" i="38"/>
  <c r="H26" i="38" s="1"/>
  <c r="N24" i="38"/>
  <c r="N26" i="38" s="1"/>
  <c r="U27" i="28"/>
  <c r="M24" i="38"/>
  <c r="M26" i="38" s="1"/>
  <c r="K16" i="38"/>
  <c r="Q16" i="38"/>
  <c r="I16" i="38"/>
  <c r="O16" i="38"/>
  <c r="V23" i="38"/>
  <c r="R16" i="38"/>
  <c r="J16" i="38"/>
  <c r="V14" i="38"/>
  <c r="N16" i="38"/>
  <c r="H32" i="28"/>
  <c r="H34" i="28"/>
  <c r="I32" i="28"/>
  <c r="I34" i="28"/>
  <c r="M34" i="28"/>
  <c r="M32" i="28"/>
  <c r="L32" i="28"/>
  <c r="K32" i="28"/>
  <c r="K34" i="28"/>
  <c r="O34" i="28"/>
  <c r="N34" i="28"/>
  <c r="V13" i="38"/>
  <c r="U27" i="37"/>
  <c r="N25" i="37"/>
  <c r="N27" i="37" s="1"/>
  <c r="G33" i="37"/>
  <c r="G35" i="37" s="1"/>
  <c r="N33" i="37"/>
  <c r="N35" i="37" s="1"/>
  <c r="K33" i="37"/>
  <c r="K35" i="37" s="1"/>
  <c r="G17" i="37"/>
  <c r="P17" i="37"/>
  <c r="V16" i="37"/>
  <c r="L17" i="37"/>
  <c r="R33" i="37"/>
  <c r="R35" i="37" s="1"/>
  <c r="J33" i="37"/>
  <c r="J35" i="37" s="1"/>
  <c r="G35" i="33"/>
  <c r="G39" i="33" s="1"/>
  <c r="G71" i="24"/>
  <c r="V21" i="38"/>
  <c r="V32" i="38"/>
  <c r="G34" i="38"/>
  <c r="V34" i="38" s="1"/>
  <c r="U16" i="28"/>
  <c r="U22" i="28"/>
  <c r="U14" i="28"/>
  <c r="K17" i="37"/>
  <c r="O25" i="37"/>
  <c r="O27" i="37" s="1"/>
  <c r="O33" i="37"/>
  <c r="O35" i="37" s="1"/>
  <c r="H17" i="37"/>
  <c r="M25" i="37"/>
  <c r="M27" i="37" s="1"/>
  <c r="G25" i="37"/>
  <c r="G27" i="37" s="1"/>
  <c r="Q25" i="37"/>
  <c r="Q27" i="37" s="1"/>
  <c r="Q33" i="37"/>
  <c r="Q35" i="37" s="1"/>
  <c r="P33" i="37"/>
  <c r="P35" i="37" s="1"/>
  <c r="R25" i="37"/>
  <c r="R27" i="37" s="1"/>
  <c r="H25" i="37"/>
  <c r="H27" i="37" s="1"/>
  <c r="Q17" i="37"/>
  <c r="I17" i="37"/>
  <c r="O17" i="37"/>
  <c r="K25" i="37"/>
  <c r="K27" i="37" s="1"/>
  <c r="I25" i="37"/>
  <c r="I27" i="37" s="1"/>
  <c r="I33" i="37"/>
  <c r="I35" i="37" s="1"/>
  <c r="V23" i="37"/>
  <c r="J25" i="37"/>
  <c r="J27" i="37" s="1"/>
  <c r="R17" i="37"/>
  <c r="J17" i="37"/>
  <c r="V15" i="37"/>
  <c r="N17" i="37"/>
  <c r="H33" i="37"/>
  <c r="H35" i="37" s="1"/>
  <c r="P25" i="37"/>
  <c r="P27" i="37" s="1"/>
  <c r="M17" i="37"/>
  <c r="V24" i="37"/>
  <c r="V14" i="37"/>
  <c r="V22" i="37"/>
  <c r="V34" i="33"/>
  <c r="G69" i="33"/>
  <c r="U30" i="27"/>
  <c r="F32" i="27"/>
  <c r="U16" i="27"/>
  <c r="U32" i="27"/>
  <c r="U24" i="27"/>
  <c r="U22" i="27"/>
  <c r="U14" i="27"/>
  <c r="T11" i="24"/>
  <c r="U29" i="23"/>
  <c r="T12" i="24"/>
  <c r="S11" i="24"/>
  <c r="S12" i="24"/>
  <c r="U27" i="24"/>
  <c r="I34" i="26"/>
  <c r="J38" i="33" s="1"/>
  <c r="J68" i="33" s="1"/>
  <c r="N5" i="31" s="1"/>
  <c r="S28" i="24"/>
  <c r="Q34" i="26"/>
  <c r="R38" i="33" s="1"/>
  <c r="R68" i="33" s="1"/>
  <c r="V5" i="31" s="1"/>
  <c r="T27" i="24"/>
  <c r="S27" i="24"/>
  <c r="U11" i="24"/>
  <c r="S13" i="24"/>
  <c r="U21" i="26"/>
  <c r="V21" i="33" s="1"/>
  <c r="G34" i="26"/>
  <c r="H38" i="33" s="1"/>
  <c r="H68" i="33" s="1"/>
  <c r="S19" i="24"/>
  <c r="U27" i="23"/>
  <c r="V27" i="24" s="1"/>
  <c r="T28" i="24"/>
  <c r="R22" i="23"/>
  <c r="S29" i="24"/>
  <c r="F34" i="26"/>
  <c r="N34" i="26"/>
  <c r="O38" i="33" s="1"/>
  <c r="O68" i="33" s="1"/>
  <c r="S14" i="23"/>
  <c r="U12" i="23"/>
  <c r="G16" i="26"/>
  <c r="U16" i="26" s="1"/>
  <c r="M34" i="26"/>
  <c r="N38" i="33" s="1"/>
  <c r="N68" i="33" s="1"/>
  <c r="R5" i="31" s="1"/>
  <c r="R14" i="23"/>
  <c r="V29" i="24"/>
  <c r="U28" i="23"/>
  <c r="P34" i="26"/>
  <c r="Q38" i="33" s="1"/>
  <c r="Q68" i="33" s="1"/>
  <c r="U5" i="31" s="1"/>
  <c r="H34" i="26"/>
  <c r="I38" i="33" s="1"/>
  <c r="I68" i="33" s="1"/>
  <c r="T14" i="23"/>
  <c r="L34" i="26"/>
  <c r="M38" i="33" s="1"/>
  <c r="M68" i="33" s="1"/>
  <c r="Q5" i="31" s="1"/>
  <c r="K34" i="26"/>
  <c r="L38" i="33" s="1"/>
  <c r="L68" i="33" s="1"/>
  <c r="P5" i="31" s="1"/>
  <c r="T22" i="23"/>
  <c r="U28" i="24"/>
  <c r="U11" i="23"/>
  <c r="O34" i="26"/>
  <c r="P38" i="33" s="1"/>
  <c r="P68" i="33" s="1"/>
  <c r="J34" i="26"/>
  <c r="K38" i="33" s="1"/>
  <c r="K68" i="33" s="1"/>
  <c r="S22" i="23"/>
  <c r="U13" i="23"/>
  <c r="U19" i="26"/>
  <c r="V19" i="33" s="1"/>
  <c r="U30" i="26"/>
  <c r="V30" i="33" s="1"/>
  <c r="F32" i="26"/>
  <c r="U32" i="26" s="1"/>
  <c r="V32" i="33" s="1"/>
  <c r="R22" i="26"/>
  <c r="U14" i="26"/>
  <c r="S22" i="26"/>
  <c r="T22" i="33" s="1"/>
  <c r="V34" i="24"/>
  <c r="Q30" i="23"/>
  <c r="Q32" i="23" s="1"/>
  <c r="G30" i="23"/>
  <c r="G32" i="23" s="1"/>
  <c r="H30" i="23"/>
  <c r="H32" i="23" s="1"/>
  <c r="I30" i="23"/>
  <c r="I32" i="23" s="1"/>
  <c r="J30" i="23"/>
  <c r="J32" i="23" s="1"/>
  <c r="K30" i="23"/>
  <c r="K32" i="23" s="1"/>
  <c r="L30" i="23"/>
  <c r="L32" i="23" s="1"/>
  <c r="M30" i="23"/>
  <c r="M32" i="23" s="1"/>
  <c r="N30" i="23"/>
  <c r="N32" i="23" s="1"/>
  <c r="O30" i="23"/>
  <c r="O32" i="23" s="1"/>
  <c r="P30" i="23"/>
  <c r="P32" i="23" s="1"/>
  <c r="R30" i="23"/>
  <c r="S30" i="23"/>
  <c r="T30" i="23"/>
  <c r="F32" i="23"/>
  <c r="G22" i="23"/>
  <c r="H22" i="23"/>
  <c r="H24" i="23" s="1"/>
  <c r="I22" i="23"/>
  <c r="J22" i="23"/>
  <c r="J24" i="23" s="1"/>
  <c r="K22" i="23"/>
  <c r="K24" i="23" s="1"/>
  <c r="L22" i="23"/>
  <c r="L24" i="23" s="1"/>
  <c r="M22" i="23"/>
  <c r="N22" i="23"/>
  <c r="O22" i="23"/>
  <c r="P22" i="23"/>
  <c r="Q22" i="23"/>
  <c r="G14" i="23"/>
  <c r="H14" i="23"/>
  <c r="I14" i="23"/>
  <c r="J14" i="23"/>
  <c r="K14" i="23"/>
  <c r="L14" i="24" s="1"/>
  <c r="L8" i="24" s="1"/>
  <c r="L14" i="23"/>
  <c r="M14" i="23"/>
  <c r="N14" i="23"/>
  <c r="O14" i="23"/>
  <c r="P14" i="23"/>
  <c r="Q14" i="23"/>
  <c r="U21" i="24"/>
  <c r="T21" i="24"/>
  <c r="S6" i="45"/>
  <c r="T19" i="24"/>
  <c r="U19" i="24"/>
  <c r="H71" i="39"/>
  <c r="L6" i="45" s="1"/>
  <c r="I71" i="39"/>
  <c r="M6" i="45" s="1"/>
  <c r="J71" i="39"/>
  <c r="N6" i="45" s="1"/>
  <c r="K71" i="39"/>
  <c r="O6" i="45" s="1"/>
  <c r="L71" i="39"/>
  <c r="P6" i="45" s="1"/>
  <c r="M71" i="39"/>
  <c r="Q6" i="45" s="1"/>
  <c r="N71" i="39"/>
  <c r="R6" i="45" s="1"/>
  <c r="O71" i="39"/>
  <c r="P71" i="39"/>
  <c r="T6" i="45" s="1"/>
  <c r="Q71" i="39"/>
  <c r="U6" i="45" s="1"/>
  <c r="R71" i="39"/>
  <c r="V6" i="45" s="1"/>
  <c r="G71" i="39"/>
  <c r="K6" i="45" s="1"/>
  <c r="V36" i="39"/>
  <c r="G62" i="38"/>
  <c r="L6" i="44"/>
  <c r="M6" i="44"/>
  <c r="N6" i="44"/>
  <c r="O6" i="44"/>
  <c r="P6" i="44"/>
  <c r="Q6" i="44"/>
  <c r="R6" i="44"/>
  <c r="S6" i="44"/>
  <c r="T6" i="44"/>
  <c r="U6" i="44"/>
  <c r="V6" i="44"/>
  <c r="G70" i="38"/>
  <c r="K6" i="44" s="1"/>
  <c r="V36" i="38"/>
  <c r="F35" i="28"/>
  <c r="N5" i="32"/>
  <c r="Q5" i="32"/>
  <c r="U5" i="32"/>
  <c r="T5" i="32"/>
  <c r="M24" i="23"/>
  <c r="G79" i="29"/>
  <c r="H79" i="29"/>
  <c r="I79" i="29"/>
  <c r="J79" i="29"/>
  <c r="K79" i="29"/>
  <c r="L79" i="29"/>
  <c r="M79" i="29"/>
  <c r="N79" i="29"/>
  <c r="O79" i="29"/>
  <c r="P79" i="29"/>
  <c r="Q79" i="29"/>
  <c r="F79" i="29"/>
  <c r="T80" i="28"/>
  <c r="I10" i="45"/>
  <c r="I11" i="45"/>
  <c r="I13" i="45"/>
  <c r="I14" i="45"/>
  <c r="I10" i="44"/>
  <c r="I11" i="44"/>
  <c r="I13" i="44"/>
  <c r="I14" i="44"/>
  <c r="I10" i="32"/>
  <c r="I11" i="32"/>
  <c r="I13" i="32"/>
  <c r="I14" i="32"/>
  <c r="I10" i="31"/>
  <c r="I11" i="31"/>
  <c r="I13" i="31"/>
  <c r="I14" i="31"/>
  <c r="I10" i="30"/>
  <c r="I11" i="30"/>
  <c r="I13" i="30"/>
  <c r="I14" i="30"/>
  <c r="H10" i="45"/>
  <c r="H11" i="45"/>
  <c r="H13" i="45"/>
  <c r="H14" i="45"/>
  <c r="H10" i="44"/>
  <c r="H11" i="44"/>
  <c r="H13" i="44"/>
  <c r="H14" i="44"/>
  <c r="H10" i="32"/>
  <c r="H11" i="32"/>
  <c r="H13" i="32"/>
  <c r="H14" i="32"/>
  <c r="H10" i="31"/>
  <c r="H11" i="31"/>
  <c r="H13" i="31"/>
  <c r="H14" i="31"/>
  <c r="H10" i="30"/>
  <c r="H11" i="30"/>
  <c r="H13" i="30"/>
  <c r="H14" i="30"/>
  <c r="G10" i="45"/>
  <c r="G11" i="45"/>
  <c r="G13" i="45"/>
  <c r="G14" i="45"/>
  <c r="G10" i="44"/>
  <c r="G11" i="44"/>
  <c r="G13" i="44"/>
  <c r="G14" i="44"/>
  <c r="G10" i="32"/>
  <c r="G11" i="32"/>
  <c r="G13" i="32"/>
  <c r="G14" i="32"/>
  <c r="G10" i="31"/>
  <c r="G11" i="31"/>
  <c r="G13" i="31"/>
  <c r="G14" i="31"/>
  <c r="G10" i="30"/>
  <c r="G11" i="30"/>
  <c r="G13" i="30"/>
  <c r="G14" i="30"/>
  <c r="F9" i="45"/>
  <c r="F10" i="45"/>
  <c r="F11" i="45"/>
  <c r="F13" i="45"/>
  <c r="F14" i="45"/>
  <c r="F9" i="44"/>
  <c r="F10" i="44"/>
  <c r="F11" i="44"/>
  <c r="F13" i="44"/>
  <c r="F14" i="44"/>
  <c r="F9" i="32"/>
  <c r="F10" i="32"/>
  <c r="F11" i="32"/>
  <c r="F13" i="32"/>
  <c r="F14" i="32"/>
  <c r="F9" i="31"/>
  <c r="F10" i="31"/>
  <c r="F11" i="31"/>
  <c r="F13" i="31"/>
  <c r="F14" i="31"/>
  <c r="F9" i="30"/>
  <c r="F10" i="30"/>
  <c r="F11" i="30"/>
  <c r="F13" i="30"/>
  <c r="F14" i="30"/>
  <c r="E9" i="45"/>
  <c r="E10" i="45"/>
  <c r="E11" i="45"/>
  <c r="E13" i="45"/>
  <c r="E14" i="45"/>
  <c r="E9" i="44"/>
  <c r="E10" i="44"/>
  <c r="E11" i="44"/>
  <c r="E13" i="44"/>
  <c r="E14" i="44"/>
  <c r="E9" i="32"/>
  <c r="E10" i="32"/>
  <c r="E11" i="32"/>
  <c r="E13" i="32"/>
  <c r="E14" i="32"/>
  <c r="E9" i="31"/>
  <c r="E10" i="31"/>
  <c r="E11" i="31"/>
  <c r="E13" i="31"/>
  <c r="E14" i="31"/>
  <c r="E9" i="30"/>
  <c r="E10" i="30"/>
  <c r="E11" i="30"/>
  <c r="E13" i="30"/>
  <c r="E14" i="30"/>
  <c r="I92" i="45"/>
  <c r="I96" i="45"/>
  <c r="I97" i="45"/>
  <c r="I92" i="44"/>
  <c r="I96" i="44"/>
  <c r="I97" i="44"/>
  <c r="I92" i="32"/>
  <c r="I96" i="32"/>
  <c r="I97" i="32"/>
  <c r="I91" i="31"/>
  <c r="I95" i="31"/>
  <c r="I96" i="31"/>
  <c r="I90" i="30"/>
  <c r="I94" i="30"/>
  <c r="I95" i="30"/>
  <c r="H96" i="45"/>
  <c r="H97" i="45"/>
  <c r="H96" i="44"/>
  <c r="H97" i="44"/>
  <c r="H96" i="32"/>
  <c r="H97" i="32"/>
  <c r="H95" i="31"/>
  <c r="H96" i="31"/>
  <c r="H94" i="30"/>
  <c r="H95" i="30"/>
  <c r="G96" i="45"/>
  <c r="G97" i="45"/>
  <c r="G96" i="44"/>
  <c r="G97" i="44"/>
  <c r="G96" i="32"/>
  <c r="G97" i="32"/>
  <c r="G95" i="31"/>
  <c r="G96" i="31"/>
  <c r="G94" i="30"/>
  <c r="G95" i="30"/>
  <c r="F96" i="45"/>
  <c r="F97" i="45"/>
  <c r="F96" i="44"/>
  <c r="F97" i="44"/>
  <c r="F96" i="32"/>
  <c r="F97" i="32"/>
  <c r="F95" i="31"/>
  <c r="F96" i="31"/>
  <c r="F94" i="30"/>
  <c r="F95" i="30"/>
  <c r="E94" i="30"/>
  <c r="E95" i="30"/>
  <c r="E96" i="45"/>
  <c r="E97" i="45"/>
  <c r="E96" i="44"/>
  <c r="E97" i="44"/>
  <c r="E96" i="32"/>
  <c r="E97" i="32"/>
  <c r="E95" i="31"/>
  <c r="E96" i="31"/>
  <c r="G20" i="48"/>
  <c r="H20" i="48"/>
  <c r="I20" i="48"/>
  <c r="J20" i="48"/>
  <c r="K20" i="48"/>
  <c r="L20" i="48"/>
  <c r="M20" i="48"/>
  <c r="N20" i="48"/>
  <c r="O20" i="48"/>
  <c r="P20" i="48"/>
  <c r="Q20" i="48"/>
  <c r="R20" i="48"/>
  <c r="S20" i="48"/>
  <c r="G21" i="48"/>
  <c r="H21" i="48"/>
  <c r="I21" i="48"/>
  <c r="J21" i="48"/>
  <c r="K21" i="48"/>
  <c r="L21" i="48"/>
  <c r="M21" i="48"/>
  <c r="N21" i="48"/>
  <c r="O21" i="48"/>
  <c r="P21" i="48"/>
  <c r="Q21" i="48"/>
  <c r="R21" i="48"/>
  <c r="S21" i="48"/>
  <c r="G22" i="48"/>
  <c r="H22" i="48"/>
  <c r="I22" i="48"/>
  <c r="J22" i="48"/>
  <c r="K22" i="48"/>
  <c r="L22" i="48"/>
  <c r="M22" i="48"/>
  <c r="N22" i="48"/>
  <c r="O22" i="48"/>
  <c r="P22" i="48"/>
  <c r="Q22" i="48"/>
  <c r="R22" i="48"/>
  <c r="S22" i="48"/>
  <c r="H19" i="48"/>
  <c r="I19" i="48"/>
  <c r="J19" i="48"/>
  <c r="K19" i="48"/>
  <c r="L19" i="48"/>
  <c r="M19" i="48"/>
  <c r="N19" i="48"/>
  <c r="O19" i="48"/>
  <c r="P19" i="48"/>
  <c r="Q19" i="48"/>
  <c r="R19" i="48"/>
  <c r="S19" i="48"/>
  <c r="G19" i="48"/>
  <c r="J34" i="11"/>
  <c r="K34" i="11"/>
  <c r="L34" i="11"/>
  <c r="M34" i="11"/>
  <c r="N34" i="11"/>
  <c r="O34" i="11"/>
  <c r="P34" i="11"/>
  <c r="Q34" i="11"/>
  <c r="J35" i="11"/>
  <c r="K35" i="11"/>
  <c r="L35" i="11"/>
  <c r="M35" i="11"/>
  <c r="N35" i="11"/>
  <c r="O35" i="11"/>
  <c r="P35" i="11"/>
  <c r="Q35" i="11"/>
  <c r="I34" i="11"/>
  <c r="I35" i="11"/>
  <c r="T8" i="33" l="1"/>
  <c r="V8" i="24"/>
  <c r="M11" i="37"/>
  <c r="T11" i="37"/>
  <c r="R11" i="37"/>
  <c r="Q11" i="37"/>
  <c r="H11" i="37"/>
  <c r="K11" i="37"/>
  <c r="L11" i="37"/>
  <c r="S24" i="38"/>
  <c r="T24" i="28"/>
  <c r="U24" i="28" s="1"/>
  <c r="T34" i="28"/>
  <c r="S40" i="37"/>
  <c r="S69" i="37" s="1"/>
  <c r="R43" i="27"/>
  <c r="V8" i="33"/>
  <c r="N11" i="37"/>
  <c r="G19" i="37"/>
  <c r="G11" i="37"/>
  <c r="O11" i="37"/>
  <c r="S11" i="37"/>
  <c r="U35" i="37"/>
  <c r="V35" i="37" s="1"/>
  <c r="U11" i="37"/>
  <c r="P11" i="37"/>
  <c r="J11" i="37"/>
  <c r="I11" i="37"/>
  <c r="S22" i="33"/>
  <c r="S8" i="33" s="1"/>
  <c r="R34" i="26"/>
  <c r="R44" i="26" s="1"/>
  <c r="L11" i="39"/>
  <c r="U26" i="39"/>
  <c r="H11" i="39"/>
  <c r="M11" i="39"/>
  <c r="U18" i="39"/>
  <c r="O11" i="39"/>
  <c r="H70" i="39"/>
  <c r="L5" i="45" s="1"/>
  <c r="U16" i="39"/>
  <c r="U24" i="39"/>
  <c r="P11" i="39"/>
  <c r="N11" i="39"/>
  <c r="H40" i="39"/>
  <c r="Q11" i="39"/>
  <c r="Q40" i="39" s="1"/>
  <c r="L40" i="39"/>
  <c r="R11" i="39"/>
  <c r="I11" i="39"/>
  <c r="I40" i="39" s="1"/>
  <c r="J11" i="39"/>
  <c r="K11" i="39"/>
  <c r="L70" i="39"/>
  <c r="P5" i="45" s="1"/>
  <c r="U32" i="39"/>
  <c r="M70" i="39"/>
  <c r="Q5" i="45" s="1"/>
  <c r="H34" i="29"/>
  <c r="K34" i="29"/>
  <c r="P34" i="29"/>
  <c r="I34" i="29"/>
  <c r="Q34" i="29"/>
  <c r="J32" i="29"/>
  <c r="J34" i="29"/>
  <c r="G32" i="29"/>
  <c r="U32" i="29" s="1"/>
  <c r="G34" i="29"/>
  <c r="U30" i="29"/>
  <c r="S34" i="28"/>
  <c r="Q34" i="28"/>
  <c r="P34" i="28"/>
  <c r="J34" i="28"/>
  <c r="L18" i="38"/>
  <c r="R34" i="28"/>
  <c r="H18" i="38"/>
  <c r="H11" i="38"/>
  <c r="H69" i="38" s="1"/>
  <c r="I18" i="38"/>
  <c r="I11" i="38"/>
  <c r="I69" i="38" s="1"/>
  <c r="P11" i="38"/>
  <c r="P69" i="38" s="1"/>
  <c r="T5" i="44" s="1"/>
  <c r="Q18" i="38"/>
  <c r="Q11" i="38"/>
  <c r="Q69" i="38" s="1"/>
  <c r="U5" i="44" s="1"/>
  <c r="T26" i="38"/>
  <c r="T11" i="38"/>
  <c r="M11" i="38"/>
  <c r="K18" i="38"/>
  <c r="K11" i="38"/>
  <c r="U30" i="28"/>
  <c r="G69" i="38"/>
  <c r="F32" i="28"/>
  <c r="U32" i="28" s="1"/>
  <c r="N18" i="38"/>
  <c r="N11" i="38"/>
  <c r="N69" i="38" s="1"/>
  <c r="R5" i="44" s="1"/>
  <c r="J18" i="38"/>
  <c r="J11" i="38"/>
  <c r="J69" i="38" s="1"/>
  <c r="N5" i="44" s="1"/>
  <c r="O18" i="38"/>
  <c r="O11" i="38"/>
  <c r="O69" i="38" s="1"/>
  <c r="S5" i="44" s="1"/>
  <c r="R18" i="38"/>
  <c r="R11" i="38"/>
  <c r="G34" i="28"/>
  <c r="L40" i="38"/>
  <c r="V24" i="38"/>
  <c r="U40" i="38" s="1"/>
  <c r="I40" i="38"/>
  <c r="J40" i="38"/>
  <c r="V16" i="38"/>
  <c r="O19" i="37"/>
  <c r="J19" i="37"/>
  <c r="I19" i="37"/>
  <c r="L19" i="37"/>
  <c r="R19" i="37"/>
  <c r="Q19" i="37"/>
  <c r="H19" i="37"/>
  <c r="P19" i="37"/>
  <c r="N19" i="37"/>
  <c r="M19" i="37"/>
  <c r="K19" i="37"/>
  <c r="P5" i="44"/>
  <c r="M5" i="44"/>
  <c r="L5" i="44"/>
  <c r="V27" i="37"/>
  <c r="V33" i="37"/>
  <c r="V25" i="37"/>
  <c r="V17" i="37"/>
  <c r="P5" i="32"/>
  <c r="R5" i="32"/>
  <c r="S5" i="32"/>
  <c r="V5" i="32"/>
  <c r="U14" i="24"/>
  <c r="V11" i="24"/>
  <c r="T14" i="24"/>
  <c r="V28" i="24"/>
  <c r="R24" i="26"/>
  <c r="S24" i="33" s="1"/>
  <c r="S38" i="33"/>
  <c r="S68" i="33" s="1"/>
  <c r="V12" i="24"/>
  <c r="S24" i="26"/>
  <c r="T24" i="33" s="1"/>
  <c r="S34" i="26"/>
  <c r="V13" i="24"/>
  <c r="S14" i="24"/>
  <c r="T32" i="23"/>
  <c r="U30" i="24"/>
  <c r="S32" i="23"/>
  <c r="T30" i="24"/>
  <c r="R32" i="23"/>
  <c r="S30" i="24"/>
  <c r="T22" i="26"/>
  <c r="U22" i="33" s="1"/>
  <c r="U8" i="33" s="1"/>
  <c r="U21" i="23"/>
  <c r="S21" i="24"/>
  <c r="T5" i="31"/>
  <c r="S5" i="31"/>
  <c r="O5" i="31"/>
  <c r="M5" i="31"/>
  <c r="L5" i="31"/>
  <c r="T20" i="24"/>
  <c r="H34" i="23"/>
  <c r="U14" i="23"/>
  <c r="M34" i="23"/>
  <c r="I34" i="23"/>
  <c r="K34" i="23"/>
  <c r="N34" i="23"/>
  <c r="U30" i="23"/>
  <c r="L34" i="23"/>
  <c r="G24" i="23"/>
  <c r="U19" i="23"/>
  <c r="J34" i="23"/>
  <c r="Q34" i="23"/>
  <c r="P24" i="23"/>
  <c r="P34" i="23"/>
  <c r="N24" i="23"/>
  <c r="O24" i="23"/>
  <c r="O34" i="23"/>
  <c r="G16" i="23"/>
  <c r="G34" i="23"/>
  <c r="F24" i="23"/>
  <c r="F34" i="23"/>
  <c r="Q24" i="23"/>
  <c r="I24" i="23"/>
  <c r="L5" i="32"/>
  <c r="G43" i="33"/>
  <c r="H43" i="33"/>
  <c r="I43" i="33"/>
  <c r="G44" i="33"/>
  <c r="H44" i="33"/>
  <c r="I44" i="33"/>
  <c r="G45" i="33"/>
  <c r="H45" i="33"/>
  <c r="I45" i="33"/>
  <c r="G47" i="33"/>
  <c r="H47" i="33"/>
  <c r="I47" i="33"/>
  <c r="G48" i="33"/>
  <c r="H48" i="33"/>
  <c r="I48" i="33"/>
  <c r="G49" i="33"/>
  <c r="H49" i="33"/>
  <c r="I49" i="33"/>
  <c r="G50" i="33"/>
  <c r="H50" i="33"/>
  <c r="I50" i="33"/>
  <c r="G51" i="33"/>
  <c r="H51" i="33"/>
  <c r="I51" i="33"/>
  <c r="G52" i="33"/>
  <c r="H52" i="33"/>
  <c r="I52" i="33"/>
  <c r="G53" i="33"/>
  <c r="H53" i="33"/>
  <c r="I53" i="33"/>
  <c r="G54" i="33"/>
  <c r="H54" i="33"/>
  <c r="I54" i="33"/>
  <c r="G55" i="33"/>
  <c r="H55" i="33"/>
  <c r="I55" i="33"/>
  <c r="G56" i="33"/>
  <c r="H56" i="33"/>
  <c r="I56" i="33"/>
  <c r="G57" i="33"/>
  <c r="H57" i="33"/>
  <c r="I57" i="33"/>
  <c r="G58" i="33"/>
  <c r="H58" i="33"/>
  <c r="I58" i="33"/>
  <c r="G59" i="33"/>
  <c r="H59" i="33"/>
  <c r="I59" i="33"/>
  <c r="G60" i="33"/>
  <c r="H60" i="33"/>
  <c r="I60" i="33"/>
  <c r="S43" i="33"/>
  <c r="T43" i="33"/>
  <c r="U43" i="33"/>
  <c r="S44" i="33"/>
  <c r="T44" i="33"/>
  <c r="U44" i="33"/>
  <c r="S45" i="33"/>
  <c r="T45" i="33"/>
  <c r="U45" i="33"/>
  <c r="S47" i="33"/>
  <c r="T47" i="33"/>
  <c r="U47" i="33"/>
  <c r="S48" i="33"/>
  <c r="T48" i="33"/>
  <c r="U48" i="33"/>
  <c r="S49" i="33"/>
  <c r="T49" i="33"/>
  <c r="U49" i="33"/>
  <c r="S50" i="33"/>
  <c r="T50" i="33"/>
  <c r="U50" i="33"/>
  <c r="S51" i="33"/>
  <c r="T51" i="33"/>
  <c r="U51" i="33"/>
  <c r="S53" i="33"/>
  <c r="T53" i="33"/>
  <c r="U53" i="33"/>
  <c r="S54" i="33"/>
  <c r="T54" i="33"/>
  <c r="U54" i="33"/>
  <c r="S55" i="33"/>
  <c r="T55" i="33"/>
  <c r="U55" i="33"/>
  <c r="S56" i="33"/>
  <c r="T56" i="33"/>
  <c r="U56" i="33"/>
  <c r="S57" i="33"/>
  <c r="T57" i="33"/>
  <c r="U57" i="33"/>
  <c r="S58" i="33"/>
  <c r="T58" i="33"/>
  <c r="U58" i="33"/>
  <c r="S59" i="33"/>
  <c r="T59" i="33"/>
  <c r="U59" i="33"/>
  <c r="S60" i="33"/>
  <c r="T60" i="33"/>
  <c r="U60" i="33"/>
  <c r="S44" i="38"/>
  <c r="T44" i="38"/>
  <c r="U44" i="38"/>
  <c r="S45" i="38"/>
  <c r="T45" i="38"/>
  <c r="U45" i="38"/>
  <c r="S46" i="38"/>
  <c r="T46" i="38"/>
  <c r="U46" i="38"/>
  <c r="S48" i="38"/>
  <c r="T48" i="38"/>
  <c r="U48" i="38"/>
  <c r="S49" i="38"/>
  <c r="T49" i="38"/>
  <c r="U49" i="38"/>
  <c r="S50" i="38"/>
  <c r="T50" i="38"/>
  <c r="U50" i="38"/>
  <c r="S51" i="38"/>
  <c r="T51" i="38"/>
  <c r="U51" i="38"/>
  <c r="S52" i="38"/>
  <c r="T52" i="38"/>
  <c r="U52" i="38"/>
  <c r="S54" i="38"/>
  <c r="T54" i="38"/>
  <c r="U54" i="38"/>
  <c r="S55" i="38"/>
  <c r="T55" i="38"/>
  <c r="U55" i="38"/>
  <c r="S56" i="38"/>
  <c r="T56" i="38"/>
  <c r="U56" i="38"/>
  <c r="S57" i="38"/>
  <c r="T57" i="38"/>
  <c r="U57" i="38"/>
  <c r="S58" i="38"/>
  <c r="T58" i="38"/>
  <c r="U58" i="38"/>
  <c r="S59" i="38"/>
  <c r="T59" i="38"/>
  <c r="U59" i="38"/>
  <c r="S60" i="38"/>
  <c r="T60" i="38"/>
  <c r="U60" i="38"/>
  <c r="S61" i="38"/>
  <c r="T61" i="38"/>
  <c r="U61" i="38"/>
  <c r="L38" i="24" l="1"/>
  <c r="L68" i="24" s="1"/>
  <c r="S26" i="38"/>
  <c r="V26" i="38" s="1"/>
  <c r="S11" i="38"/>
  <c r="V19" i="37"/>
  <c r="T38" i="33"/>
  <c r="T68" i="33" s="1"/>
  <c r="S44" i="26"/>
  <c r="O70" i="39"/>
  <c r="S5" i="45" s="1"/>
  <c r="O40" i="39"/>
  <c r="M40" i="39"/>
  <c r="N70" i="39"/>
  <c r="R5" i="45" s="1"/>
  <c r="P40" i="39"/>
  <c r="N40" i="39"/>
  <c r="U34" i="39"/>
  <c r="P70" i="39"/>
  <c r="T5" i="45" s="1"/>
  <c r="I70" i="39"/>
  <c r="M5" i="45" s="1"/>
  <c r="R70" i="39"/>
  <c r="V5" i="45" s="1"/>
  <c r="R40" i="39"/>
  <c r="Q70" i="39"/>
  <c r="U5" i="45" s="1"/>
  <c r="K70" i="39"/>
  <c r="O5" i="45" s="1"/>
  <c r="K40" i="39"/>
  <c r="V11" i="39"/>
  <c r="J40" i="39"/>
  <c r="J70" i="39"/>
  <c r="N5" i="45" s="1"/>
  <c r="G40" i="39"/>
  <c r="G70" i="39"/>
  <c r="K5" i="45" s="1"/>
  <c r="H40" i="38"/>
  <c r="N40" i="38"/>
  <c r="P40" i="38"/>
  <c r="G40" i="38"/>
  <c r="V18" i="38"/>
  <c r="O40" i="38"/>
  <c r="M69" i="38"/>
  <c r="Q5" i="44" s="1"/>
  <c r="M40" i="38"/>
  <c r="R69" i="38"/>
  <c r="V5" i="44" s="1"/>
  <c r="R40" i="38"/>
  <c r="K69" i="38"/>
  <c r="O5" i="44" s="1"/>
  <c r="K40" i="38"/>
  <c r="Q40" i="38"/>
  <c r="T69" i="38"/>
  <c r="T40" i="38"/>
  <c r="V11" i="38"/>
  <c r="V40" i="38" s="1"/>
  <c r="V11" i="37"/>
  <c r="V52" i="33"/>
  <c r="K5" i="44"/>
  <c r="O5" i="32"/>
  <c r="M5" i="32"/>
  <c r="T24" i="26"/>
  <c r="T34" i="26"/>
  <c r="T32" i="24"/>
  <c r="V19" i="24"/>
  <c r="V14" i="24"/>
  <c r="V30" i="24"/>
  <c r="U32" i="24"/>
  <c r="V21" i="24"/>
  <c r="S32" i="24"/>
  <c r="U32" i="23"/>
  <c r="S20" i="24"/>
  <c r="U20" i="26"/>
  <c r="V20" i="33" s="1"/>
  <c r="U22" i="24"/>
  <c r="U8" i="24" s="1"/>
  <c r="U20" i="24"/>
  <c r="U22" i="26"/>
  <c r="U20" i="23"/>
  <c r="T22" i="24"/>
  <c r="T8" i="24" s="1"/>
  <c r="T24" i="23"/>
  <c r="T34" i="23"/>
  <c r="U38" i="24" s="1"/>
  <c r="U68" i="24" s="1"/>
  <c r="R24" i="23"/>
  <c r="G41" i="24"/>
  <c r="G42" i="24" s="1"/>
  <c r="S69" i="38" l="1"/>
  <c r="S40" i="38"/>
  <c r="U38" i="33"/>
  <c r="U68" i="33" s="1"/>
  <c r="T44" i="26"/>
  <c r="U24" i="26"/>
  <c r="V24" i="33" s="1"/>
  <c r="U24" i="33"/>
  <c r="V22" i="33"/>
  <c r="U24" i="24"/>
  <c r="V32" i="24"/>
  <c r="V20" i="24"/>
  <c r="S24" i="24"/>
  <c r="R34" i="23"/>
  <c r="S38" i="24" s="1"/>
  <c r="S68" i="24" s="1"/>
  <c r="S22" i="24"/>
  <c r="S8" i="24" s="1"/>
  <c r="K5" i="31"/>
  <c r="S24" i="23"/>
  <c r="S34" i="23"/>
  <c r="T38" i="24" s="1"/>
  <c r="T68" i="24" s="1"/>
  <c r="U22" i="23"/>
  <c r="V38" i="24"/>
  <c r="K5" i="32" l="1"/>
  <c r="V22" i="24"/>
  <c r="T24" i="24"/>
  <c r="U24" i="23"/>
  <c r="K46" i="33"/>
  <c r="K66" i="33" s="1"/>
  <c r="L46" i="33"/>
  <c r="L66" i="33" s="1"/>
  <c r="M46" i="33"/>
  <c r="M66" i="33" s="1"/>
  <c r="N46" i="33"/>
  <c r="N66" i="33" s="1"/>
  <c r="O46" i="33"/>
  <c r="O66" i="33" s="1"/>
  <c r="P46" i="33"/>
  <c r="P66" i="33" s="1"/>
  <c r="Q46" i="33"/>
  <c r="Q66" i="33" s="1"/>
  <c r="R46" i="33"/>
  <c r="R66" i="33" s="1"/>
  <c r="K61" i="33"/>
  <c r="K67" i="33" s="1"/>
  <c r="L61" i="33"/>
  <c r="L67" i="33" s="1"/>
  <c r="M61" i="33"/>
  <c r="M67" i="33" s="1"/>
  <c r="N61" i="33"/>
  <c r="N67" i="33" s="1"/>
  <c r="O61" i="33"/>
  <c r="O67" i="33" s="1"/>
  <c r="P61" i="33"/>
  <c r="P67" i="33" s="1"/>
  <c r="Q61" i="33"/>
  <c r="Q67" i="33" s="1"/>
  <c r="R61" i="33"/>
  <c r="R67" i="33" s="1"/>
  <c r="J61" i="33"/>
  <c r="J67" i="33" s="1"/>
  <c r="J46" i="33"/>
  <c r="J66" i="33" s="1"/>
  <c r="U61" i="24"/>
  <c r="I61" i="33" s="1"/>
  <c r="I67" i="33" s="1"/>
  <c r="U46" i="24"/>
  <c r="I46" i="33" s="1"/>
  <c r="I66" i="33" s="1"/>
  <c r="T61" i="24"/>
  <c r="H61" i="33" s="1"/>
  <c r="H67" i="33" s="1"/>
  <c r="T46" i="24"/>
  <c r="S61" i="24"/>
  <c r="S46" i="24"/>
  <c r="I18" i="48"/>
  <c r="J18" i="48"/>
  <c r="K18" i="48"/>
  <c r="L18" i="48"/>
  <c r="M18" i="48"/>
  <c r="N18" i="48"/>
  <c r="O18" i="48"/>
  <c r="P18" i="48"/>
  <c r="Q18" i="48"/>
  <c r="R18" i="48"/>
  <c r="H18" i="48"/>
  <c r="J9" i="47"/>
  <c r="L9" i="47"/>
  <c r="N9" i="47"/>
  <c r="P9" i="47"/>
  <c r="J10" i="47"/>
  <c r="L10" i="47"/>
  <c r="N10" i="47"/>
  <c r="P10" i="47"/>
  <c r="J11" i="47"/>
  <c r="L11" i="47"/>
  <c r="N11" i="47"/>
  <c r="P11" i="47"/>
  <c r="J12" i="47"/>
  <c r="L12" i="47"/>
  <c r="N12" i="47"/>
  <c r="P12" i="47"/>
  <c r="J13" i="47"/>
  <c r="L13" i="47"/>
  <c r="N13" i="47"/>
  <c r="P13" i="47"/>
  <c r="L8" i="47"/>
  <c r="N8" i="47"/>
  <c r="P8" i="47"/>
  <c r="J8" i="47"/>
  <c r="P45" i="47"/>
  <c r="N45" i="47"/>
  <c r="L45" i="47"/>
  <c r="J45" i="47"/>
  <c r="H45" i="47"/>
  <c r="P44" i="47"/>
  <c r="N44" i="47"/>
  <c r="L44" i="47"/>
  <c r="J44" i="47"/>
  <c r="H44" i="47"/>
  <c r="P43" i="47"/>
  <c r="N43" i="47"/>
  <c r="L43" i="47"/>
  <c r="J43" i="47"/>
  <c r="H43" i="47"/>
  <c r="P42" i="47"/>
  <c r="N42" i="47"/>
  <c r="L42" i="47"/>
  <c r="J42" i="47"/>
  <c r="H42" i="47"/>
  <c r="P41" i="47"/>
  <c r="N41" i="47"/>
  <c r="L41" i="47"/>
  <c r="J41" i="47"/>
  <c r="H41" i="47"/>
  <c r="P40" i="47"/>
  <c r="N40" i="47"/>
  <c r="L40" i="47"/>
  <c r="J40" i="47"/>
  <c r="H40" i="47"/>
  <c r="V24" i="24" l="1"/>
  <c r="G46" i="33"/>
  <c r="G66" i="33" s="1"/>
  <c r="S67" i="24"/>
  <c r="G61" i="33"/>
  <c r="G67" i="33" s="1"/>
  <c r="H46" i="33"/>
  <c r="H66" i="33" s="1"/>
  <c r="U67" i="24"/>
  <c r="T67" i="24"/>
  <c r="L70" i="33"/>
  <c r="Q70" i="33"/>
  <c r="O70" i="33"/>
  <c r="N70" i="33"/>
  <c r="P70" i="33"/>
  <c r="M70" i="33"/>
  <c r="K70" i="33"/>
  <c r="R70" i="33"/>
  <c r="T22" i="48"/>
  <c r="T21" i="48"/>
  <c r="T20" i="48"/>
  <c r="S18" i="48"/>
  <c r="T18" i="48" s="1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B8" i="16"/>
  <c r="U48" i="29"/>
  <c r="U49" i="29"/>
  <c r="U50" i="29"/>
  <c r="H12" i="9" s="1"/>
  <c r="U47" i="29"/>
  <c r="U37" i="28"/>
  <c r="U38" i="28"/>
  <c r="U39" i="28"/>
  <c r="U40" i="28"/>
  <c r="U79" i="29"/>
  <c r="U77" i="29"/>
  <c r="U57" i="29"/>
  <c r="U61" i="29"/>
  <c r="U62" i="29"/>
  <c r="H9" i="9" s="1"/>
  <c r="U63" i="29"/>
  <c r="U64" i="29"/>
  <c r="H11" i="9" s="1"/>
  <c r="U60" i="29"/>
  <c r="U38" i="29"/>
  <c r="U39" i="29"/>
  <c r="U40" i="29"/>
  <c r="U37" i="29"/>
  <c r="U36" i="27"/>
  <c r="U37" i="27"/>
  <c r="U38" i="27"/>
  <c r="U39" i="27"/>
  <c r="U50" i="26"/>
  <c r="U48" i="26"/>
  <c r="E12" i="9" s="1"/>
  <c r="U49" i="26"/>
  <c r="U37" i="26"/>
  <c r="U38" i="26"/>
  <c r="U39" i="26"/>
  <c r="U40" i="26"/>
  <c r="U41" i="26"/>
  <c r="U42" i="26"/>
  <c r="U37" i="23"/>
  <c r="U38" i="23"/>
  <c r="U39" i="23"/>
  <c r="U40" i="23"/>
  <c r="U47" i="23"/>
  <c r="U48" i="23"/>
  <c r="D12" i="9" s="1"/>
  <c r="U49" i="23"/>
  <c r="U50" i="23"/>
  <c r="U51" i="23"/>
  <c r="U52" i="23"/>
  <c r="G35" i="29"/>
  <c r="L47" i="45" s="1"/>
  <c r="H35" i="29"/>
  <c r="M47" i="45" s="1"/>
  <c r="I35" i="29"/>
  <c r="N47" i="45" s="1"/>
  <c r="J35" i="29"/>
  <c r="O47" i="45" s="1"/>
  <c r="K35" i="29"/>
  <c r="P47" i="45" s="1"/>
  <c r="L35" i="29"/>
  <c r="Q47" i="45" s="1"/>
  <c r="M35" i="29"/>
  <c r="R47" i="45" s="1"/>
  <c r="N35" i="29"/>
  <c r="S47" i="45" s="1"/>
  <c r="O35" i="29"/>
  <c r="T47" i="45" s="1"/>
  <c r="P35" i="29"/>
  <c r="U47" i="45" s="1"/>
  <c r="Q35" i="29"/>
  <c r="V47" i="45" s="1"/>
  <c r="F35" i="29"/>
  <c r="K47" i="45" s="1"/>
  <c r="K47" i="44"/>
  <c r="G35" i="28"/>
  <c r="L47" i="44" s="1"/>
  <c r="H35" i="28"/>
  <c r="M47" i="44" s="1"/>
  <c r="I35" i="28"/>
  <c r="N47" i="44" s="1"/>
  <c r="J35" i="28"/>
  <c r="O47" i="44" s="1"/>
  <c r="K35" i="28"/>
  <c r="P47" i="44" s="1"/>
  <c r="L35" i="28"/>
  <c r="Q47" i="44" s="1"/>
  <c r="M35" i="28"/>
  <c r="R47" i="44" s="1"/>
  <c r="N35" i="28"/>
  <c r="S47" i="44" s="1"/>
  <c r="O35" i="28"/>
  <c r="P35" i="28"/>
  <c r="U47" i="44" s="1"/>
  <c r="Q35" i="28"/>
  <c r="R35" i="28"/>
  <c r="S35" i="28"/>
  <c r="T35" i="28"/>
  <c r="T44" i="28" s="1"/>
  <c r="G35" i="27"/>
  <c r="L47" i="32" s="1"/>
  <c r="H35" i="27"/>
  <c r="I35" i="27"/>
  <c r="N47" i="32" s="1"/>
  <c r="J35" i="27"/>
  <c r="O47" i="32" s="1"/>
  <c r="K35" i="27"/>
  <c r="P47" i="32" s="1"/>
  <c r="L35" i="27"/>
  <c r="Q47" i="32" s="1"/>
  <c r="M35" i="27"/>
  <c r="R47" i="32" s="1"/>
  <c r="N35" i="27"/>
  <c r="S47" i="32" s="1"/>
  <c r="O35" i="27"/>
  <c r="T47" i="32" s="1"/>
  <c r="P35" i="27"/>
  <c r="U47" i="32" s="1"/>
  <c r="Q35" i="27"/>
  <c r="V47" i="32" s="1"/>
  <c r="R35" i="27"/>
  <c r="S35" i="27"/>
  <c r="T35" i="27"/>
  <c r="F35" i="27"/>
  <c r="K47" i="32" s="1"/>
  <c r="H35" i="26"/>
  <c r="H44" i="26" s="1"/>
  <c r="G35" i="26"/>
  <c r="F35" i="26"/>
  <c r="K46" i="31" s="1"/>
  <c r="I35" i="26"/>
  <c r="J35" i="26"/>
  <c r="O46" i="31" s="1"/>
  <c r="K35" i="26"/>
  <c r="P46" i="31" s="1"/>
  <c r="L35" i="26"/>
  <c r="Q46" i="31" s="1"/>
  <c r="M35" i="26"/>
  <c r="R46" i="31" s="1"/>
  <c r="N35" i="26"/>
  <c r="S46" i="31" s="1"/>
  <c r="O35" i="26"/>
  <c r="T46" i="31" s="1"/>
  <c r="P35" i="26"/>
  <c r="U46" i="31" s="1"/>
  <c r="Q35" i="26"/>
  <c r="R35" i="26"/>
  <c r="S35" i="26"/>
  <c r="T35" i="26"/>
  <c r="G35" i="23"/>
  <c r="L46" i="30" s="1"/>
  <c r="H35" i="23"/>
  <c r="M46" i="30" s="1"/>
  <c r="I35" i="23"/>
  <c r="N46" i="30" s="1"/>
  <c r="J35" i="23"/>
  <c r="O46" i="30" s="1"/>
  <c r="K35" i="23"/>
  <c r="P46" i="30" s="1"/>
  <c r="L35" i="23"/>
  <c r="Q46" i="30" s="1"/>
  <c r="M35" i="23"/>
  <c r="R46" i="30" s="1"/>
  <c r="N35" i="23"/>
  <c r="S46" i="30" s="1"/>
  <c r="O35" i="23"/>
  <c r="T46" i="30" s="1"/>
  <c r="P35" i="23"/>
  <c r="U46" i="30" s="1"/>
  <c r="Q35" i="23"/>
  <c r="V46" i="30" s="1"/>
  <c r="R35" i="23"/>
  <c r="S35" i="23"/>
  <c r="T35" i="23"/>
  <c r="F35" i="23"/>
  <c r="U60" i="28"/>
  <c r="U61" i="28"/>
  <c r="U62" i="28"/>
  <c r="G9" i="9" s="1"/>
  <c r="U63" i="28"/>
  <c r="U64" i="28"/>
  <c r="G11" i="9" s="1"/>
  <c r="U78" i="28"/>
  <c r="U47" i="28"/>
  <c r="U48" i="28"/>
  <c r="G12" i="9" s="1"/>
  <c r="U49" i="28"/>
  <c r="U50" i="28"/>
  <c r="U57" i="28"/>
  <c r="H76" i="28"/>
  <c r="M55" i="44" s="1"/>
  <c r="G76" i="28"/>
  <c r="L55" i="44" s="1"/>
  <c r="F76" i="28"/>
  <c r="H56" i="28"/>
  <c r="M51" i="44" s="1"/>
  <c r="G56" i="28"/>
  <c r="L51" i="44" s="1"/>
  <c r="F56" i="28"/>
  <c r="K51" i="44" s="1"/>
  <c r="L45" i="44"/>
  <c r="K45" i="44"/>
  <c r="U46" i="27"/>
  <c r="U47" i="27"/>
  <c r="F12" i="9" s="1"/>
  <c r="U48" i="27"/>
  <c r="U49" i="27"/>
  <c r="U56" i="27"/>
  <c r="U59" i="27"/>
  <c r="U60" i="27"/>
  <c r="U61" i="27"/>
  <c r="F9" i="9" s="1"/>
  <c r="U62" i="27"/>
  <c r="U63" i="27"/>
  <c r="F11" i="9" s="1"/>
  <c r="U77" i="27"/>
  <c r="H75" i="27"/>
  <c r="G75" i="27"/>
  <c r="L55" i="32" s="1"/>
  <c r="F75" i="27"/>
  <c r="K55" i="32" s="1"/>
  <c r="H55" i="27"/>
  <c r="M51" i="32" s="1"/>
  <c r="G55" i="27"/>
  <c r="F55" i="27"/>
  <c r="M45" i="32"/>
  <c r="L45" i="32"/>
  <c r="U58" i="23"/>
  <c r="U59" i="23"/>
  <c r="U60" i="23"/>
  <c r="D9" i="9" s="1"/>
  <c r="U61" i="23"/>
  <c r="U62" i="23"/>
  <c r="D11" i="9" s="1"/>
  <c r="U70" i="23"/>
  <c r="U55" i="23"/>
  <c r="U70" i="26"/>
  <c r="U58" i="26"/>
  <c r="U59" i="26"/>
  <c r="U60" i="26"/>
  <c r="E9" i="9" s="1"/>
  <c r="U61" i="26"/>
  <c r="U62" i="26"/>
  <c r="E11" i="9" s="1"/>
  <c r="U47" i="26"/>
  <c r="U55" i="26"/>
  <c r="G56" i="29"/>
  <c r="L51" i="45" s="1"/>
  <c r="H56" i="29"/>
  <c r="M51" i="45" s="1"/>
  <c r="I56" i="29"/>
  <c r="N51" i="45" s="1"/>
  <c r="J56" i="29"/>
  <c r="O51" i="45" s="1"/>
  <c r="K56" i="29"/>
  <c r="P51" i="45" s="1"/>
  <c r="L56" i="29"/>
  <c r="Q51" i="45" s="1"/>
  <c r="M56" i="29"/>
  <c r="R51" i="45" s="1"/>
  <c r="N56" i="29"/>
  <c r="O56" i="29"/>
  <c r="T51" i="45" s="1"/>
  <c r="P56" i="29"/>
  <c r="U51" i="45" s="1"/>
  <c r="Q56" i="29"/>
  <c r="V51" i="45" s="1"/>
  <c r="F56" i="29"/>
  <c r="K51" i="45" s="1"/>
  <c r="I56" i="28"/>
  <c r="N51" i="44" s="1"/>
  <c r="J56" i="28"/>
  <c r="O51" i="44" s="1"/>
  <c r="K56" i="28"/>
  <c r="P51" i="44" s="1"/>
  <c r="L56" i="28"/>
  <c r="Q51" i="44" s="1"/>
  <c r="M56" i="28"/>
  <c r="R51" i="44" s="1"/>
  <c r="N56" i="28"/>
  <c r="O56" i="28"/>
  <c r="T51" i="44" s="1"/>
  <c r="P56" i="28"/>
  <c r="U51" i="44" s="1"/>
  <c r="Q56" i="28"/>
  <c r="V51" i="44" s="1"/>
  <c r="R56" i="28"/>
  <c r="S56" i="28"/>
  <c r="T56" i="28"/>
  <c r="I55" i="27"/>
  <c r="N51" i="32" s="1"/>
  <c r="J55" i="27"/>
  <c r="O51" i="32" s="1"/>
  <c r="K55" i="27"/>
  <c r="P51" i="32" s="1"/>
  <c r="L55" i="27"/>
  <c r="Q51" i="32" s="1"/>
  <c r="M55" i="27"/>
  <c r="R51" i="32" s="1"/>
  <c r="N55" i="27"/>
  <c r="S51" i="32" s="1"/>
  <c r="O55" i="27"/>
  <c r="T51" i="32" s="1"/>
  <c r="P55" i="27"/>
  <c r="U51" i="32" s="1"/>
  <c r="Q55" i="27"/>
  <c r="V51" i="32" s="1"/>
  <c r="R55" i="27"/>
  <c r="S55" i="27"/>
  <c r="T55" i="27"/>
  <c r="G54" i="26"/>
  <c r="L50" i="31" s="1"/>
  <c r="H54" i="26"/>
  <c r="M50" i="31" s="1"/>
  <c r="I54" i="26"/>
  <c r="N50" i="31" s="1"/>
  <c r="J54" i="26"/>
  <c r="K54" i="26"/>
  <c r="P50" i="31" s="1"/>
  <c r="L54" i="26"/>
  <c r="Q50" i="31" s="1"/>
  <c r="M54" i="26"/>
  <c r="R50" i="31" s="1"/>
  <c r="N54" i="26"/>
  <c r="S50" i="31" s="1"/>
  <c r="O54" i="26"/>
  <c r="T50" i="31" s="1"/>
  <c r="P54" i="26"/>
  <c r="U50" i="31" s="1"/>
  <c r="Q54" i="26"/>
  <c r="V50" i="31" s="1"/>
  <c r="R54" i="26"/>
  <c r="S54" i="26"/>
  <c r="T54" i="26"/>
  <c r="F54" i="26"/>
  <c r="G54" i="23"/>
  <c r="L50" i="30" s="1"/>
  <c r="H54" i="23"/>
  <c r="I54" i="23"/>
  <c r="N50" i="30" s="1"/>
  <c r="J54" i="23"/>
  <c r="K54" i="23"/>
  <c r="L54" i="23"/>
  <c r="M54" i="23"/>
  <c r="R50" i="30" s="1"/>
  <c r="N54" i="23"/>
  <c r="O54" i="23"/>
  <c r="T50" i="30" s="1"/>
  <c r="P54" i="23"/>
  <c r="Q54" i="23"/>
  <c r="R54" i="23"/>
  <c r="S54" i="23"/>
  <c r="T54" i="23"/>
  <c r="F54" i="23"/>
  <c r="K50" i="30" s="1"/>
  <c r="S92" i="45"/>
  <c r="T92" i="45"/>
  <c r="U92" i="45"/>
  <c r="V92" i="45"/>
  <c r="L61" i="45"/>
  <c r="M61" i="45"/>
  <c r="N61" i="45"/>
  <c r="O61" i="45"/>
  <c r="P61" i="45"/>
  <c r="Q61" i="45"/>
  <c r="R61" i="45"/>
  <c r="S61" i="45"/>
  <c r="T61" i="45"/>
  <c r="U61" i="45"/>
  <c r="V61" i="45"/>
  <c r="K61" i="45"/>
  <c r="L59" i="45"/>
  <c r="M59" i="45"/>
  <c r="N59" i="45"/>
  <c r="O59" i="45"/>
  <c r="P59" i="45"/>
  <c r="Q59" i="45"/>
  <c r="R59" i="45"/>
  <c r="S59" i="45"/>
  <c r="T59" i="45"/>
  <c r="U59" i="45"/>
  <c r="V59" i="45"/>
  <c r="K59" i="45"/>
  <c r="L53" i="45"/>
  <c r="M53" i="45"/>
  <c r="N53" i="45"/>
  <c r="O53" i="45"/>
  <c r="P53" i="45"/>
  <c r="Q53" i="45"/>
  <c r="R53" i="45"/>
  <c r="S53" i="45"/>
  <c r="T53" i="45"/>
  <c r="U53" i="45"/>
  <c r="V53" i="45"/>
  <c r="K53" i="45"/>
  <c r="M15" i="45"/>
  <c r="N15" i="45"/>
  <c r="O15" i="45"/>
  <c r="P15" i="45"/>
  <c r="Q15" i="45"/>
  <c r="R15" i="45"/>
  <c r="S15" i="45"/>
  <c r="T15" i="45"/>
  <c r="U15" i="45"/>
  <c r="V15" i="45"/>
  <c r="L15" i="45"/>
  <c r="M12" i="45"/>
  <c r="N12" i="45"/>
  <c r="O12" i="45"/>
  <c r="P12" i="45"/>
  <c r="Q12" i="45"/>
  <c r="R12" i="45"/>
  <c r="S12" i="45"/>
  <c r="T12" i="45"/>
  <c r="U12" i="45"/>
  <c r="V12" i="45"/>
  <c r="L12" i="45"/>
  <c r="M7" i="45"/>
  <c r="N7" i="45"/>
  <c r="O7" i="45"/>
  <c r="P7" i="45"/>
  <c r="Q7" i="45"/>
  <c r="R7" i="45"/>
  <c r="S7" i="45"/>
  <c r="T7" i="45"/>
  <c r="U7" i="45"/>
  <c r="V7" i="45"/>
  <c r="L7" i="45"/>
  <c r="L59" i="44"/>
  <c r="M59" i="44"/>
  <c r="N59" i="44"/>
  <c r="O59" i="44"/>
  <c r="P59" i="44"/>
  <c r="Q59" i="44"/>
  <c r="R59" i="44"/>
  <c r="S59" i="44"/>
  <c r="T59" i="44"/>
  <c r="U59" i="44"/>
  <c r="V59" i="44"/>
  <c r="K59" i="44"/>
  <c r="L53" i="44"/>
  <c r="M53" i="44"/>
  <c r="N53" i="44"/>
  <c r="O53" i="44"/>
  <c r="P53" i="44"/>
  <c r="Q53" i="44"/>
  <c r="R53" i="44"/>
  <c r="S53" i="44"/>
  <c r="T53" i="44"/>
  <c r="U53" i="44"/>
  <c r="V53" i="44"/>
  <c r="K53" i="44"/>
  <c r="T47" i="44"/>
  <c r="V47" i="44"/>
  <c r="M15" i="44"/>
  <c r="N15" i="44"/>
  <c r="O15" i="44"/>
  <c r="P15" i="44"/>
  <c r="Q15" i="44"/>
  <c r="R15" i="44"/>
  <c r="S15" i="44"/>
  <c r="T15" i="44"/>
  <c r="U15" i="44"/>
  <c r="V15" i="44"/>
  <c r="L15" i="44"/>
  <c r="M12" i="44"/>
  <c r="N12" i="44"/>
  <c r="O12" i="44"/>
  <c r="P12" i="44"/>
  <c r="Q12" i="44"/>
  <c r="R12" i="44"/>
  <c r="S12" i="44"/>
  <c r="T12" i="44"/>
  <c r="U12" i="44"/>
  <c r="V12" i="44"/>
  <c r="L12" i="44"/>
  <c r="M7" i="44"/>
  <c r="N7" i="44"/>
  <c r="O7" i="44"/>
  <c r="P7" i="44"/>
  <c r="Q7" i="44"/>
  <c r="R7" i="44"/>
  <c r="S7" i="44"/>
  <c r="T7" i="44"/>
  <c r="U7" i="44"/>
  <c r="V7" i="44"/>
  <c r="L7" i="44"/>
  <c r="M15" i="32"/>
  <c r="N15" i="32"/>
  <c r="O15" i="32"/>
  <c r="P15" i="32"/>
  <c r="Q15" i="32"/>
  <c r="R15" i="32"/>
  <c r="S15" i="32"/>
  <c r="T15" i="32"/>
  <c r="U15" i="32"/>
  <c r="V15" i="32"/>
  <c r="L15" i="32"/>
  <c r="M12" i="32"/>
  <c r="N12" i="32"/>
  <c r="O12" i="32"/>
  <c r="P12" i="32"/>
  <c r="Q12" i="32"/>
  <c r="R12" i="32"/>
  <c r="S12" i="32"/>
  <c r="T12" i="32"/>
  <c r="U12" i="32"/>
  <c r="V12" i="32"/>
  <c r="L12" i="32"/>
  <c r="M7" i="32"/>
  <c r="N7" i="32"/>
  <c r="O7" i="32"/>
  <c r="P7" i="32"/>
  <c r="Q7" i="32"/>
  <c r="R7" i="32"/>
  <c r="S7" i="32"/>
  <c r="T7" i="32"/>
  <c r="U7" i="32"/>
  <c r="V7" i="32"/>
  <c r="L7" i="32"/>
  <c r="M15" i="31"/>
  <c r="N15" i="31"/>
  <c r="O15" i="31"/>
  <c r="P15" i="31"/>
  <c r="Q15" i="31"/>
  <c r="R15" i="31"/>
  <c r="S15" i="31"/>
  <c r="T15" i="31"/>
  <c r="U15" i="31"/>
  <c r="V15" i="31"/>
  <c r="L15" i="31"/>
  <c r="M12" i="31"/>
  <c r="N12" i="31"/>
  <c r="O12" i="31"/>
  <c r="P12" i="31"/>
  <c r="Q12" i="31"/>
  <c r="R12" i="31"/>
  <c r="S12" i="31"/>
  <c r="T12" i="31"/>
  <c r="U12" i="31"/>
  <c r="V12" i="31"/>
  <c r="L12" i="31"/>
  <c r="M7" i="31"/>
  <c r="N7" i="31"/>
  <c r="O7" i="31"/>
  <c r="P7" i="31"/>
  <c r="Q7" i="31"/>
  <c r="R7" i="31"/>
  <c r="S7" i="31"/>
  <c r="T7" i="31"/>
  <c r="U7" i="31"/>
  <c r="V7" i="31"/>
  <c r="L7" i="31"/>
  <c r="K90" i="30"/>
  <c r="G27" i="25"/>
  <c r="G72" i="23" s="1"/>
  <c r="L15" i="30"/>
  <c r="M15" i="30"/>
  <c r="N15" i="30"/>
  <c r="O15" i="30"/>
  <c r="P15" i="30"/>
  <c r="Q15" i="30"/>
  <c r="R15" i="30"/>
  <c r="S15" i="30"/>
  <c r="T15" i="30"/>
  <c r="U15" i="30"/>
  <c r="V15" i="30"/>
  <c r="L12" i="30"/>
  <c r="M12" i="30"/>
  <c r="N12" i="30"/>
  <c r="O12" i="30"/>
  <c r="P12" i="30"/>
  <c r="Q12" i="30"/>
  <c r="R12" i="30"/>
  <c r="S12" i="30"/>
  <c r="T12" i="30"/>
  <c r="U12" i="30"/>
  <c r="V12" i="30"/>
  <c r="L7" i="30"/>
  <c r="M7" i="30"/>
  <c r="N7" i="30"/>
  <c r="O7" i="30"/>
  <c r="P7" i="30"/>
  <c r="Q7" i="30"/>
  <c r="R7" i="30"/>
  <c r="S7" i="30"/>
  <c r="T7" i="30"/>
  <c r="U7" i="30"/>
  <c r="V7" i="30"/>
  <c r="V54" i="39"/>
  <c r="V53" i="38"/>
  <c r="V54" i="37"/>
  <c r="L68" i="39"/>
  <c r="R63" i="39"/>
  <c r="R69" i="39" s="1"/>
  <c r="Q63" i="39"/>
  <c r="Q69" i="39" s="1"/>
  <c r="P63" i="39"/>
  <c r="P69" i="39" s="1"/>
  <c r="O63" i="39"/>
  <c r="O69" i="39" s="1"/>
  <c r="N63" i="39"/>
  <c r="N69" i="39" s="1"/>
  <c r="M63" i="39"/>
  <c r="M69" i="39" s="1"/>
  <c r="L63" i="39"/>
  <c r="L69" i="39" s="1"/>
  <c r="K63" i="39"/>
  <c r="K69" i="39" s="1"/>
  <c r="J63" i="39"/>
  <c r="J69" i="39" s="1"/>
  <c r="I63" i="39"/>
  <c r="H63" i="39"/>
  <c r="G63" i="39"/>
  <c r="R48" i="39"/>
  <c r="R68" i="39" s="1"/>
  <c r="Q48" i="39"/>
  <c r="Q68" i="39" s="1"/>
  <c r="P48" i="39"/>
  <c r="T9" i="45" s="1"/>
  <c r="O48" i="39"/>
  <c r="O68" i="39" s="1"/>
  <c r="N48" i="39"/>
  <c r="N68" i="39" s="1"/>
  <c r="M48" i="39"/>
  <c r="Q9" i="45" s="1"/>
  <c r="L48" i="39"/>
  <c r="P9" i="45" s="1"/>
  <c r="K48" i="39"/>
  <c r="K68" i="39" s="1"/>
  <c r="J48" i="39"/>
  <c r="J68" i="39" s="1"/>
  <c r="I48" i="39"/>
  <c r="H48" i="39"/>
  <c r="T47" i="38" s="1"/>
  <c r="T67" i="38" s="1"/>
  <c r="G48" i="39"/>
  <c r="K9" i="45" s="1"/>
  <c r="R62" i="38"/>
  <c r="R68" i="38" s="1"/>
  <c r="Q62" i="38"/>
  <c r="Q68" i="38" s="1"/>
  <c r="P62" i="38"/>
  <c r="P68" i="38" s="1"/>
  <c r="O62" i="38"/>
  <c r="O68" i="38" s="1"/>
  <c r="N62" i="38"/>
  <c r="N68" i="38" s="1"/>
  <c r="M62" i="38"/>
  <c r="M68" i="38" s="1"/>
  <c r="L62" i="38"/>
  <c r="L68" i="38" s="1"/>
  <c r="K62" i="38"/>
  <c r="K68" i="38" s="1"/>
  <c r="J62" i="38"/>
  <c r="J68" i="38" s="1"/>
  <c r="I62" i="38"/>
  <c r="H62" i="38"/>
  <c r="R47" i="38"/>
  <c r="V9" i="44" s="1"/>
  <c r="Q47" i="38"/>
  <c r="U9" i="44" s="1"/>
  <c r="P47" i="38"/>
  <c r="P67" i="38" s="1"/>
  <c r="O47" i="38"/>
  <c r="O67" i="38" s="1"/>
  <c r="N47" i="38"/>
  <c r="N67" i="38" s="1"/>
  <c r="M47" i="38"/>
  <c r="M67" i="38" s="1"/>
  <c r="L47" i="38"/>
  <c r="L67" i="38" s="1"/>
  <c r="K47" i="38"/>
  <c r="O9" i="44" s="1"/>
  <c r="J47" i="38"/>
  <c r="J67" i="38" s="1"/>
  <c r="I47" i="38"/>
  <c r="U67" i="37" s="1"/>
  <c r="H47" i="38"/>
  <c r="L9" i="44" s="1"/>
  <c r="G47" i="38"/>
  <c r="R63" i="37"/>
  <c r="R68" i="37" s="1"/>
  <c r="Q63" i="37"/>
  <c r="Q68" i="37" s="1"/>
  <c r="P63" i="37"/>
  <c r="P68" i="37" s="1"/>
  <c r="O63" i="37"/>
  <c r="O68" i="37" s="1"/>
  <c r="N63" i="37"/>
  <c r="N68" i="37" s="1"/>
  <c r="M63" i="37"/>
  <c r="M68" i="37" s="1"/>
  <c r="L63" i="37"/>
  <c r="L68" i="37" s="1"/>
  <c r="K63" i="37"/>
  <c r="K68" i="37" s="1"/>
  <c r="J63" i="37"/>
  <c r="J68" i="37" s="1"/>
  <c r="I63" i="37"/>
  <c r="H63" i="37"/>
  <c r="G63" i="37"/>
  <c r="R67" i="37"/>
  <c r="Q67" i="37"/>
  <c r="P67" i="37"/>
  <c r="O67" i="37"/>
  <c r="R9" i="32"/>
  <c r="Q9" i="32"/>
  <c r="L67" i="37"/>
  <c r="K67" i="37"/>
  <c r="J67" i="37"/>
  <c r="S46" i="33"/>
  <c r="S66" i="33" s="1"/>
  <c r="F31" i="25"/>
  <c r="H46" i="24"/>
  <c r="I46" i="24"/>
  <c r="J46" i="24"/>
  <c r="K46" i="24"/>
  <c r="L46" i="24"/>
  <c r="M46" i="24"/>
  <c r="N46" i="24"/>
  <c r="O46" i="24"/>
  <c r="P46" i="24"/>
  <c r="Q46" i="24"/>
  <c r="R46" i="24"/>
  <c r="G46" i="24"/>
  <c r="L59" i="32"/>
  <c r="M59" i="32"/>
  <c r="N59" i="32"/>
  <c r="O59" i="32"/>
  <c r="P59" i="32"/>
  <c r="Q59" i="32"/>
  <c r="R59" i="32"/>
  <c r="S59" i="32"/>
  <c r="T59" i="32"/>
  <c r="U59" i="32"/>
  <c r="V59" i="32"/>
  <c r="K59" i="32"/>
  <c r="L53" i="32"/>
  <c r="M53" i="32"/>
  <c r="N53" i="32"/>
  <c r="O53" i="32"/>
  <c r="P53" i="32"/>
  <c r="Q53" i="32"/>
  <c r="R53" i="32"/>
  <c r="S53" i="32"/>
  <c r="T53" i="32"/>
  <c r="U53" i="32"/>
  <c r="V53" i="32"/>
  <c r="K53" i="32"/>
  <c r="L58" i="31"/>
  <c r="M58" i="31"/>
  <c r="N58" i="31"/>
  <c r="O58" i="31"/>
  <c r="P58" i="31"/>
  <c r="Q58" i="31"/>
  <c r="R58" i="31"/>
  <c r="S58" i="31"/>
  <c r="T58" i="31"/>
  <c r="U58" i="31"/>
  <c r="V58" i="31"/>
  <c r="K58" i="31"/>
  <c r="L52" i="31"/>
  <c r="M52" i="31"/>
  <c r="N52" i="31"/>
  <c r="O52" i="31"/>
  <c r="P52" i="31"/>
  <c r="Q52" i="31"/>
  <c r="R52" i="31"/>
  <c r="S52" i="31"/>
  <c r="T52" i="31"/>
  <c r="U52" i="31"/>
  <c r="V52" i="31"/>
  <c r="K52" i="31"/>
  <c r="V46" i="31"/>
  <c r="N46" i="31"/>
  <c r="K60" i="30"/>
  <c r="L58" i="30"/>
  <c r="M58" i="30"/>
  <c r="N58" i="30"/>
  <c r="O58" i="30"/>
  <c r="P58" i="30"/>
  <c r="Q58" i="30"/>
  <c r="R58" i="30"/>
  <c r="S58" i="30"/>
  <c r="T58" i="30"/>
  <c r="U58" i="30"/>
  <c r="V58" i="30"/>
  <c r="K58" i="30"/>
  <c r="L52" i="30"/>
  <c r="M52" i="30"/>
  <c r="N52" i="30"/>
  <c r="O52" i="30"/>
  <c r="P52" i="30"/>
  <c r="Q52" i="30"/>
  <c r="R52" i="30"/>
  <c r="S52" i="30"/>
  <c r="T52" i="30"/>
  <c r="U52" i="30"/>
  <c r="V52" i="30"/>
  <c r="K52" i="30"/>
  <c r="Q75" i="29"/>
  <c r="V55" i="45" s="1"/>
  <c r="P75" i="29"/>
  <c r="U55" i="45" s="1"/>
  <c r="O75" i="29"/>
  <c r="T55" i="45" s="1"/>
  <c r="N75" i="29"/>
  <c r="S55" i="45" s="1"/>
  <c r="M75" i="29"/>
  <c r="R55" i="45" s="1"/>
  <c r="L75" i="29"/>
  <c r="Q55" i="45" s="1"/>
  <c r="K75" i="29"/>
  <c r="P55" i="45" s="1"/>
  <c r="J75" i="29"/>
  <c r="O55" i="45" s="1"/>
  <c r="I75" i="29"/>
  <c r="N55" i="45" s="1"/>
  <c r="H75" i="29"/>
  <c r="M55" i="45" s="1"/>
  <c r="G75" i="29"/>
  <c r="L55" i="45" s="1"/>
  <c r="F75" i="29"/>
  <c r="K55" i="45" s="1"/>
  <c r="T76" i="28"/>
  <c r="S76" i="28"/>
  <c r="R76" i="28"/>
  <c r="Q76" i="28"/>
  <c r="V55" i="44" s="1"/>
  <c r="P76" i="28"/>
  <c r="U55" i="44" s="1"/>
  <c r="O76" i="28"/>
  <c r="T55" i="44" s="1"/>
  <c r="N76" i="28"/>
  <c r="S55" i="44" s="1"/>
  <c r="M76" i="28"/>
  <c r="R55" i="44" s="1"/>
  <c r="L76" i="28"/>
  <c r="Q55" i="44" s="1"/>
  <c r="K76" i="28"/>
  <c r="P55" i="44" s="1"/>
  <c r="J76" i="28"/>
  <c r="O55" i="44" s="1"/>
  <c r="I76" i="28"/>
  <c r="N55" i="44" s="1"/>
  <c r="T75" i="27"/>
  <c r="S75" i="27"/>
  <c r="R75" i="27"/>
  <c r="Q75" i="27"/>
  <c r="V55" i="32" s="1"/>
  <c r="P75" i="27"/>
  <c r="U55" i="32" s="1"/>
  <c r="O75" i="27"/>
  <c r="T55" i="32" s="1"/>
  <c r="N75" i="27"/>
  <c r="S55" i="32" s="1"/>
  <c r="M75" i="27"/>
  <c r="R55" i="32" s="1"/>
  <c r="L75" i="27"/>
  <c r="Q55" i="32" s="1"/>
  <c r="K75" i="27"/>
  <c r="P55" i="32" s="1"/>
  <c r="J75" i="27"/>
  <c r="O55" i="32" s="1"/>
  <c r="I75" i="27"/>
  <c r="T67" i="26"/>
  <c r="S67" i="26"/>
  <c r="R67" i="26"/>
  <c r="Q67" i="26"/>
  <c r="V54" i="31" s="1"/>
  <c r="P67" i="26"/>
  <c r="U54" i="31" s="1"/>
  <c r="O67" i="26"/>
  <c r="T54" i="31" s="1"/>
  <c r="N67" i="26"/>
  <c r="S54" i="31" s="1"/>
  <c r="M67" i="26"/>
  <c r="R54" i="31" s="1"/>
  <c r="L67" i="26"/>
  <c r="Q54" i="31" s="1"/>
  <c r="K67" i="26"/>
  <c r="P54" i="31" s="1"/>
  <c r="J67" i="26"/>
  <c r="O54" i="31" s="1"/>
  <c r="I67" i="26"/>
  <c r="N54" i="31" s="1"/>
  <c r="H67" i="26"/>
  <c r="M54" i="31" s="1"/>
  <c r="G67" i="26"/>
  <c r="L54" i="31" s="1"/>
  <c r="F67" i="26"/>
  <c r="K54" i="31" s="1"/>
  <c r="H67" i="23"/>
  <c r="I67" i="23"/>
  <c r="N54" i="30" s="1"/>
  <c r="J67" i="23"/>
  <c r="O54" i="30" s="1"/>
  <c r="K67" i="23"/>
  <c r="P54" i="30" s="1"/>
  <c r="L67" i="23"/>
  <c r="M67" i="23"/>
  <c r="R54" i="30" s="1"/>
  <c r="N67" i="23"/>
  <c r="O67" i="23"/>
  <c r="P67" i="23"/>
  <c r="Q67" i="23"/>
  <c r="V54" i="30" s="1"/>
  <c r="R67" i="23"/>
  <c r="S67" i="23"/>
  <c r="T67" i="23"/>
  <c r="G67" i="23"/>
  <c r="L54" i="30" s="1"/>
  <c r="F67" i="23"/>
  <c r="K54" i="30" s="1"/>
  <c r="J43" i="27"/>
  <c r="H61" i="24"/>
  <c r="H67" i="24" s="1"/>
  <c r="I61" i="24"/>
  <c r="I67" i="24" s="1"/>
  <c r="J61" i="24"/>
  <c r="J67" i="24" s="1"/>
  <c r="K61" i="24"/>
  <c r="K67" i="24" s="1"/>
  <c r="L61" i="24"/>
  <c r="L67" i="24" s="1"/>
  <c r="M61" i="24"/>
  <c r="M67" i="24" s="1"/>
  <c r="N61" i="24"/>
  <c r="N67" i="24" s="1"/>
  <c r="O61" i="24"/>
  <c r="O67" i="24" s="1"/>
  <c r="P61" i="24"/>
  <c r="P67" i="24" s="1"/>
  <c r="Q61" i="24"/>
  <c r="Q67" i="24" s="1"/>
  <c r="R61" i="24"/>
  <c r="R67" i="24" s="1"/>
  <c r="G61" i="24"/>
  <c r="B4" i="21"/>
  <c r="N26" i="21"/>
  <c r="B26" i="21"/>
  <c r="N15" i="21"/>
  <c r="B15" i="21"/>
  <c r="N4" i="21"/>
  <c r="O20" i="20"/>
  <c r="N20" i="20"/>
  <c r="M20" i="20"/>
  <c r="L20" i="20"/>
  <c r="K20" i="20"/>
  <c r="J20" i="20"/>
  <c r="I20" i="20"/>
  <c r="H20" i="20"/>
  <c r="G20" i="20"/>
  <c r="F20" i="20"/>
  <c r="E20" i="20"/>
  <c r="D20" i="20"/>
  <c r="P19" i="20"/>
  <c r="P18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P16" i="20"/>
  <c r="P15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P13" i="20"/>
  <c r="P12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P10" i="20"/>
  <c r="P9" i="20"/>
  <c r="O8" i="20"/>
  <c r="N8" i="20"/>
  <c r="M8" i="20"/>
  <c r="L8" i="20"/>
  <c r="K8" i="20"/>
  <c r="J8" i="20"/>
  <c r="I8" i="20"/>
  <c r="H8" i="20"/>
  <c r="G8" i="20"/>
  <c r="F8" i="20"/>
  <c r="E8" i="20"/>
  <c r="D8" i="20"/>
  <c r="P7" i="20"/>
  <c r="P6" i="20"/>
  <c r="O5" i="20"/>
  <c r="N5" i="20"/>
  <c r="M5" i="20"/>
  <c r="L5" i="20"/>
  <c r="K5" i="20"/>
  <c r="J5" i="20"/>
  <c r="I5" i="20"/>
  <c r="H5" i="20"/>
  <c r="G5" i="20"/>
  <c r="F5" i="20"/>
  <c r="E5" i="20"/>
  <c r="D5" i="20"/>
  <c r="P4" i="20"/>
  <c r="P3" i="20"/>
  <c r="K18" i="17"/>
  <c r="K17" i="17"/>
  <c r="K19" i="17"/>
  <c r="I21" i="17"/>
  <c r="J21" i="17"/>
  <c r="K21" i="17" s="1"/>
  <c r="D21" i="17"/>
  <c r="E21" i="17"/>
  <c r="K20" i="17"/>
  <c r="K16" i="17"/>
  <c r="K15" i="17"/>
  <c r="K14" i="17"/>
  <c r="K13" i="17"/>
  <c r="K12" i="17"/>
  <c r="K11" i="17"/>
  <c r="K10" i="17"/>
  <c r="K9" i="17"/>
  <c r="K8" i="17"/>
  <c r="K7" i="17"/>
  <c r="K6" i="17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O6" i="15"/>
  <c r="O7" i="15"/>
  <c r="O8" i="15"/>
  <c r="O9" i="15"/>
  <c r="O10" i="15"/>
  <c r="O11" i="15"/>
  <c r="O5" i="15"/>
  <c r="J44" i="15"/>
  <c r="I44" i="15"/>
  <c r="G44" i="15"/>
  <c r="E44" i="15"/>
  <c r="D44" i="15"/>
  <c r="L43" i="15"/>
  <c r="K43" i="15"/>
  <c r="H43" i="15"/>
  <c r="M43" i="15"/>
  <c r="F43" i="15"/>
  <c r="L42" i="15"/>
  <c r="K42" i="15"/>
  <c r="H42" i="15"/>
  <c r="M42" i="15"/>
  <c r="F42" i="15"/>
  <c r="L41" i="15"/>
  <c r="K41" i="15"/>
  <c r="H41" i="15"/>
  <c r="M41" i="15"/>
  <c r="F41" i="15"/>
  <c r="L40" i="15"/>
  <c r="K40" i="15"/>
  <c r="H40" i="15"/>
  <c r="M40" i="15"/>
  <c r="F40" i="15"/>
  <c r="L39" i="15"/>
  <c r="K39" i="15"/>
  <c r="H39" i="15"/>
  <c r="M39" i="15"/>
  <c r="F39" i="15"/>
  <c r="L38" i="15"/>
  <c r="K38" i="15"/>
  <c r="H38" i="15"/>
  <c r="M38" i="15"/>
  <c r="F38" i="15"/>
  <c r="L37" i="15"/>
  <c r="K37" i="15"/>
  <c r="H37" i="15"/>
  <c r="M37" i="15"/>
  <c r="F37" i="15"/>
  <c r="L36" i="15"/>
  <c r="K36" i="15"/>
  <c r="H36" i="15"/>
  <c r="M36" i="15"/>
  <c r="F36" i="15"/>
  <c r="L35" i="15"/>
  <c r="K35" i="15"/>
  <c r="H35" i="15"/>
  <c r="M35" i="15"/>
  <c r="F35" i="15"/>
  <c r="L34" i="15"/>
  <c r="K34" i="15"/>
  <c r="H34" i="15"/>
  <c r="F34" i="15"/>
  <c r="Q33" i="11"/>
  <c r="P33" i="11"/>
  <c r="O33" i="11"/>
  <c r="N33" i="11"/>
  <c r="M33" i="11"/>
  <c r="L33" i="11"/>
  <c r="K33" i="11"/>
  <c r="J33" i="11"/>
  <c r="I33" i="11"/>
  <c r="Q32" i="11"/>
  <c r="P32" i="11"/>
  <c r="O32" i="11"/>
  <c r="N32" i="11"/>
  <c r="M32" i="11"/>
  <c r="L32" i="11"/>
  <c r="K32" i="11"/>
  <c r="J32" i="11"/>
  <c r="I32" i="11"/>
  <c r="Q31" i="11"/>
  <c r="P31" i="11"/>
  <c r="O31" i="11"/>
  <c r="N31" i="11"/>
  <c r="M31" i="11"/>
  <c r="L31" i="11"/>
  <c r="K31" i="11"/>
  <c r="J31" i="11"/>
  <c r="I31" i="11"/>
  <c r="Q30" i="11"/>
  <c r="P30" i="11"/>
  <c r="O30" i="11"/>
  <c r="N30" i="11"/>
  <c r="M30" i="11"/>
  <c r="L30" i="11"/>
  <c r="K30" i="11"/>
  <c r="J30" i="11"/>
  <c r="H30" i="11"/>
  <c r="I30" i="11"/>
  <c r="F37" i="2"/>
  <c r="F23" i="10" s="1"/>
  <c r="G37" i="2"/>
  <c r="G23" i="10" s="1"/>
  <c r="H37" i="2"/>
  <c r="H23" i="10" s="1"/>
  <c r="I37" i="2"/>
  <c r="I23" i="10" s="1"/>
  <c r="J37" i="2"/>
  <c r="J23" i="10" s="1"/>
  <c r="K37" i="2"/>
  <c r="K23" i="10" s="1"/>
  <c r="L37" i="2"/>
  <c r="L23" i="10" s="1"/>
  <c r="M37" i="2"/>
  <c r="M23" i="10" s="1"/>
  <c r="N37" i="2"/>
  <c r="N23" i="10" s="1"/>
  <c r="O37" i="2"/>
  <c r="O23" i="10" s="1"/>
  <c r="P37" i="2"/>
  <c r="P23" i="10" s="1"/>
  <c r="E37" i="2"/>
  <c r="E23" i="10" s="1"/>
  <c r="F36" i="2"/>
  <c r="F22" i="10" s="1"/>
  <c r="G36" i="2"/>
  <c r="G22" i="10" s="1"/>
  <c r="H36" i="2"/>
  <c r="H22" i="10" s="1"/>
  <c r="I36" i="2"/>
  <c r="I22" i="10" s="1"/>
  <c r="J36" i="2"/>
  <c r="J22" i="10" s="1"/>
  <c r="K36" i="2"/>
  <c r="K22" i="10" s="1"/>
  <c r="L36" i="2"/>
  <c r="L22" i="10" s="1"/>
  <c r="M36" i="2"/>
  <c r="M22" i="10" s="1"/>
  <c r="N36" i="2"/>
  <c r="N22" i="10" s="1"/>
  <c r="O36" i="2"/>
  <c r="O22" i="10" s="1"/>
  <c r="P36" i="2"/>
  <c r="P22" i="10" s="1"/>
  <c r="E36" i="2"/>
  <c r="E22" i="10" s="1"/>
  <c r="H12" i="10"/>
  <c r="G10" i="10"/>
  <c r="I10" i="10"/>
  <c r="O10" i="10"/>
  <c r="E21" i="2"/>
  <c r="F12" i="10" s="1"/>
  <c r="F21" i="2"/>
  <c r="G12" i="10" s="1"/>
  <c r="G21" i="2"/>
  <c r="H21" i="2"/>
  <c r="I12" i="10" s="1"/>
  <c r="I21" i="2"/>
  <c r="J12" i="10" s="1"/>
  <c r="J21" i="2"/>
  <c r="K12" i="10" s="1"/>
  <c r="K21" i="2"/>
  <c r="L12" i="10" s="1"/>
  <c r="L21" i="2"/>
  <c r="M12" i="10" s="1"/>
  <c r="M21" i="2"/>
  <c r="N12" i="10" s="1"/>
  <c r="N21" i="2"/>
  <c r="O12" i="10" s="1"/>
  <c r="O21" i="2"/>
  <c r="P12" i="10" s="1"/>
  <c r="D21" i="2"/>
  <c r="E12" i="10" s="1"/>
  <c r="E20" i="2"/>
  <c r="F11" i="10" s="1"/>
  <c r="F20" i="2"/>
  <c r="G11" i="10" s="1"/>
  <c r="G20" i="2"/>
  <c r="H11" i="10" s="1"/>
  <c r="H20" i="2"/>
  <c r="I11" i="10" s="1"/>
  <c r="I20" i="2"/>
  <c r="J11" i="10" s="1"/>
  <c r="J20" i="2"/>
  <c r="K11" i="10" s="1"/>
  <c r="K20" i="2"/>
  <c r="L11" i="10" s="1"/>
  <c r="L20" i="2"/>
  <c r="M11" i="10" s="1"/>
  <c r="M20" i="2"/>
  <c r="N11" i="10" s="1"/>
  <c r="N20" i="2"/>
  <c r="O11" i="10" s="1"/>
  <c r="O20" i="2"/>
  <c r="P11" i="10" s="1"/>
  <c r="D20" i="2"/>
  <c r="E11" i="10" s="1"/>
  <c r="E19" i="2"/>
  <c r="F10" i="10" s="1"/>
  <c r="F19" i="2"/>
  <c r="G19" i="2"/>
  <c r="H10" i="10" s="1"/>
  <c r="H19" i="2"/>
  <c r="I19" i="2"/>
  <c r="J10" i="10" s="1"/>
  <c r="J19" i="2"/>
  <c r="K10" i="10" s="1"/>
  <c r="K19" i="2"/>
  <c r="L10" i="10" s="1"/>
  <c r="L19" i="2"/>
  <c r="M10" i="10" s="1"/>
  <c r="M19" i="2"/>
  <c r="N10" i="10" s="1"/>
  <c r="N19" i="2"/>
  <c r="O19" i="2"/>
  <c r="P10" i="10" s="1"/>
  <c r="D19" i="2"/>
  <c r="E10" i="10" s="1"/>
  <c r="K44" i="15"/>
  <c r="H44" i="15"/>
  <c r="F44" i="15"/>
  <c r="L44" i="15"/>
  <c r="M34" i="15"/>
  <c r="M44" i="15"/>
  <c r="G66" i="24" l="1"/>
  <c r="H10" i="9"/>
  <c r="F44" i="29"/>
  <c r="K49" i="45" s="1"/>
  <c r="H35" i="24"/>
  <c r="H39" i="24" s="1"/>
  <c r="H41" i="24" s="1"/>
  <c r="H42" i="24" s="1"/>
  <c r="H35" i="33"/>
  <c r="H39" i="33" s="1"/>
  <c r="H71" i="24"/>
  <c r="Q67" i="38"/>
  <c r="Q71" i="38" s="1"/>
  <c r="K16" i="30"/>
  <c r="F16" i="25"/>
  <c r="G16" i="25" s="1"/>
  <c r="G18" i="25" s="1"/>
  <c r="G19" i="25" s="1"/>
  <c r="L87" i="30" s="1"/>
  <c r="F44" i="23"/>
  <c r="F68" i="23"/>
  <c r="N43" i="27"/>
  <c r="S49" i="32" s="1"/>
  <c r="S9" i="45"/>
  <c r="H68" i="39"/>
  <c r="M68" i="39"/>
  <c r="M72" i="39" s="1"/>
  <c r="O9" i="45"/>
  <c r="I68" i="39"/>
  <c r="U47" i="38"/>
  <c r="U67" i="38" s="1"/>
  <c r="P68" i="39"/>
  <c r="V9" i="45"/>
  <c r="N9" i="45"/>
  <c r="U9" i="45"/>
  <c r="M9" i="45"/>
  <c r="L9" i="45"/>
  <c r="G68" i="39"/>
  <c r="S47" i="38"/>
  <c r="S67" i="38" s="1"/>
  <c r="R9" i="45"/>
  <c r="I58" i="30"/>
  <c r="I59" i="44"/>
  <c r="I58" i="31"/>
  <c r="I59" i="32"/>
  <c r="I59" i="45"/>
  <c r="U35" i="29"/>
  <c r="I55" i="44"/>
  <c r="I54" i="31"/>
  <c r="I55" i="45"/>
  <c r="I55" i="32"/>
  <c r="I54" i="30"/>
  <c r="I50" i="31"/>
  <c r="I51" i="45"/>
  <c r="I51" i="32"/>
  <c r="I50" i="30"/>
  <c r="I51" i="44"/>
  <c r="I47" i="45"/>
  <c r="I47" i="32"/>
  <c r="I46" i="31"/>
  <c r="I46" i="30"/>
  <c r="I47" i="44"/>
  <c r="I52" i="31"/>
  <c r="I53" i="45"/>
  <c r="I52" i="30"/>
  <c r="I53" i="32"/>
  <c r="I53" i="44"/>
  <c r="I67" i="38"/>
  <c r="K67" i="38"/>
  <c r="K71" i="38" s="1"/>
  <c r="S9" i="44"/>
  <c r="M9" i="44"/>
  <c r="H9" i="45"/>
  <c r="H9" i="30"/>
  <c r="H9" i="32"/>
  <c r="H9" i="31"/>
  <c r="H9" i="44"/>
  <c r="R67" i="38"/>
  <c r="P9" i="44"/>
  <c r="H15" i="45"/>
  <c r="H15" i="44"/>
  <c r="H15" i="32"/>
  <c r="H15" i="31"/>
  <c r="H15" i="30"/>
  <c r="G67" i="38"/>
  <c r="S67" i="37"/>
  <c r="N9" i="44"/>
  <c r="H67" i="38"/>
  <c r="T67" i="37"/>
  <c r="I68" i="38"/>
  <c r="U63" i="37"/>
  <c r="U68" i="37" s="1"/>
  <c r="U71" i="37" s="1"/>
  <c r="T9" i="44"/>
  <c r="H12" i="31"/>
  <c r="H12" i="44"/>
  <c r="H12" i="30"/>
  <c r="H12" i="32"/>
  <c r="H12" i="45"/>
  <c r="R9" i="44"/>
  <c r="H7" i="45"/>
  <c r="H7" i="44"/>
  <c r="H7" i="32"/>
  <c r="H7" i="31"/>
  <c r="H7" i="30"/>
  <c r="Q9" i="44"/>
  <c r="G10" i="9"/>
  <c r="G13" i="9" s="1"/>
  <c r="N9" i="9" s="1"/>
  <c r="H47" i="44"/>
  <c r="H46" i="31"/>
  <c r="H47" i="45"/>
  <c r="H47" i="32"/>
  <c r="H46" i="30"/>
  <c r="H59" i="32"/>
  <c r="H59" i="45"/>
  <c r="H58" i="30"/>
  <c r="H59" i="44"/>
  <c r="H58" i="31"/>
  <c r="H55" i="32"/>
  <c r="H54" i="30"/>
  <c r="H55" i="44"/>
  <c r="H54" i="31"/>
  <c r="H55" i="45"/>
  <c r="H50" i="30"/>
  <c r="H51" i="44"/>
  <c r="H50" i="31"/>
  <c r="H51" i="45"/>
  <c r="H51" i="32"/>
  <c r="H52" i="30"/>
  <c r="H53" i="44"/>
  <c r="H53" i="32"/>
  <c r="H52" i="31"/>
  <c r="H53" i="45"/>
  <c r="H67" i="37"/>
  <c r="T46" i="33"/>
  <c r="T66" i="33" s="1"/>
  <c r="I67" i="37"/>
  <c r="U46" i="33"/>
  <c r="U66" i="33" s="1"/>
  <c r="L9" i="32"/>
  <c r="T9" i="32"/>
  <c r="F10" i="9"/>
  <c r="F13" i="9" s="1"/>
  <c r="M12" i="9" s="1"/>
  <c r="G46" i="31"/>
  <c r="G47" i="45"/>
  <c r="G47" i="32"/>
  <c r="G46" i="30"/>
  <c r="G47" i="44"/>
  <c r="G53" i="44"/>
  <c r="G52" i="31"/>
  <c r="G53" i="45"/>
  <c r="G53" i="32"/>
  <c r="G52" i="30"/>
  <c r="L43" i="27"/>
  <c r="Q49" i="32" s="1"/>
  <c r="T43" i="27"/>
  <c r="G54" i="30"/>
  <c r="G55" i="44"/>
  <c r="G54" i="31"/>
  <c r="G55" i="45"/>
  <c r="G55" i="32"/>
  <c r="G58" i="30"/>
  <c r="G59" i="44"/>
  <c r="G58" i="31"/>
  <c r="G59" i="32"/>
  <c r="G59" i="45"/>
  <c r="G50" i="31"/>
  <c r="G51" i="45"/>
  <c r="G51" i="32"/>
  <c r="G51" i="44"/>
  <c r="G50" i="30"/>
  <c r="F7" i="45"/>
  <c r="F7" i="44"/>
  <c r="F7" i="32"/>
  <c r="F7" i="31"/>
  <c r="F7" i="30"/>
  <c r="F12" i="45"/>
  <c r="F12" i="44"/>
  <c r="F12" i="32"/>
  <c r="F12" i="31"/>
  <c r="F12" i="30"/>
  <c r="F15" i="32"/>
  <c r="F15" i="31"/>
  <c r="F15" i="30"/>
  <c r="F15" i="45"/>
  <c r="F15" i="44"/>
  <c r="K46" i="30"/>
  <c r="E15" i="45"/>
  <c r="E15" i="32"/>
  <c r="E15" i="30"/>
  <c r="E15" i="31"/>
  <c r="E15" i="44"/>
  <c r="E7" i="45"/>
  <c r="E7" i="44"/>
  <c r="E7" i="32"/>
  <c r="E7" i="31"/>
  <c r="E7" i="30"/>
  <c r="E12" i="45"/>
  <c r="E12" i="44"/>
  <c r="E12" i="32"/>
  <c r="E12" i="31"/>
  <c r="E12" i="30"/>
  <c r="L90" i="30"/>
  <c r="E10" i="9"/>
  <c r="E13" i="9" s="1"/>
  <c r="L9" i="9" s="1"/>
  <c r="F54" i="30"/>
  <c r="F55" i="44"/>
  <c r="F54" i="31"/>
  <c r="F55" i="45"/>
  <c r="F55" i="32"/>
  <c r="F51" i="44"/>
  <c r="F50" i="31"/>
  <c r="F51" i="45"/>
  <c r="F51" i="32"/>
  <c r="F50" i="30"/>
  <c r="F58" i="30"/>
  <c r="F59" i="44"/>
  <c r="F58" i="31"/>
  <c r="F59" i="32"/>
  <c r="F59" i="45"/>
  <c r="F46" i="31"/>
  <c r="F47" i="45"/>
  <c r="F47" i="32"/>
  <c r="F46" i="30"/>
  <c r="F47" i="44"/>
  <c r="F44" i="26"/>
  <c r="K48" i="31" s="1"/>
  <c r="F53" i="44"/>
  <c r="F53" i="45"/>
  <c r="F52" i="30"/>
  <c r="F52" i="31"/>
  <c r="F53" i="32"/>
  <c r="D10" i="9"/>
  <c r="D13" i="9" s="1"/>
  <c r="K11" i="9" s="1"/>
  <c r="E46" i="31"/>
  <c r="E47" i="32"/>
  <c r="E46" i="30"/>
  <c r="E47" i="44"/>
  <c r="E47" i="45"/>
  <c r="E53" i="44"/>
  <c r="E52" i="30"/>
  <c r="E53" i="45"/>
  <c r="E52" i="31"/>
  <c r="E53" i="32"/>
  <c r="E59" i="32"/>
  <c r="E58" i="31"/>
  <c r="E58" i="30"/>
  <c r="E59" i="45"/>
  <c r="E59" i="44"/>
  <c r="E54" i="30"/>
  <c r="E55" i="44"/>
  <c r="E54" i="31"/>
  <c r="E55" i="45"/>
  <c r="E55" i="32"/>
  <c r="I61" i="44"/>
  <c r="I61" i="45"/>
  <c r="I60" i="30"/>
  <c r="I60" i="31"/>
  <c r="I61" i="32"/>
  <c r="I7" i="45"/>
  <c r="I7" i="44"/>
  <c r="I7" i="32"/>
  <c r="I7" i="31"/>
  <c r="I7" i="30"/>
  <c r="I15" i="45"/>
  <c r="I15" i="44"/>
  <c r="I15" i="32"/>
  <c r="I15" i="31"/>
  <c r="I15" i="30"/>
  <c r="I12" i="44"/>
  <c r="I12" i="45"/>
  <c r="I12" i="30"/>
  <c r="I12" i="32"/>
  <c r="I12" i="31"/>
  <c r="I69" i="39"/>
  <c r="U62" i="38"/>
  <c r="U68" i="38" s="1"/>
  <c r="H69" i="39"/>
  <c r="T62" i="38"/>
  <c r="T68" i="38" s="1"/>
  <c r="G69" i="39"/>
  <c r="S62" i="38"/>
  <c r="S68" i="38" s="1"/>
  <c r="G12" i="31"/>
  <c r="G12" i="45"/>
  <c r="G12" i="44"/>
  <c r="G12" i="32"/>
  <c r="G12" i="30"/>
  <c r="G7" i="45"/>
  <c r="G7" i="44"/>
  <c r="G7" i="32"/>
  <c r="G7" i="31"/>
  <c r="G7" i="30"/>
  <c r="G15" i="45"/>
  <c r="G15" i="32"/>
  <c r="G15" i="31"/>
  <c r="G15" i="30"/>
  <c r="G15" i="44"/>
  <c r="F6" i="45"/>
  <c r="F6" i="44"/>
  <c r="F6" i="32"/>
  <c r="E6" i="44"/>
  <c r="E6" i="31"/>
  <c r="E6" i="45"/>
  <c r="E6" i="32"/>
  <c r="I6" i="31"/>
  <c r="I6" i="45"/>
  <c r="I6" i="32"/>
  <c r="I6" i="30"/>
  <c r="I6" i="44"/>
  <c r="H6" i="32"/>
  <c r="H6" i="31"/>
  <c r="H6" i="45"/>
  <c r="H6" i="30"/>
  <c r="H6" i="44"/>
  <c r="G6" i="45"/>
  <c r="G6" i="44"/>
  <c r="I2" i="17"/>
  <c r="O43" i="27"/>
  <c r="T49" i="32" s="1"/>
  <c r="J70" i="33"/>
  <c r="P44" i="26"/>
  <c r="U48" i="31" s="1"/>
  <c r="H68" i="38"/>
  <c r="T63" i="37"/>
  <c r="T68" i="37" s="1"/>
  <c r="G68" i="38"/>
  <c r="S63" i="37"/>
  <c r="S68" i="37" s="1"/>
  <c r="H68" i="37"/>
  <c r="T61" i="33"/>
  <c r="T67" i="33" s="1"/>
  <c r="I68" i="37"/>
  <c r="U61" i="33"/>
  <c r="U67" i="33" s="1"/>
  <c r="G68" i="37"/>
  <c r="S61" i="33"/>
  <c r="S67" i="33" s="1"/>
  <c r="S44" i="28"/>
  <c r="R44" i="28"/>
  <c r="J72" i="39"/>
  <c r="M44" i="29"/>
  <c r="R49" i="45" s="1"/>
  <c r="H43" i="27"/>
  <c r="M49" i="32" s="1"/>
  <c r="M50" i="32" s="1"/>
  <c r="G43" i="27"/>
  <c r="L49" i="32" s="1"/>
  <c r="L50" i="32" s="1"/>
  <c r="M43" i="27"/>
  <c r="R49" i="32" s="1"/>
  <c r="J44" i="26"/>
  <c r="O48" i="31" s="1"/>
  <c r="K44" i="28"/>
  <c r="P49" i="44" s="1"/>
  <c r="J44" i="28"/>
  <c r="O49" i="44" s="1"/>
  <c r="P44" i="28"/>
  <c r="U49" i="44" s="1"/>
  <c r="H44" i="28"/>
  <c r="M49" i="44" s="1"/>
  <c r="N72" i="39"/>
  <c r="O72" i="39"/>
  <c r="R72" i="39"/>
  <c r="J44" i="29"/>
  <c r="O49" i="45" s="1"/>
  <c r="P44" i="29"/>
  <c r="U49" i="45" s="1"/>
  <c r="L44" i="29"/>
  <c r="Q49" i="45" s="1"/>
  <c r="U34" i="29"/>
  <c r="L71" i="38"/>
  <c r="L48" i="44"/>
  <c r="Q44" i="28"/>
  <c r="V49" i="44" s="1"/>
  <c r="I44" i="28"/>
  <c r="N49" i="44" s="1"/>
  <c r="O44" i="28"/>
  <c r="T49" i="44" s="1"/>
  <c r="G44" i="28"/>
  <c r="L49" i="44" s="1"/>
  <c r="L50" i="44" s="1"/>
  <c r="L54" i="44"/>
  <c r="F44" i="28"/>
  <c r="K49" i="44" s="1"/>
  <c r="K50" i="44" s="1"/>
  <c r="O49" i="32"/>
  <c r="V49" i="32"/>
  <c r="I43" i="27"/>
  <c r="N49" i="32" s="1"/>
  <c r="V48" i="31"/>
  <c r="I44" i="26"/>
  <c r="N48" i="31" s="1"/>
  <c r="O44" i="26"/>
  <c r="T48" i="31" s="1"/>
  <c r="G44" i="26"/>
  <c r="L48" i="31" s="1"/>
  <c r="N44" i="26"/>
  <c r="S48" i="31" s="1"/>
  <c r="M44" i="26"/>
  <c r="R48" i="31" s="1"/>
  <c r="L44" i="26"/>
  <c r="Q48" i="31" s="1"/>
  <c r="K44" i="26"/>
  <c r="P48" i="31" s="1"/>
  <c r="G76" i="27"/>
  <c r="G80" i="27" s="1"/>
  <c r="K11" i="45"/>
  <c r="K9" i="44"/>
  <c r="K11" i="44"/>
  <c r="H27" i="25"/>
  <c r="H72" i="23" s="1"/>
  <c r="K9" i="30"/>
  <c r="K11" i="30"/>
  <c r="T76" i="27"/>
  <c r="T80" i="27" s="1"/>
  <c r="S76" i="27"/>
  <c r="S80" i="27" s="1"/>
  <c r="H13" i="9"/>
  <c r="O11" i="9" s="1"/>
  <c r="U56" i="29"/>
  <c r="T68" i="26"/>
  <c r="T73" i="26" s="1"/>
  <c r="T74" i="26" s="1"/>
  <c r="S68" i="26"/>
  <c r="S73" i="26" s="1"/>
  <c r="S74" i="26" s="1"/>
  <c r="R68" i="26"/>
  <c r="R73" i="26" s="1"/>
  <c r="R74" i="26" s="1"/>
  <c r="J68" i="26"/>
  <c r="J73" i="26" s="1"/>
  <c r="J74" i="26" s="1"/>
  <c r="P71" i="37"/>
  <c r="O71" i="37"/>
  <c r="M67" i="37"/>
  <c r="M71" i="37" s="1"/>
  <c r="N67" i="37"/>
  <c r="N71" i="37" s="1"/>
  <c r="S9" i="32"/>
  <c r="K11" i="32"/>
  <c r="K9" i="32"/>
  <c r="P9" i="32"/>
  <c r="O9" i="32"/>
  <c r="V9" i="32"/>
  <c r="N9" i="32"/>
  <c r="U9" i="32"/>
  <c r="M9" i="32"/>
  <c r="K9" i="31"/>
  <c r="R76" i="27"/>
  <c r="R80" i="27" s="1"/>
  <c r="J76" i="27"/>
  <c r="J80" i="27" s="1"/>
  <c r="T19" i="48"/>
  <c r="F21" i="17"/>
  <c r="G21" i="17"/>
  <c r="K2" i="17"/>
  <c r="H19" i="17"/>
  <c r="H8" i="17"/>
  <c r="H16" i="17"/>
  <c r="H6" i="17"/>
  <c r="H9" i="17"/>
  <c r="H20" i="17"/>
  <c r="H10" i="17"/>
  <c r="H11" i="17"/>
  <c r="H12" i="17"/>
  <c r="H13" i="17"/>
  <c r="H17" i="17"/>
  <c r="H14" i="17"/>
  <c r="H18" i="17"/>
  <c r="H7" i="17"/>
  <c r="H15" i="17"/>
  <c r="M76" i="29"/>
  <c r="M78" i="29" s="1"/>
  <c r="M81" i="29" s="1"/>
  <c r="U75" i="29"/>
  <c r="S77" i="28"/>
  <c r="S81" i="28" s="1"/>
  <c r="K44" i="29"/>
  <c r="P49" i="45" s="1"/>
  <c r="H44" i="29"/>
  <c r="Q44" i="29"/>
  <c r="V49" i="45" s="1"/>
  <c r="I44" i="29"/>
  <c r="N49" i="45" s="1"/>
  <c r="O44" i="29"/>
  <c r="T49" i="45" s="1"/>
  <c r="G44" i="29"/>
  <c r="L49" i="45" s="1"/>
  <c r="N44" i="29"/>
  <c r="S49" i="45" s="1"/>
  <c r="M44" i="28"/>
  <c r="R49" i="44" s="1"/>
  <c r="L44" i="28"/>
  <c r="Q49" i="44" s="1"/>
  <c r="T77" i="28"/>
  <c r="T81" i="28" s="1"/>
  <c r="U35" i="28"/>
  <c r="N44" i="28"/>
  <c r="S49" i="44" s="1"/>
  <c r="S43" i="27"/>
  <c r="K43" i="27"/>
  <c r="P49" i="32" s="1"/>
  <c r="Q76" i="27"/>
  <c r="Q80" i="27" s="1"/>
  <c r="I76" i="27"/>
  <c r="I80" i="27" s="1"/>
  <c r="P76" i="27"/>
  <c r="P80" i="27" s="1"/>
  <c r="H76" i="27"/>
  <c r="H80" i="27" s="1"/>
  <c r="O76" i="27"/>
  <c r="O80" i="27" s="1"/>
  <c r="P43" i="27"/>
  <c r="U49" i="32" s="1"/>
  <c r="F76" i="27"/>
  <c r="F80" i="27" s="1"/>
  <c r="N76" i="27"/>
  <c r="N80" i="27" s="1"/>
  <c r="K76" i="27"/>
  <c r="K80" i="27" s="1"/>
  <c r="M76" i="27"/>
  <c r="M80" i="27" s="1"/>
  <c r="L76" i="27"/>
  <c r="L80" i="27" s="1"/>
  <c r="F43" i="27"/>
  <c r="K49" i="32" s="1"/>
  <c r="F68" i="26"/>
  <c r="F73" i="26" s="1"/>
  <c r="F74" i="26" s="1"/>
  <c r="M68" i="26"/>
  <c r="M73" i="26" s="1"/>
  <c r="M74" i="26" s="1"/>
  <c r="Q68" i="26"/>
  <c r="Q73" i="26" s="1"/>
  <c r="Q74" i="26" s="1"/>
  <c r="I68" i="26"/>
  <c r="I73" i="26" s="1"/>
  <c r="I74" i="26" s="1"/>
  <c r="P68" i="26"/>
  <c r="P73" i="26" s="1"/>
  <c r="P74" i="26" s="1"/>
  <c r="G68" i="26"/>
  <c r="G73" i="26" s="1"/>
  <c r="G74" i="26" s="1"/>
  <c r="L76" i="29"/>
  <c r="F76" i="29"/>
  <c r="K76" i="29"/>
  <c r="G76" i="29"/>
  <c r="J76" i="29"/>
  <c r="Q76" i="29"/>
  <c r="I76" i="29"/>
  <c r="P76" i="29"/>
  <c r="H76" i="29"/>
  <c r="O76" i="29"/>
  <c r="N76" i="29"/>
  <c r="R77" i="28"/>
  <c r="J77" i="28"/>
  <c r="I77" i="28"/>
  <c r="N77" i="28"/>
  <c r="N81" i="28" s="1"/>
  <c r="Q77" i="28"/>
  <c r="Q81" i="28" s="1"/>
  <c r="P77" i="28"/>
  <c r="H77" i="28"/>
  <c r="O77" i="28"/>
  <c r="O81" i="28" s="1"/>
  <c r="F77" i="28"/>
  <c r="F79" i="28" s="1"/>
  <c r="G77" i="28"/>
  <c r="G81" i="28" s="1"/>
  <c r="M77" i="28"/>
  <c r="M81" i="28" s="1"/>
  <c r="L77" i="28"/>
  <c r="L81" i="28" s="1"/>
  <c r="K77" i="28"/>
  <c r="U76" i="28"/>
  <c r="K55" i="44"/>
  <c r="K56" i="44" s="1"/>
  <c r="U56" i="28"/>
  <c r="U35" i="27"/>
  <c r="M47" i="32"/>
  <c r="M48" i="32" s="1"/>
  <c r="K45" i="32"/>
  <c r="K54" i="32" s="1"/>
  <c r="V45" i="32"/>
  <c r="P45" i="32"/>
  <c r="P48" i="32" s="1"/>
  <c r="U55" i="27"/>
  <c r="H68" i="26"/>
  <c r="H73" i="26" s="1"/>
  <c r="H74" i="26" s="1"/>
  <c r="K68" i="26"/>
  <c r="L68" i="26"/>
  <c r="N68" i="26"/>
  <c r="N73" i="26" s="1"/>
  <c r="N74" i="26" s="1"/>
  <c r="O68" i="26"/>
  <c r="L46" i="31"/>
  <c r="M48" i="31"/>
  <c r="M46" i="31"/>
  <c r="U35" i="26"/>
  <c r="U35" i="23"/>
  <c r="O50" i="30"/>
  <c r="Q50" i="30"/>
  <c r="V50" i="30"/>
  <c r="U45" i="44"/>
  <c r="U48" i="44" s="1"/>
  <c r="O45" i="45"/>
  <c r="O48" i="45" s="1"/>
  <c r="S45" i="44"/>
  <c r="S56" i="44" s="1"/>
  <c r="L56" i="44"/>
  <c r="K54" i="44"/>
  <c r="K52" i="44"/>
  <c r="R45" i="44"/>
  <c r="R54" i="44" s="1"/>
  <c r="L52" i="44"/>
  <c r="U75" i="27"/>
  <c r="N55" i="32"/>
  <c r="T45" i="44"/>
  <c r="V45" i="44"/>
  <c r="Q45" i="44"/>
  <c r="Q52" i="44" s="1"/>
  <c r="P45" i="44"/>
  <c r="O45" i="44"/>
  <c r="O52" i="44" s="1"/>
  <c r="N45" i="44"/>
  <c r="M45" i="44"/>
  <c r="M46" i="44" s="1"/>
  <c r="L51" i="32"/>
  <c r="L52" i="32" s="1"/>
  <c r="N45" i="32"/>
  <c r="N48" i="32" s="1"/>
  <c r="O45" i="32"/>
  <c r="K51" i="32"/>
  <c r="U45" i="32"/>
  <c r="T45" i="32"/>
  <c r="T48" i="32" s="1"/>
  <c r="S45" i="32"/>
  <c r="S52" i="32" s="1"/>
  <c r="R45" i="32"/>
  <c r="Q45" i="32"/>
  <c r="Q54" i="32" s="1"/>
  <c r="M55" i="32"/>
  <c r="M56" i="32" s="1"/>
  <c r="L48" i="32"/>
  <c r="U50" i="30"/>
  <c r="P50" i="30"/>
  <c r="M50" i="30"/>
  <c r="U67" i="23"/>
  <c r="U54" i="23"/>
  <c r="U54" i="30"/>
  <c r="T54" i="30"/>
  <c r="S54" i="30"/>
  <c r="M54" i="30"/>
  <c r="U67" i="26"/>
  <c r="O50" i="31"/>
  <c r="K50" i="31"/>
  <c r="U54" i="26"/>
  <c r="Q54" i="30"/>
  <c r="S51" i="45"/>
  <c r="S51" i="44"/>
  <c r="P44" i="31"/>
  <c r="P51" i="31" s="1"/>
  <c r="M44" i="31"/>
  <c r="M53" i="31" s="1"/>
  <c r="U44" i="31"/>
  <c r="U53" i="31" s="1"/>
  <c r="O44" i="31"/>
  <c r="O47" i="31" s="1"/>
  <c r="N44" i="31"/>
  <c r="N53" i="31" s="1"/>
  <c r="V44" i="31"/>
  <c r="Q44" i="31"/>
  <c r="Q53" i="31" s="1"/>
  <c r="R44" i="31"/>
  <c r="R47" i="31" s="1"/>
  <c r="K44" i="31"/>
  <c r="S44" i="31"/>
  <c r="L44" i="31"/>
  <c r="T44" i="31"/>
  <c r="S50" i="30"/>
  <c r="K45" i="45"/>
  <c r="K52" i="45" s="1"/>
  <c r="L45" i="45"/>
  <c r="L56" i="45" s="1"/>
  <c r="S45" i="45"/>
  <c r="S56" i="45" s="1"/>
  <c r="R45" i="45"/>
  <c r="R56" i="45" s="1"/>
  <c r="Q45" i="45"/>
  <c r="P45" i="45"/>
  <c r="P52" i="45" s="1"/>
  <c r="N45" i="45"/>
  <c r="M45" i="45"/>
  <c r="M48" i="45" s="1"/>
  <c r="T45" i="45"/>
  <c r="T52" i="45" s="1"/>
  <c r="U45" i="45"/>
  <c r="U48" i="45" s="1"/>
  <c r="V45" i="45"/>
  <c r="K48" i="44"/>
  <c r="L46" i="44"/>
  <c r="L54" i="32"/>
  <c r="K11" i="31"/>
  <c r="L56" i="32"/>
  <c r="P72" i="39"/>
  <c r="G31" i="25"/>
  <c r="Q72" i="39"/>
  <c r="K72" i="39"/>
  <c r="L72" i="39"/>
  <c r="P71" i="38"/>
  <c r="M71" i="38"/>
  <c r="N71" i="38"/>
  <c r="O71" i="38"/>
  <c r="J71" i="38"/>
  <c r="J71" i="37"/>
  <c r="R71" i="37"/>
  <c r="G67" i="37"/>
  <c r="G71" i="37" s="1"/>
  <c r="Q71" i="37"/>
  <c r="K71" i="37"/>
  <c r="L71" i="37"/>
  <c r="G67" i="24"/>
  <c r="M52" i="32"/>
  <c r="M54" i="32"/>
  <c r="M46" i="32"/>
  <c r="P20" i="20"/>
  <c r="Q20" i="20" s="1"/>
  <c r="P14" i="20"/>
  <c r="Q14" i="20" s="1"/>
  <c r="P11" i="20"/>
  <c r="Q11" i="20" s="1"/>
  <c r="P8" i="20"/>
  <c r="Q8" i="20" s="1"/>
  <c r="P5" i="20"/>
  <c r="Q5" i="20" s="1"/>
  <c r="P17" i="20"/>
  <c r="Q17" i="20" s="1"/>
  <c r="G70" i="24" l="1"/>
  <c r="H66" i="24"/>
  <c r="U70" i="33"/>
  <c r="I72" i="39"/>
  <c r="G72" i="39"/>
  <c r="G71" i="38"/>
  <c r="I71" i="38"/>
  <c r="I35" i="24"/>
  <c r="I39" i="24" s="1"/>
  <c r="I41" i="24" s="1"/>
  <c r="I42" i="24" s="1"/>
  <c r="I35" i="33"/>
  <c r="I39" i="33" s="1"/>
  <c r="I71" i="24"/>
  <c r="I9" i="32"/>
  <c r="I9" i="45"/>
  <c r="I9" i="30"/>
  <c r="I9" i="44"/>
  <c r="I9" i="31"/>
  <c r="P30" i="3"/>
  <c r="R71" i="38"/>
  <c r="G9" i="44"/>
  <c r="G9" i="31"/>
  <c r="G9" i="45"/>
  <c r="G9" i="32"/>
  <c r="G9" i="30"/>
  <c r="I27" i="25"/>
  <c r="L60" i="30"/>
  <c r="E51" i="44"/>
  <c r="E50" i="31"/>
  <c r="E51" i="32"/>
  <c r="E51" i="45"/>
  <c r="E50" i="30"/>
  <c r="T71" i="37"/>
  <c r="N74" i="39"/>
  <c r="R63" i="45"/>
  <c r="M24" i="43"/>
  <c r="M25" i="43" s="1"/>
  <c r="R91" i="45" s="1"/>
  <c r="H72" i="39"/>
  <c r="I45" i="32"/>
  <c r="I45" i="44"/>
  <c r="I44" i="30"/>
  <c r="I44" i="31"/>
  <c r="I45" i="45"/>
  <c r="I49" i="44"/>
  <c r="I48" i="30"/>
  <c r="I48" i="31"/>
  <c r="I49" i="45"/>
  <c r="I49" i="32"/>
  <c r="I5" i="30"/>
  <c r="I5" i="31"/>
  <c r="I5" i="45"/>
  <c r="I5" i="44"/>
  <c r="I5" i="32"/>
  <c r="U52" i="45"/>
  <c r="H5" i="45"/>
  <c r="H5" i="44"/>
  <c r="H5" i="32"/>
  <c r="H5" i="31"/>
  <c r="H5" i="30"/>
  <c r="S71" i="37"/>
  <c r="V54" i="44"/>
  <c r="H44" i="31"/>
  <c r="H45" i="44"/>
  <c r="H45" i="45"/>
  <c r="H45" i="32"/>
  <c r="H44" i="30"/>
  <c r="H49" i="32"/>
  <c r="H48" i="30"/>
  <c r="H49" i="44"/>
  <c r="H48" i="31"/>
  <c r="H49" i="45"/>
  <c r="G49" i="32"/>
  <c r="G48" i="30"/>
  <c r="G49" i="44"/>
  <c r="G48" i="31"/>
  <c r="G49" i="45"/>
  <c r="G5" i="45"/>
  <c r="G5" i="44"/>
  <c r="G5" i="32"/>
  <c r="G5" i="31"/>
  <c r="G5" i="30"/>
  <c r="V52" i="32"/>
  <c r="G44" i="31"/>
  <c r="G45" i="45"/>
  <c r="G45" i="32"/>
  <c r="G44" i="30"/>
  <c r="G45" i="44"/>
  <c r="S70" i="33"/>
  <c r="G78" i="27"/>
  <c r="G81" i="27" s="1"/>
  <c r="F5" i="32"/>
  <c r="F5" i="30"/>
  <c r="F5" i="44"/>
  <c r="F5" i="31"/>
  <c r="F5" i="45"/>
  <c r="F45" i="44"/>
  <c r="F44" i="31"/>
  <c r="F45" i="45"/>
  <c r="F44" i="30"/>
  <c r="F45" i="32"/>
  <c r="F49" i="32"/>
  <c r="F48" i="30"/>
  <c r="F49" i="44"/>
  <c r="F48" i="31"/>
  <c r="F49" i="45"/>
  <c r="E5" i="44"/>
  <c r="E5" i="31"/>
  <c r="E5" i="32"/>
  <c r="E5" i="45"/>
  <c r="O52" i="45"/>
  <c r="U71" i="38"/>
  <c r="U44" i="29"/>
  <c r="P29" i="3" s="1"/>
  <c r="T71" i="38"/>
  <c r="S71" i="38"/>
  <c r="H71" i="38"/>
  <c r="T70" i="33"/>
  <c r="L46" i="32"/>
  <c r="H71" i="37"/>
  <c r="P49" i="31"/>
  <c r="M49" i="31"/>
  <c r="I71" i="37"/>
  <c r="S50" i="45"/>
  <c r="O56" i="45"/>
  <c r="U54" i="44"/>
  <c r="T50" i="44"/>
  <c r="M48" i="44"/>
  <c r="U50" i="44"/>
  <c r="Q48" i="44"/>
  <c r="N27" i="3"/>
  <c r="V40" i="39"/>
  <c r="M49" i="45"/>
  <c r="M50" i="45" s="1"/>
  <c r="P27" i="3"/>
  <c r="U52" i="44"/>
  <c r="L27" i="3"/>
  <c r="L49" i="31"/>
  <c r="L47" i="31"/>
  <c r="J27" i="3"/>
  <c r="F18" i="25"/>
  <c r="F19" i="25" s="1"/>
  <c r="K87" i="30" s="1"/>
  <c r="H16" i="25"/>
  <c r="I16" i="25" s="1"/>
  <c r="M80" i="29"/>
  <c r="I78" i="27"/>
  <c r="I81" i="27" s="1"/>
  <c r="T71" i="26"/>
  <c r="I71" i="26"/>
  <c r="L11" i="9"/>
  <c r="L10" i="9"/>
  <c r="L12" i="9"/>
  <c r="H31" i="25"/>
  <c r="M90" i="30"/>
  <c r="N12" i="9"/>
  <c r="O79" i="28"/>
  <c r="S57" i="32"/>
  <c r="S58" i="32" s="1"/>
  <c r="S78" i="27"/>
  <c r="O10" i="9"/>
  <c r="G79" i="28"/>
  <c r="M9" i="9"/>
  <c r="M10" i="9"/>
  <c r="K57" i="32"/>
  <c r="K58" i="32" s="1"/>
  <c r="M11" i="9"/>
  <c r="M57" i="32"/>
  <c r="M58" i="32" s="1"/>
  <c r="R78" i="27"/>
  <c r="T78" i="27"/>
  <c r="J71" i="26"/>
  <c r="Q71" i="26"/>
  <c r="K10" i="9"/>
  <c r="O9" i="9"/>
  <c r="O12" i="9"/>
  <c r="S71" i="26"/>
  <c r="P71" i="26"/>
  <c r="R71" i="26"/>
  <c r="K9" i="9"/>
  <c r="K12" i="9"/>
  <c r="N11" i="9"/>
  <c r="N10" i="9"/>
  <c r="N30" i="3"/>
  <c r="L78" i="27"/>
  <c r="L81" i="27" s="1"/>
  <c r="M78" i="27"/>
  <c r="M81" i="27" s="1"/>
  <c r="L30" i="3"/>
  <c r="F78" i="27"/>
  <c r="U57" i="32"/>
  <c r="U58" i="32" s="1"/>
  <c r="J78" i="27"/>
  <c r="J81" i="27" s="1"/>
  <c r="Q78" i="27"/>
  <c r="Q81" i="27" s="1"/>
  <c r="H30" i="3"/>
  <c r="H21" i="17"/>
  <c r="K57" i="45"/>
  <c r="K58" i="45" s="1"/>
  <c r="U76" i="29"/>
  <c r="S79" i="28"/>
  <c r="I80" i="29"/>
  <c r="I78" i="29"/>
  <c r="Q80" i="29"/>
  <c r="Q78" i="29"/>
  <c r="N78" i="29"/>
  <c r="N81" i="29" s="1"/>
  <c r="N80" i="29"/>
  <c r="P80" i="29"/>
  <c r="P78" i="29"/>
  <c r="P81" i="29" s="1"/>
  <c r="J80" i="29"/>
  <c r="J78" i="29"/>
  <c r="J81" i="29" s="1"/>
  <c r="G80" i="29"/>
  <c r="G78" i="29"/>
  <c r="G81" i="29" s="1"/>
  <c r="K78" i="29"/>
  <c r="K81" i="29" s="1"/>
  <c r="K80" i="29"/>
  <c r="O78" i="29"/>
  <c r="O81" i="29" s="1"/>
  <c r="O80" i="29"/>
  <c r="F80" i="29"/>
  <c r="F78" i="29"/>
  <c r="F81" i="29" s="1"/>
  <c r="P28" i="3"/>
  <c r="H80" i="29"/>
  <c r="H78" i="29"/>
  <c r="H81" i="29" s="1"/>
  <c r="Q57" i="45"/>
  <c r="Q58" i="45" s="1"/>
  <c r="L78" i="29"/>
  <c r="L80" i="29"/>
  <c r="K79" i="28"/>
  <c r="K81" i="28"/>
  <c r="P62" i="44" s="1"/>
  <c r="Q79" i="28"/>
  <c r="F82" i="28"/>
  <c r="G38" i="38" s="1"/>
  <c r="F81" i="28"/>
  <c r="I79" i="28"/>
  <c r="I81" i="28"/>
  <c r="N62" i="44" s="1"/>
  <c r="N28" i="3"/>
  <c r="J79" i="28"/>
  <c r="J81" i="28"/>
  <c r="H79" i="28"/>
  <c r="H81" i="28"/>
  <c r="M62" i="44" s="1"/>
  <c r="R79" i="28"/>
  <c r="R82" i="28" s="1"/>
  <c r="S38" i="38" s="1"/>
  <c r="R81" i="28"/>
  <c r="T79" i="28"/>
  <c r="P79" i="28"/>
  <c r="P81" i="28"/>
  <c r="U62" i="44" s="1"/>
  <c r="L28" i="3"/>
  <c r="J28" i="3"/>
  <c r="S49" i="31"/>
  <c r="T49" i="31"/>
  <c r="M71" i="26"/>
  <c r="F71" i="26"/>
  <c r="N71" i="26"/>
  <c r="L71" i="26"/>
  <c r="L73" i="26"/>
  <c r="L74" i="26" s="1"/>
  <c r="K71" i="26"/>
  <c r="K73" i="26"/>
  <c r="K74" i="26" s="1"/>
  <c r="O71" i="26"/>
  <c r="O73" i="26"/>
  <c r="O74" i="26" s="1"/>
  <c r="J30" i="3"/>
  <c r="H71" i="26"/>
  <c r="G71" i="26"/>
  <c r="H28" i="3"/>
  <c r="O57" i="44"/>
  <c r="O58" i="44" s="1"/>
  <c r="V57" i="45"/>
  <c r="P57" i="44"/>
  <c r="P58" i="44" s="1"/>
  <c r="V57" i="44"/>
  <c r="V62" i="44"/>
  <c r="M57" i="44"/>
  <c r="M58" i="44" s="1"/>
  <c r="N57" i="44"/>
  <c r="N58" i="44" s="1"/>
  <c r="N79" i="28"/>
  <c r="U44" i="28"/>
  <c r="R50" i="44"/>
  <c r="R52" i="44"/>
  <c r="U57" i="44"/>
  <c r="U58" i="44" s="1"/>
  <c r="R46" i="44"/>
  <c r="U46" i="32"/>
  <c r="K48" i="32"/>
  <c r="S48" i="32"/>
  <c r="N50" i="32"/>
  <c r="S56" i="32"/>
  <c r="S54" i="32"/>
  <c r="K56" i="32"/>
  <c r="U48" i="32"/>
  <c r="K52" i="32"/>
  <c r="R46" i="32"/>
  <c r="V50" i="32"/>
  <c r="K50" i="32"/>
  <c r="U56" i="32"/>
  <c r="U50" i="32"/>
  <c r="P54" i="32"/>
  <c r="N52" i="32"/>
  <c r="O46" i="32"/>
  <c r="H78" i="27"/>
  <c r="H81" i="27" s="1"/>
  <c r="N54" i="32"/>
  <c r="N46" i="32"/>
  <c r="P50" i="32"/>
  <c r="P52" i="32"/>
  <c r="T54" i="32"/>
  <c r="T56" i="32"/>
  <c r="T46" i="32"/>
  <c r="T52" i="32"/>
  <c r="S50" i="32"/>
  <c r="T50" i="32"/>
  <c r="Q46" i="32"/>
  <c r="P56" i="32"/>
  <c r="V54" i="32"/>
  <c r="V56" i="32"/>
  <c r="V46" i="32"/>
  <c r="V48" i="32"/>
  <c r="V57" i="32"/>
  <c r="N56" i="32"/>
  <c r="Q52" i="32"/>
  <c r="U43" i="27"/>
  <c r="Q50" i="32"/>
  <c r="N61" i="31"/>
  <c r="R61" i="31"/>
  <c r="U44" i="26"/>
  <c r="S53" i="31"/>
  <c r="P47" i="31"/>
  <c r="P55" i="31"/>
  <c r="R51" i="31"/>
  <c r="S47" i="31"/>
  <c r="P53" i="31"/>
  <c r="S45" i="31"/>
  <c r="O61" i="31"/>
  <c r="V49" i="31"/>
  <c r="R53" i="31"/>
  <c r="R49" i="31"/>
  <c r="S51" i="31"/>
  <c r="L51" i="31"/>
  <c r="S55" i="31"/>
  <c r="L55" i="31"/>
  <c r="R45" i="31"/>
  <c r="O50" i="45"/>
  <c r="P50" i="45"/>
  <c r="U56" i="44"/>
  <c r="S54" i="44"/>
  <c r="T46" i="44"/>
  <c r="M79" i="28"/>
  <c r="M82" i="28" s="1"/>
  <c r="N38" i="38" s="1"/>
  <c r="S46" i="44"/>
  <c r="N57" i="45"/>
  <c r="N58" i="45" s="1"/>
  <c r="O54" i="45"/>
  <c r="T46" i="45"/>
  <c r="U46" i="45"/>
  <c r="U54" i="45"/>
  <c r="U50" i="45"/>
  <c r="Q50" i="45"/>
  <c r="S46" i="45"/>
  <c r="Q48" i="45"/>
  <c r="R48" i="45"/>
  <c r="M52" i="45"/>
  <c r="M54" i="45"/>
  <c r="M56" i="45"/>
  <c r="T56" i="44"/>
  <c r="K57" i="44"/>
  <c r="K58" i="44" s="1"/>
  <c r="T54" i="44"/>
  <c r="N46" i="44"/>
  <c r="R56" i="44"/>
  <c r="L79" i="28"/>
  <c r="M50" i="44"/>
  <c r="M52" i="44"/>
  <c r="R48" i="44"/>
  <c r="S52" i="44"/>
  <c r="S48" i="44"/>
  <c r="S50" i="44"/>
  <c r="O57" i="32"/>
  <c r="O58" i="32" s="1"/>
  <c r="V62" i="32"/>
  <c r="N57" i="32"/>
  <c r="N58" i="32" s="1"/>
  <c r="N78" i="27"/>
  <c r="N81" i="27" s="1"/>
  <c r="U76" i="27"/>
  <c r="P78" i="27"/>
  <c r="P81" i="27" s="1"/>
  <c r="O62" i="32"/>
  <c r="T52" i="44"/>
  <c r="T48" i="44"/>
  <c r="U46" i="44"/>
  <c r="V50" i="44"/>
  <c r="V52" i="44"/>
  <c r="V46" i="44"/>
  <c r="V56" i="44"/>
  <c r="V48" i="44"/>
  <c r="P50" i="44"/>
  <c r="M54" i="44"/>
  <c r="M56" i="44"/>
  <c r="O50" i="44"/>
  <c r="N50" i="44"/>
  <c r="Q50" i="44"/>
  <c r="Q57" i="44"/>
  <c r="Q58" i="44" s="1"/>
  <c r="O48" i="44"/>
  <c r="O54" i="44"/>
  <c r="O46" i="44"/>
  <c r="O56" i="44"/>
  <c r="Q54" i="44"/>
  <c r="Q46" i="44"/>
  <c r="Q56" i="44"/>
  <c r="P52" i="44"/>
  <c r="P48" i="44"/>
  <c r="P46" i="44"/>
  <c r="P56" i="44"/>
  <c r="P54" i="44"/>
  <c r="N56" i="44"/>
  <c r="N52" i="44"/>
  <c r="N54" i="44"/>
  <c r="N48" i="44"/>
  <c r="Q62" i="32"/>
  <c r="Q56" i="32"/>
  <c r="Q48" i="32"/>
  <c r="O48" i="32"/>
  <c r="R54" i="32"/>
  <c r="P46" i="32"/>
  <c r="R56" i="32"/>
  <c r="O54" i="32"/>
  <c r="O52" i="32"/>
  <c r="O50" i="32"/>
  <c r="U54" i="32"/>
  <c r="U52" i="32"/>
  <c r="R52" i="32"/>
  <c r="O56" i="32"/>
  <c r="S46" i="32"/>
  <c r="Q57" i="32"/>
  <c r="Q58" i="32" s="1"/>
  <c r="R48" i="32"/>
  <c r="R50" i="32"/>
  <c r="R62" i="32"/>
  <c r="R57" i="32"/>
  <c r="R58" i="32" s="1"/>
  <c r="R55" i="31"/>
  <c r="N45" i="31"/>
  <c r="O51" i="31"/>
  <c r="V61" i="31"/>
  <c r="Q47" i="31"/>
  <c r="Q51" i="31"/>
  <c r="Q45" i="31"/>
  <c r="Q49" i="31"/>
  <c r="Q55" i="31"/>
  <c r="U45" i="31"/>
  <c r="U51" i="31"/>
  <c r="U49" i="31"/>
  <c r="U47" i="31"/>
  <c r="V45" i="31"/>
  <c r="U55" i="31"/>
  <c r="U61" i="31"/>
  <c r="S57" i="45"/>
  <c r="S58" i="45" s="1"/>
  <c r="L57" i="44"/>
  <c r="L58" i="44" s="1"/>
  <c r="T57" i="44"/>
  <c r="T58" i="44" s="1"/>
  <c r="R57" i="44"/>
  <c r="R58" i="44" s="1"/>
  <c r="O78" i="27"/>
  <c r="O81" i="27" s="1"/>
  <c r="T57" i="32"/>
  <c r="T58" i="32" s="1"/>
  <c r="K78" i="27"/>
  <c r="K81" i="27" s="1"/>
  <c r="P57" i="32"/>
  <c r="P58" i="32" s="1"/>
  <c r="K47" i="31"/>
  <c r="K55" i="31"/>
  <c r="V55" i="31"/>
  <c r="O45" i="31"/>
  <c r="M55" i="31"/>
  <c r="N51" i="31"/>
  <c r="N55" i="31"/>
  <c r="T55" i="31"/>
  <c r="O53" i="31"/>
  <c r="T51" i="31"/>
  <c r="M47" i="31"/>
  <c r="L53" i="31"/>
  <c r="K53" i="31"/>
  <c r="T47" i="31"/>
  <c r="V51" i="31"/>
  <c r="T45" i="31"/>
  <c r="P45" i="31"/>
  <c r="L45" i="31"/>
  <c r="K51" i="31"/>
  <c r="O55" i="31"/>
  <c r="V47" i="31"/>
  <c r="M45" i="31"/>
  <c r="M51" i="31"/>
  <c r="O49" i="31"/>
  <c r="M61" i="31"/>
  <c r="T53" i="31"/>
  <c r="N49" i="31"/>
  <c r="K49" i="31"/>
  <c r="N47" i="31"/>
  <c r="V53" i="31"/>
  <c r="L57" i="32"/>
  <c r="L58" i="32" s="1"/>
  <c r="P57" i="45"/>
  <c r="P58" i="45" s="1"/>
  <c r="K56" i="45"/>
  <c r="P46" i="45"/>
  <c r="N46" i="45"/>
  <c r="N54" i="45"/>
  <c r="N52" i="45"/>
  <c r="K54" i="45"/>
  <c r="S48" i="45"/>
  <c r="N50" i="45"/>
  <c r="K48" i="45"/>
  <c r="L50" i="45"/>
  <c r="O46" i="45"/>
  <c r="K50" i="45"/>
  <c r="M46" i="45"/>
  <c r="Q52" i="45"/>
  <c r="Q54" i="45"/>
  <c r="Q56" i="45"/>
  <c r="P48" i="45"/>
  <c r="L54" i="45"/>
  <c r="M57" i="45"/>
  <c r="M58" i="45" s="1"/>
  <c r="R57" i="45"/>
  <c r="R58" i="45" s="1"/>
  <c r="Q46" i="45"/>
  <c r="S54" i="45"/>
  <c r="P56" i="45"/>
  <c r="V54" i="45"/>
  <c r="U57" i="45"/>
  <c r="U58" i="45" s="1"/>
  <c r="R52" i="45"/>
  <c r="R54" i="45"/>
  <c r="R46" i="45"/>
  <c r="N48" i="45"/>
  <c r="O57" i="45"/>
  <c r="O58" i="45" s="1"/>
  <c r="L46" i="45"/>
  <c r="L48" i="45"/>
  <c r="L52" i="45"/>
  <c r="L57" i="45"/>
  <c r="L58" i="45" s="1"/>
  <c r="S52" i="45"/>
  <c r="P54" i="45"/>
  <c r="N56" i="45"/>
  <c r="R50" i="45"/>
  <c r="T56" i="45"/>
  <c r="T54" i="45"/>
  <c r="T48" i="45"/>
  <c r="T57" i="45"/>
  <c r="T58" i="45" s="1"/>
  <c r="T50" i="45"/>
  <c r="V48" i="45"/>
  <c r="V46" i="45"/>
  <c r="U56" i="45"/>
  <c r="V50" i="45"/>
  <c r="V56" i="45"/>
  <c r="V52" i="45"/>
  <c r="K61" i="31"/>
  <c r="I66" i="24" l="1"/>
  <c r="H70" i="24"/>
  <c r="N90" i="30"/>
  <c r="I72" i="23"/>
  <c r="T81" i="27"/>
  <c r="U38" i="37" s="1"/>
  <c r="S81" i="27"/>
  <c r="F81" i="27"/>
  <c r="G73" i="37" s="1"/>
  <c r="R81" i="27"/>
  <c r="I31" i="25"/>
  <c r="H18" i="25"/>
  <c r="H19" i="25" s="1"/>
  <c r="M87" i="30" s="1"/>
  <c r="M60" i="30"/>
  <c r="J27" i="25"/>
  <c r="J72" i="23" s="1"/>
  <c r="M8" i="30"/>
  <c r="H63" i="24"/>
  <c r="H77" i="24"/>
  <c r="L16" i="30"/>
  <c r="L8" i="30"/>
  <c r="Q60" i="45"/>
  <c r="L81" i="29"/>
  <c r="L82" i="29" s="1"/>
  <c r="Q64" i="45" s="1"/>
  <c r="Q65" i="45" s="1"/>
  <c r="P74" i="39"/>
  <c r="T63" i="45"/>
  <c r="O24" i="43"/>
  <c r="S82" i="28"/>
  <c r="T38" i="38" s="1"/>
  <c r="U63" i="45"/>
  <c r="P24" i="43"/>
  <c r="Q74" i="39"/>
  <c r="S73" i="38"/>
  <c r="M63" i="45"/>
  <c r="H24" i="43"/>
  <c r="H25" i="43" s="1"/>
  <c r="M91" i="45" s="1"/>
  <c r="I74" i="39"/>
  <c r="P63" i="45"/>
  <c r="K24" i="43"/>
  <c r="K25" i="43" s="1"/>
  <c r="P91" i="45" s="1"/>
  <c r="L74" i="39"/>
  <c r="O74" i="39"/>
  <c r="N24" i="43"/>
  <c r="S63" i="45"/>
  <c r="T82" i="28"/>
  <c r="G24" i="43"/>
  <c r="G25" i="43" s="1"/>
  <c r="L91" i="45" s="1"/>
  <c r="H74" i="39"/>
  <c r="L63" i="45"/>
  <c r="V60" i="45"/>
  <c r="I59" i="30" s="1"/>
  <c r="Q81" i="29"/>
  <c r="G74" i="39"/>
  <c r="F24" i="43"/>
  <c r="F25" i="43" s="1"/>
  <c r="K63" i="45"/>
  <c r="J24" i="43"/>
  <c r="J25" i="43" s="1"/>
  <c r="O91" i="45" s="1"/>
  <c r="K74" i="39"/>
  <c r="O63" i="45"/>
  <c r="N60" i="45"/>
  <c r="I81" i="29"/>
  <c r="G82" i="28"/>
  <c r="N60" i="44"/>
  <c r="I82" i="28"/>
  <c r="J38" i="38" s="1"/>
  <c r="N73" i="38"/>
  <c r="R63" i="44"/>
  <c r="M60" i="44"/>
  <c r="H82" i="28"/>
  <c r="I38" i="38" s="1"/>
  <c r="K60" i="44"/>
  <c r="N82" i="28"/>
  <c r="O38" i="38" s="1"/>
  <c r="Q82" i="28"/>
  <c r="O82" i="28"/>
  <c r="P38" i="38" s="1"/>
  <c r="O60" i="44"/>
  <c r="J82" i="28"/>
  <c r="K38" i="38" s="1"/>
  <c r="L82" i="28"/>
  <c r="U60" i="44"/>
  <c r="P82" i="28"/>
  <c r="Q38" i="38" s="1"/>
  <c r="P60" i="44"/>
  <c r="K82" i="28"/>
  <c r="K82" i="27"/>
  <c r="P64" i="32" s="1"/>
  <c r="P65" i="32" s="1"/>
  <c r="P24" i="41"/>
  <c r="P25" i="41" s="1"/>
  <c r="U91" i="32" s="1"/>
  <c r="Q73" i="37"/>
  <c r="U63" i="32"/>
  <c r="R60" i="32"/>
  <c r="Q60" i="32"/>
  <c r="R75" i="26"/>
  <c r="S75" i="26"/>
  <c r="O60" i="32"/>
  <c r="N60" i="32"/>
  <c r="V60" i="32"/>
  <c r="G59" i="31" s="1"/>
  <c r="T75" i="26"/>
  <c r="O73" i="37"/>
  <c r="N24" i="41"/>
  <c r="N25" i="41" s="1"/>
  <c r="S91" i="32" s="1"/>
  <c r="S63" i="32"/>
  <c r="M62" i="32"/>
  <c r="H82" i="27"/>
  <c r="M64" i="32" s="1"/>
  <c r="M65" i="32" s="1"/>
  <c r="G82" i="27"/>
  <c r="L64" i="32" s="1"/>
  <c r="L65" i="32" s="1"/>
  <c r="I75" i="26"/>
  <c r="N63" i="31" s="1"/>
  <c r="N64" i="31" s="1"/>
  <c r="F75" i="26"/>
  <c r="L72" i="33"/>
  <c r="P62" i="31"/>
  <c r="Q75" i="26"/>
  <c r="V63" i="31" s="1"/>
  <c r="J75" i="26"/>
  <c r="O63" i="31" s="1"/>
  <c r="O64" i="31" s="1"/>
  <c r="P72" i="33"/>
  <c r="T62" i="31"/>
  <c r="M72" i="33"/>
  <c r="Q62" i="31"/>
  <c r="I45" i="31"/>
  <c r="I46" i="45"/>
  <c r="I45" i="30"/>
  <c r="I46" i="32"/>
  <c r="I46" i="44"/>
  <c r="I48" i="32"/>
  <c r="I47" i="31"/>
  <c r="I48" i="45"/>
  <c r="I48" i="44"/>
  <c r="I47" i="30"/>
  <c r="I52" i="32"/>
  <c r="I51" i="30"/>
  <c r="I52" i="44"/>
  <c r="I51" i="31"/>
  <c r="I52" i="45"/>
  <c r="I56" i="32"/>
  <c r="I55" i="31"/>
  <c r="I56" i="44"/>
  <c r="I56" i="45"/>
  <c r="I55" i="30"/>
  <c r="I49" i="30"/>
  <c r="I50" i="44"/>
  <c r="I49" i="31"/>
  <c r="I50" i="45"/>
  <c r="I50" i="32"/>
  <c r="I54" i="45"/>
  <c r="I53" i="30"/>
  <c r="I54" i="32"/>
  <c r="I54" i="44"/>
  <c r="I53" i="31"/>
  <c r="V58" i="45"/>
  <c r="I56" i="30"/>
  <c r="I57" i="44"/>
  <c r="I56" i="31"/>
  <c r="I57" i="45"/>
  <c r="I57" i="32"/>
  <c r="H55" i="30"/>
  <c r="H56" i="44"/>
  <c r="H55" i="31"/>
  <c r="H56" i="45"/>
  <c r="H56" i="32"/>
  <c r="H46" i="44"/>
  <c r="H45" i="31"/>
  <c r="H46" i="45"/>
  <c r="H46" i="32"/>
  <c r="H45" i="30"/>
  <c r="V58" i="44"/>
  <c r="H57" i="32"/>
  <c r="H56" i="30"/>
  <c r="H57" i="45"/>
  <c r="H57" i="44"/>
  <c r="H56" i="31"/>
  <c r="H52" i="45"/>
  <c r="H51" i="31"/>
  <c r="H52" i="32"/>
  <c r="H51" i="30"/>
  <c r="H52" i="44"/>
  <c r="H61" i="31"/>
  <c r="H62" i="44"/>
  <c r="H62" i="45"/>
  <c r="H62" i="32"/>
  <c r="H61" i="30"/>
  <c r="H53" i="30"/>
  <c r="H53" i="31"/>
  <c r="H54" i="45"/>
  <c r="H54" i="32"/>
  <c r="H54" i="44"/>
  <c r="H50" i="32"/>
  <c r="H50" i="45"/>
  <c r="H49" i="30"/>
  <c r="H50" i="44"/>
  <c r="H49" i="31"/>
  <c r="H47" i="30"/>
  <c r="H48" i="44"/>
  <c r="H48" i="32"/>
  <c r="H47" i="31"/>
  <c r="H48" i="45"/>
  <c r="G47" i="30"/>
  <c r="G48" i="44"/>
  <c r="G47" i="31"/>
  <c r="G48" i="45"/>
  <c r="G48" i="32"/>
  <c r="V58" i="32"/>
  <c r="G57" i="32"/>
  <c r="G56" i="30"/>
  <c r="G57" i="44"/>
  <c r="G56" i="31"/>
  <c r="G57" i="45"/>
  <c r="G50" i="32"/>
  <c r="G49" i="30"/>
  <c r="G50" i="44"/>
  <c r="G49" i="31"/>
  <c r="G50" i="45"/>
  <c r="G62" i="44"/>
  <c r="G61" i="31"/>
  <c r="G62" i="45"/>
  <c r="G61" i="30"/>
  <c r="G62" i="32"/>
  <c r="G46" i="44"/>
  <c r="G45" i="31"/>
  <c r="G46" i="45"/>
  <c r="G46" i="32"/>
  <c r="G45" i="30"/>
  <c r="G55" i="30"/>
  <c r="G56" i="44"/>
  <c r="G55" i="31"/>
  <c r="G56" i="32"/>
  <c r="G56" i="45"/>
  <c r="G54" i="44"/>
  <c r="G53" i="31"/>
  <c r="G54" i="45"/>
  <c r="G54" i="32"/>
  <c r="G53" i="30"/>
  <c r="G51" i="31"/>
  <c r="G52" i="45"/>
  <c r="G52" i="32"/>
  <c r="G51" i="30"/>
  <c r="G52" i="44"/>
  <c r="F53" i="30"/>
  <c r="F54" i="44"/>
  <c r="F53" i="31"/>
  <c r="F54" i="45"/>
  <c r="F54" i="32"/>
  <c r="F52" i="45"/>
  <c r="F52" i="32"/>
  <c r="F52" i="44"/>
  <c r="F51" i="30"/>
  <c r="F51" i="31"/>
  <c r="F45" i="30"/>
  <c r="F46" i="44"/>
  <c r="F45" i="31"/>
  <c r="F46" i="45"/>
  <c r="F46" i="32"/>
  <c r="F56" i="32"/>
  <c r="F56" i="44"/>
  <c r="F55" i="30"/>
  <c r="F55" i="31"/>
  <c r="F56" i="45"/>
  <c r="F48" i="32"/>
  <c r="F48" i="44"/>
  <c r="F47" i="30"/>
  <c r="F47" i="31"/>
  <c r="F48" i="45"/>
  <c r="F50" i="45"/>
  <c r="F50" i="32"/>
  <c r="F49" i="31"/>
  <c r="F49" i="30"/>
  <c r="F50" i="44"/>
  <c r="F61" i="30"/>
  <c r="F62" i="44"/>
  <c r="F61" i="31"/>
  <c r="F62" i="45"/>
  <c r="F62" i="32"/>
  <c r="K60" i="32"/>
  <c r="P31" i="3"/>
  <c r="L31" i="3"/>
  <c r="U73" i="26"/>
  <c r="K59" i="31"/>
  <c r="P61" i="31"/>
  <c r="O62" i="44"/>
  <c r="U78" i="29"/>
  <c r="U80" i="29"/>
  <c r="K60" i="45"/>
  <c r="R83" i="28"/>
  <c r="V60" i="44"/>
  <c r="N29" i="3"/>
  <c r="L29" i="3"/>
  <c r="K75" i="26"/>
  <c r="P63" i="31" s="1"/>
  <c r="P64" i="31" s="1"/>
  <c r="J29" i="3"/>
  <c r="O75" i="26"/>
  <c r="T63" i="31" s="1"/>
  <c r="T64" i="31" s="1"/>
  <c r="L75" i="26"/>
  <c r="U60" i="45"/>
  <c r="Q62" i="45"/>
  <c r="S60" i="45"/>
  <c r="P82" i="29"/>
  <c r="U64" i="45" s="1"/>
  <c r="U65" i="45" s="1"/>
  <c r="U62" i="45"/>
  <c r="N82" i="29"/>
  <c r="S64" i="45" s="1"/>
  <c r="S65" i="45" s="1"/>
  <c r="S62" i="45"/>
  <c r="U77" i="28"/>
  <c r="S57" i="44"/>
  <c r="S58" i="44" s="1"/>
  <c r="M60" i="32"/>
  <c r="U79" i="28"/>
  <c r="Q60" i="44"/>
  <c r="Q62" i="44"/>
  <c r="Q82" i="27"/>
  <c r="V64" i="32" s="1"/>
  <c r="S60" i="32"/>
  <c r="U60" i="32"/>
  <c r="U78" i="27"/>
  <c r="I82" i="27"/>
  <c r="N64" i="32" s="1"/>
  <c r="N65" i="32" s="1"/>
  <c r="N62" i="32"/>
  <c r="U71" i="26"/>
  <c r="L60" i="44"/>
  <c r="R60" i="44"/>
  <c r="T60" i="44"/>
  <c r="S60" i="44"/>
  <c r="P60" i="32"/>
  <c r="T60" i="32"/>
  <c r="L60" i="32"/>
  <c r="G82" i="29"/>
  <c r="L60" i="45"/>
  <c r="H82" i="29"/>
  <c r="M60" i="45"/>
  <c r="M82" i="29"/>
  <c r="R60" i="45"/>
  <c r="J82" i="29"/>
  <c r="O60" i="45"/>
  <c r="K82" i="29"/>
  <c r="P60" i="45"/>
  <c r="O82" i="29"/>
  <c r="T60" i="45"/>
  <c r="T62" i="32"/>
  <c r="L62" i="32"/>
  <c r="P62" i="32"/>
  <c r="Q61" i="31"/>
  <c r="T61" i="31"/>
  <c r="J16" i="25"/>
  <c r="I18" i="25"/>
  <c r="I19" i="25" s="1"/>
  <c r="K62" i="44"/>
  <c r="K62" i="32"/>
  <c r="J66" i="24" l="1"/>
  <c r="I70" i="24"/>
  <c r="T38" i="37"/>
  <c r="R82" i="27"/>
  <c r="S38" i="37"/>
  <c r="T83" i="28"/>
  <c r="U38" i="38"/>
  <c r="K83" i="28"/>
  <c r="P64" i="44" s="1"/>
  <c r="P65" i="44" s="1"/>
  <c r="L38" i="38"/>
  <c r="Q83" i="28"/>
  <c r="V64" i="44" s="1"/>
  <c r="V65" i="44" s="1"/>
  <c r="H65" i="44" s="1"/>
  <c r="R38" i="38"/>
  <c r="L83" i="28"/>
  <c r="Q64" i="44" s="1"/>
  <c r="Q65" i="44" s="1"/>
  <c r="M38" i="38"/>
  <c r="G83" i="28"/>
  <c r="H38" i="38"/>
  <c r="L17" i="30"/>
  <c r="G11" i="25"/>
  <c r="K35" i="24"/>
  <c r="K39" i="24" s="1"/>
  <c r="K71" i="24"/>
  <c r="K35" i="33"/>
  <c r="K39" i="33" s="1"/>
  <c r="J35" i="24"/>
  <c r="J39" i="24" s="1"/>
  <c r="J41" i="24" s="1"/>
  <c r="J42" i="24" s="1"/>
  <c r="J35" i="33"/>
  <c r="J39" i="33" s="1"/>
  <c r="J71" i="24"/>
  <c r="M24" i="42"/>
  <c r="M25" i="42" s="1"/>
  <c r="R91" i="44" s="1"/>
  <c r="J31" i="25"/>
  <c r="R24" i="42"/>
  <c r="R25" i="42" s="1"/>
  <c r="F82" i="27"/>
  <c r="I60" i="32"/>
  <c r="G59" i="30"/>
  <c r="I63" i="24"/>
  <c r="N60" i="30"/>
  <c r="K27" i="25"/>
  <c r="K41" i="24"/>
  <c r="K42" i="24" s="1"/>
  <c r="O90" i="30"/>
  <c r="M16" i="30"/>
  <c r="I59" i="31"/>
  <c r="I60" i="45"/>
  <c r="I60" i="44"/>
  <c r="U81" i="29"/>
  <c r="V64" i="31"/>
  <c r="F64" i="30" s="1"/>
  <c r="F64" i="32"/>
  <c r="F63" i="31"/>
  <c r="F64" i="45"/>
  <c r="F63" i="30"/>
  <c r="T73" i="38"/>
  <c r="Q24" i="43"/>
  <c r="V63" i="45"/>
  <c r="R74" i="39"/>
  <c r="S83" i="28"/>
  <c r="U73" i="38"/>
  <c r="O25" i="43"/>
  <c r="T91" i="45" s="1"/>
  <c r="O32" i="43"/>
  <c r="T93" i="45" s="1"/>
  <c r="N32" i="43"/>
  <c r="S93" i="45" s="1"/>
  <c r="N25" i="43"/>
  <c r="S91" i="45" s="1"/>
  <c r="I24" i="43"/>
  <c r="I25" i="43" s="1"/>
  <c r="N91" i="45" s="1"/>
  <c r="N63" i="45"/>
  <c r="J74" i="39"/>
  <c r="P32" i="43"/>
  <c r="U93" i="45" s="1"/>
  <c r="P25" i="43"/>
  <c r="U91" i="45" s="1"/>
  <c r="Q63" i="45"/>
  <c r="L24" i="43"/>
  <c r="L25" i="43" s="1"/>
  <c r="Q91" i="45" s="1"/>
  <c r="M74" i="39"/>
  <c r="K91" i="45"/>
  <c r="Q73" i="38"/>
  <c r="U63" i="44"/>
  <c r="P73" i="38"/>
  <c r="T63" i="44"/>
  <c r="G73" i="38"/>
  <c r="F24" i="42" s="1"/>
  <c r="K63" i="44"/>
  <c r="U82" i="28"/>
  <c r="O83" i="28"/>
  <c r="T64" i="44" s="1"/>
  <c r="T65" i="44" s="1"/>
  <c r="I73" i="38"/>
  <c r="H24" i="42" s="1"/>
  <c r="H25" i="42" s="1"/>
  <c r="M91" i="44" s="1"/>
  <c r="M63" i="44"/>
  <c r="M73" i="38"/>
  <c r="Q63" i="44"/>
  <c r="P83" i="28"/>
  <c r="U64" i="44" s="1"/>
  <c r="U65" i="44" s="1"/>
  <c r="K73" i="38"/>
  <c r="O63" i="44"/>
  <c r="J83" i="28"/>
  <c r="O64" i="44" s="1"/>
  <c r="O65" i="44" s="1"/>
  <c r="T24" i="41"/>
  <c r="T25" i="41" s="1"/>
  <c r="U73" i="37"/>
  <c r="R73" i="38"/>
  <c r="V63" i="44"/>
  <c r="J73" i="38"/>
  <c r="N63" i="44"/>
  <c r="F83" i="28"/>
  <c r="O73" i="38"/>
  <c r="S63" i="44"/>
  <c r="S24" i="41"/>
  <c r="S25" i="41" s="1"/>
  <c r="T73" i="37"/>
  <c r="T82" i="27"/>
  <c r="H83" i="28"/>
  <c r="M64" i="44" s="1"/>
  <c r="M65" i="44" s="1"/>
  <c r="I83" i="28"/>
  <c r="N64" i="44" s="1"/>
  <c r="N65" i="44" s="1"/>
  <c r="L73" i="38"/>
  <c r="P63" i="44"/>
  <c r="S73" i="37"/>
  <c r="R24" i="41"/>
  <c r="R25" i="41" s="1"/>
  <c r="N83" i="28"/>
  <c r="S64" i="44" s="1"/>
  <c r="S65" i="44" s="1"/>
  <c r="S82" i="27"/>
  <c r="H73" i="38"/>
  <c r="G24" i="42" s="1"/>
  <c r="G25" i="42" s="1"/>
  <c r="L91" i="44" s="1"/>
  <c r="L63" i="44"/>
  <c r="J73" i="37"/>
  <c r="I24" i="41"/>
  <c r="I25" i="41" s="1"/>
  <c r="N91" i="32" s="1"/>
  <c r="N63" i="32"/>
  <c r="G60" i="44"/>
  <c r="F24" i="41"/>
  <c r="F25" i="41" s="1"/>
  <c r="K63" i="32"/>
  <c r="U81" i="27"/>
  <c r="M73" i="37"/>
  <c r="L24" i="41"/>
  <c r="L25" i="41" s="1"/>
  <c r="Q91" i="32" s="1"/>
  <c r="Q63" i="32"/>
  <c r="L82" i="27"/>
  <c r="Q64" i="32" s="1"/>
  <c r="Q65" i="32" s="1"/>
  <c r="G60" i="32"/>
  <c r="O24" i="41"/>
  <c r="O25" i="41" s="1"/>
  <c r="T91" i="32" s="1"/>
  <c r="P73" i="37"/>
  <c r="T63" i="32"/>
  <c r="K73" i="37"/>
  <c r="J24" i="41"/>
  <c r="J25" i="41" s="1"/>
  <c r="O91" i="32" s="1"/>
  <c r="O63" i="32"/>
  <c r="J82" i="27"/>
  <c r="O64" i="32" s="1"/>
  <c r="O65" i="32" s="1"/>
  <c r="G60" i="45"/>
  <c r="G24" i="41"/>
  <c r="G25" i="41" s="1"/>
  <c r="L91" i="32" s="1"/>
  <c r="H73" i="37"/>
  <c r="L63" i="32"/>
  <c r="U72" i="33"/>
  <c r="T72" i="33"/>
  <c r="O82" i="27"/>
  <c r="T64" i="32" s="1"/>
  <c r="T65" i="32" s="1"/>
  <c r="N73" i="37"/>
  <c r="M24" i="41"/>
  <c r="M25" i="41" s="1"/>
  <c r="R91" i="32" s="1"/>
  <c r="R63" i="32"/>
  <c r="M82" i="27"/>
  <c r="R64" i="32" s="1"/>
  <c r="R65" i="32" s="1"/>
  <c r="H24" i="41"/>
  <c r="H25" i="41" s="1"/>
  <c r="M91" i="32" s="1"/>
  <c r="I73" i="37"/>
  <c r="M63" i="32"/>
  <c r="R73" i="37"/>
  <c r="Q24" i="41"/>
  <c r="Q25" i="41" s="1"/>
  <c r="V91" i="32" s="1"/>
  <c r="V63" i="32"/>
  <c r="L73" i="37"/>
  <c r="K24" i="41"/>
  <c r="K25" i="41" s="1"/>
  <c r="P91" i="32" s="1"/>
  <c r="P63" i="32"/>
  <c r="S72" i="33"/>
  <c r="H72" i="33"/>
  <c r="G26" i="40" s="1"/>
  <c r="G28" i="40" s="1"/>
  <c r="L90" i="31" s="1"/>
  <c r="L62" i="31"/>
  <c r="N72" i="33"/>
  <c r="R62" i="31"/>
  <c r="I72" i="33"/>
  <c r="H26" i="40" s="1"/>
  <c r="H28" i="40" s="1"/>
  <c r="M90" i="31" s="1"/>
  <c r="M62" i="31"/>
  <c r="G75" i="26"/>
  <c r="M75" i="26"/>
  <c r="R63" i="31" s="1"/>
  <c r="R64" i="31" s="1"/>
  <c r="F64" i="44"/>
  <c r="H75" i="26"/>
  <c r="M63" i="31" s="1"/>
  <c r="M64" i="31" s="1"/>
  <c r="R72" i="33"/>
  <c r="V62" i="31"/>
  <c r="G72" i="33"/>
  <c r="F26" i="40" s="1"/>
  <c r="F28" i="40" s="1"/>
  <c r="U74" i="26"/>
  <c r="K62" i="31"/>
  <c r="Q72" i="33"/>
  <c r="U62" i="31"/>
  <c r="P75" i="26"/>
  <c r="U63" i="31" s="1"/>
  <c r="U64" i="31" s="1"/>
  <c r="O26" i="40"/>
  <c r="O28" i="40" s="1"/>
  <c r="T90" i="31" s="1"/>
  <c r="O72" i="33"/>
  <c r="S62" i="31"/>
  <c r="K72" i="33"/>
  <c r="O62" i="31"/>
  <c r="N75" i="26"/>
  <c r="S63" i="31" s="1"/>
  <c r="S64" i="31" s="1"/>
  <c r="L26" i="40"/>
  <c r="L28" i="40" s="1"/>
  <c r="Q90" i="31" s="1"/>
  <c r="K26" i="40"/>
  <c r="K28" i="40" s="1"/>
  <c r="P90" i="31" s="1"/>
  <c r="J72" i="33"/>
  <c r="N62" i="31"/>
  <c r="I57" i="30"/>
  <c r="I58" i="44"/>
  <c r="I58" i="45"/>
  <c r="I57" i="31"/>
  <c r="I58" i="32"/>
  <c r="H58" i="32"/>
  <c r="H57" i="30"/>
  <c r="H58" i="44"/>
  <c r="H57" i="31"/>
  <c r="H58" i="45"/>
  <c r="H60" i="45"/>
  <c r="H59" i="31"/>
  <c r="H60" i="32"/>
  <c r="H59" i="30"/>
  <c r="H60" i="44"/>
  <c r="V65" i="32"/>
  <c r="G63" i="30"/>
  <c r="G64" i="44"/>
  <c r="G63" i="31"/>
  <c r="G64" i="45"/>
  <c r="G64" i="32"/>
  <c r="G58" i="32"/>
  <c r="G57" i="30"/>
  <c r="G58" i="44"/>
  <c r="G58" i="45"/>
  <c r="G57" i="31"/>
  <c r="J33" i="3"/>
  <c r="G73" i="24"/>
  <c r="G63" i="24" s="1"/>
  <c r="F11" i="25" s="1"/>
  <c r="F14" i="25" s="1"/>
  <c r="N31" i="3"/>
  <c r="Q82" i="29"/>
  <c r="V64" i="45" s="1"/>
  <c r="V62" i="45"/>
  <c r="I82" i="29"/>
  <c r="N64" i="45" s="1"/>
  <c r="N65" i="45" s="1"/>
  <c r="N62" i="45"/>
  <c r="K62" i="45"/>
  <c r="F82" i="29"/>
  <c r="M83" i="28"/>
  <c r="U81" i="28"/>
  <c r="N82" i="27"/>
  <c r="S64" i="32" s="1"/>
  <c r="S65" i="32" s="1"/>
  <c r="S62" i="32"/>
  <c r="P82" i="27"/>
  <c r="U62" i="32"/>
  <c r="U80" i="27"/>
  <c r="U68" i="26"/>
  <c r="K56" i="31"/>
  <c r="K57" i="31" s="1"/>
  <c r="Q63" i="31"/>
  <c r="Q64" i="31" s="1"/>
  <c r="N87" i="30"/>
  <c r="R62" i="44"/>
  <c r="S62" i="44"/>
  <c r="L64" i="44"/>
  <c r="L65" i="44" s="1"/>
  <c r="L62" i="44"/>
  <c r="T62" i="44"/>
  <c r="S61" i="31"/>
  <c r="L64" i="45"/>
  <c r="L65" i="45" s="1"/>
  <c r="L62" i="45"/>
  <c r="O64" i="45"/>
  <c r="O65" i="45" s="1"/>
  <c r="O62" i="45"/>
  <c r="R64" i="45"/>
  <c r="R65" i="45" s="1"/>
  <c r="R62" i="45"/>
  <c r="P64" i="45"/>
  <c r="P65" i="45" s="1"/>
  <c r="P62" i="45"/>
  <c r="M64" i="45"/>
  <c r="M65" i="45" s="1"/>
  <c r="M62" i="45"/>
  <c r="T64" i="45"/>
  <c r="T65" i="45" s="1"/>
  <c r="T62" i="45"/>
  <c r="K63" i="31"/>
  <c r="K64" i="31" s="1"/>
  <c r="K16" i="25"/>
  <c r="J18" i="25"/>
  <c r="J19" i="25" s="1"/>
  <c r="P33" i="3"/>
  <c r="K66" i="24" l="1"/>
  <c r="J70" i="24"/>
  <c r="H64" i="44"/>
  <c r="H64" i="45"/>
  <c r="H64" i="32"/>
  <c r="H63" i="30"/>
  <c r="H63" i="31"/>
  <c r="M17" i="30"/>
  <c r="H11" i="25"/>
  <c r="I24" i="42"/>
  <c r="I25" i="42" s="1"/>
  <c r="N91" i="44" s="1"/>
  <c r="J24" i="42"/>
  <c r="J25" i="42" s="1"/>
  <c r="O91" i="44" s="1"/>
  <c r="Q24" i="42"/>
  <c r="Q25" i="42" s="1"/>
  <c r="V91" i="44" s="1"/>
  <c r="F25" i="42"/>
  <c r="O24" i="42"/>
  <c r="O25" i="42" s="1"/>
  <c r="T91" i="44" s="1"/>
  <c r="P24" i="42"/>
  <c r="P25" i="42" s="1"/>
  <c r="U91" i="44" s="1"/>
  <c r="N24" i="42"/>
  <c r="N25" i="42" s="1"/>
  <c r="S91" i="44" s="1"/>
  <c r="K24" i="42"/>
  <c r="K25" i="42" s="1"/>
  <c r="P91" i="44" s="1"/>
  <c r="L24" i="42"/>
  <c r="L25" i="42" s="1"/>
  <c r="Q91" i="44" s="1"/>
  <c r="K31" i="25"/>
  <c r="K72" i="23"/>
  <c r="S24" i="42"/>
  <c r="S25" i="42" s="1"/>
  <c r="T24" i="42"/>
  <c r="T25" i="42" s="1"/>
  <c r="O60" i="30"/>
  <c r="L27" i="25"/>
  <c r="P90" i="30"/>
  <c r="J63" i="24"/>
  <c r="J77" i="24"/>
  <c r="N16" i="30"/>
  <c r="N8" i="30"/>
  <c r="P32" i="3"/>
  <c r="H65" i="45"/>
  <c r="H64" i="31"/>
  <c r="H64" i="30"/>
  <c r="H65" i="32"/>
  <c r="F65" i="45"/>
  <c r="F64" i="31"/>
  <c r="F65" i="44"/>
  <c r="F65" i="32"/>
  <c r="I63" i="32"/>
  <c r="I62" i="30"/>
  <c r="I63" i="45"/>
  <c r="I62" i="31"/>
  <c r="I63" i="44"/>
  <c r="Q32" i="43"/>
  <c r="V93" i="45" s="1"/>
  <c r="Q25" i="43"/>
  <c r="V91" i="45" s="1"/>
  <c r="H63" i="32"/>
  <c r="H63" i="44"/>
  <c r="H63" i="45"/>
  <c r="H62" i="30"/>
  <c r="H62" i="31"/>
  <c r="U83" i="28"/>
  <c r="G62" i="30"/>
  <c r="G63" i="32"/>
  <c r="G62" i="31"/>
  <c r="G63" i="44"/>
  <c r="G63" i="45"/>
  <c r="T26" i="40"/>
  <c r="T28" i="40" s="1"/>
  <c r="U73" i="33"/>
  <c r="G91" i="44"/>
  <c r="G89" i="30"/>
  <c r="G90" i="31"/>
  <c r="G91" i="45"/>
  <c r="G91" i="32"/>
  <c r="R26" i="40"/>
  <c r="R28" i="40" s="1"/>
  <c r="U25" i="41"/>
  <c r="K91" i="32"/>
  <c r="S26" i="40"/>
  <c r="S28" i="40" s="1"/>
  <c r="P26" i="40"/>
  <c r="P28" i="40" s="1"/>
  <c r="U90" i="31" s="1"/>
  <c r="I26" i="40"/>
  <c r="I28" i="40" s="1"/>
  <c r="N90" i="31" s="1"/>
  <c r="F62" i="31"/>
  <c r="F63" i="44"/>
  <c r="F63" i="32"/>
  <c r="F62" i="30"/>
  <c r="F63" i="45"/>
  <c r="J26" i="40"/>
  <c r="J28" i="40" s="1"/>
  <c r="O90" i="31" s="1"/>
  <c r="Q26" i="40"/>
  <c r="Q28" i="40" s="1"/>
  <c r="V90" i="31" s="1"/>
  <c r="N26" i="40"/>
  <c r="N28" i="40" s="1"/>
  <c r="S90" i="31" s="1"/>
  <c r="M26" i="40"/>
  <c r="M28" i="40" s="1"/>
  <c r="R90" i="31" s="1"/>
  <c r="V65" i="45"/>
  <c r="I64" i="32"/>
  <c r="I64" i="44"/>
  <c r="I63" i="31"/>
  <c r="I64" i="45"/>
  <c r="I63" i="30"/>
  <c r="I62" i="45"/>
  <c r="I61" i="31"/>
  <c r="I61" i="30"/>
  <c r="I62" i="32"/>
  <c r="I62" i="44"/>
  <c r="G65" i="32"/>
  <c r="G64" i="30"/>
  <c r="G65" i="44"/>
  <c r="G64" i="31"/>
  <c r="G65" i="45"/>
  <c r="N33" i="3"/>
  <c r="L33" i="3"/>
  <c r="J31" i="3"/>
  <c r="U82" i="29"/>
  <c r="R64" i="44"/>
  <c r="R65" i="44" s="1"/>
  <c r="U82" i="27"/>
  <c r="U64" i="32"/>
  <c r="U65" i="32" s="1"/>
  <c r="O87" i="30"/>
  <c r="K64" i="44"/>
  <c r="K65" i="44" s="1"/>
  <c r="K64" i="45"/>
  <c r="K65" i="45" s="1"/>
  <c r="K64" i="32"/>
  <c r="K65" i="32" s="1"/>
  <c r="L16" i="25"/>
  <c r="K18" i="25"/>
  <c r="K19" i="25" s="1"/>
  <c r="L66" i="24" l="1"/>
  <c r="K70" i="24"/>
  <c r="K73" i="24" s="1"/>
  <c r="L35" i="24"/>
  <c r="L35" i="33"/>
  <c r="L71" i="24"/>
  <c r="N17" i="30"/>
  <c r="I11" i="25"/>
  <c r="K91" i="44"/>
  <c r="U25" i="42"/>
  <c r="H91" i="44"/>
  <c r="H90" i="31"/>
  <c r="H91" i="45"/>
  <c r="H89" i="30"/>
  <c r="H91" i="32"/>
  <c r="L31" i="25"/>
  <c r="L72" i="23"/>
  <c r="P60" i="30"/>
  <c r="M27" i="25"/>
  <c r="Q90" i="30"/>
  <c r="K63" i="24"/>
  <c r="O16" i="30"/>
  <c r="O8" i="30"/>
  <c r="K77" i="24"/>
  <c r="U25" i="43"/>
  <c r="N34" i="3"/>
  <c r="I90" i="31"/>
  <c r="I91" i="44"/>
  <c r="I91" i="45"/>
  <c r="I89" i="30"/>
  <c r="I91" i="32"/>
  <c r="I93" i="44"/>
  <c r="I93" i="45"/>
  <c r="I92" i="31"/>
  <c r="I93" i="32"/>
  <c r="I91" i="30"/>
  <c r="U77" i="33"/>
  <c r="U78" i="33"/>
  <c r="U80" i="33"/>
  <c r="F91" i="32"/>
  <c r="F91" i="45"/>
  <c r="F91" i="44"/>
  <c r="F89" i="30"/>
  <c r="F90" i="31"/>
  <c r="U28" i="40"/>
  <c r="E13" i="56" s="1"/>
  <c r="I65" i="44"/>
  <c r="I64" i="31"/>
  <c r="I65" i="45"/>
  <c r="I65" i="32"/>
  <c r="I64" i="30"/>
  <c r="L34" i="3"/>
  <c r="P34" i="3"/>
  <c r="P87" i="30"/>
  <c r="M16" i="25"/>
  <c r="L18" i="25"/>
  <c r="L19" i="25" s="1"/>
  <c r="M66" i="24" l="1"/>
  <c r="L70" i="24"/>
  <c r="O17" i="30"/>
  <c r="J11" i="25"/>
  <c r="M35" i="24"/>
  <c r="M39" i="24" s="1"/>
  <c r="M41" i="24" s="1"/>
  <c r="M42" i="24" s="1"/>
  <c r="M71" i="24"/>
  <c r="M35" i="33"/>
  <c r="M39" i="33" s="1"/>
  <c r="M31" i="25"/>
  <c r="M72" i="23"/>
  <c r="Q60" i="30"/>
  <c r="N27" i="25"/>
  <c r="R90" i="30"/>
  <c r="K8" i="30"/>
  <c r="Q87" i="30"/>
  <c r="N16" i="25"/>
  <c r="M18" i="25"/>
  <c r="M19" i="25" s="1"/>
  <c r="N66" i="24" l="1"/>
  <c r="M70" i="24"/>
  <c r="N35" i="24"/>
  <c r="N39" i="24" s="1"/>
  <c r="N41" i="24" s="1"/>
  <c r="N42" i="24" s="1"/>
  <c r="N71" i="24"/>
  <c r="N35" i="33"/>
  <c r="N39" i="33" s="1"/>
  <c r="N31" i="25"/>
  <c r="N72" i="23"/>
  <c r="R60" i="30"/>
  <c r="O27" i="25"/>
  <c r="O72" i="23" s="1"/>
  <c r="S90" i="30"/>
  <c r="R87" i="30"/>
  <c r="O16" i="25"/>
  <c r="N18" i="25"/>
  <c r="N19" i="25" s="1"/>
  <c r="O66" i="24" l="1"/>
  <c r="N70" i="24"/>
  <c r="O35" i="24"/>
  <c r="O39" i="24" s="1"/>
  <c r="O41" i="24" s="1"/>
  <c r="O42" i="24" s="1"/>
  <c r="O71" i="24"/>
  <c r="O35" i="33"/>
  <c r="O39" i="33" s="1"/>
  <c r="P35" i="24"/>
  <c r="P39" i="24" s="1"/>
  <c r="P41" i="24" s="1"/>
  <c r="P42" i="24" s="1"/>
  <c r="P35" i="33"/>
  <c r="P39" i="33" s="1"/>
  <c r="P71" i="24"/>
  <c r="Q8" i="30"/>
  <c r="M63" i="24"/>
  <c r="L11" i="25" s="1"/>
  <c r="Q16" i="30"/>
  <c r="M77" i="24"/>
  <c r="S60" i="30"/>
  <c r="P27" i="25"/>
  <c r="T90" i="30"/>
  <c r="O31" i="25"/>
  <c r="N77" i="24"/>
  <c r="R16" i="30"/>
  <c r="N63" i="24"/>
  <c r="R8" i="30"/>
  <c r="S87" i="30"/>
  <c r="P16" i="25"/>
  <c r="O18" i="25"/>
  <c r="O19" i="25" s="1"/>
  <c r="P66" i="24" l="1"/>
  <c r="O70" i="24"/>
  <c r="R17" i="30"/>
  <c r="M11" i="25"/>
  <c r="P31" i="25"/>
  <c r="P72" i="23"/>
  <c r="T60" i="30"/>
  <c r="Q27" i="25"/>
  <c r="Q72" i="23" s="1"/>
  <c r="U72" i="23" s="1"/>
  <c r="D8" i="56" s="1"/>
  <c r="U90" i="30"/>
  <c r="Q17" i="30"/>
  <c r="T87" i="30"/>
  <c r="Q16" i="25"/>
  <c r="P18" i="25"/>
  <c r="P19" i="25" s="1"/>
  <c r="Q66" i="24" l="1"/>
  <c r="P70" i="24"/>
  <c r="R35" i="24"/>
  <c r="R39" i="24" s="1"/>
  <c r="R35" i="33"/>
  <c r="R39" i="33" s="1"/>
  <c r="R71" i="24"/>
  <c r="Q35" i="24"/>
  <c r="Q39" i="24" s="1"/>
  <c r="Q41" i="24" s="1"/>
  <c r="Q42" i="24" s="1"/>
  <c r="Q35" i="33"/>
  <c r="Q39" i="33" s="1"/>
  <c r="Q71" i="24"/>
  <c r="T8" i="30"/>
  <c r="P77" i="24"/>
  <c r="P63" i="24"/>
  <c r="T16" i="30"/>
  <c r="U60" i="30"/>
  <c r="V90" i="30"/>
  <c r="F31" i="40"/>
  <c r="U27" i="25"/>
  <c r="Q31" i="25"/>
  <c r="S16" i="30"/>
  <c r="S8" i="30"/>
  <c r="O77" i="24"/>
  <c r="O63" i="24"/>
  <c r="N11" i="25" s="1"/>
  <c r="Q18" i="25"/>
  <c r="Q19" i="25" s="1"/>
  <c r="F16" i="40"/>
  <c r="U87" i="30"/>
  <c r="F72" i="26" l="1"/>
  <c r="R66" i="24"/>
  <c r="Q70" i="24"/>
  <c r="T17" i="30"/>
  <c r="O11" i="25"/>
  <c r="R41" i="24"/>
  <c r="R42" i="24" s="1"/>
  <c r="E91" i="31"/>
  <c r="E92" i="44"/>
  <c r="E92" i="32"/>
  <c r="E90" i="30"/>
  <c r="E92" i="45"/>
  <c r="S17" i="30"/>
  <c r="K91" i="31"/>
  <c r="R27" i="25"/>
  <c r="R72" i="23" s="1"/>
  <c r="S71" i="24" s="1"/>
  <c r="G31" i="40"/>
  <c r="G72" i="26" s="1"/>
  <c r="H71" i="33" s="1"/>
  <c r="U16" i="30"/>
  <c r="Q77" i="24"/>
  <c r="U8" i="30"/>
  <c r="Q63" i="24"/>
  <c r="V60" i="30"/>
  <c r="R16" i="25"/>
  <c r="G16" i="40"/>
  <c r="F18" i="40"/>
  <c r="F20" i="40" s="1"/>
  <c r="V87" i="30"/>
  <c r="U19" i="25"/>
  <c r="D12" i="56" s="1"/>
  <c r="S66" i="24" l="1"/>
  <c r="T66" i="24" s="1"/>
  <c r="U66" i="24" s="1"/>
  <c r="R70" i="24"/>
  <c r="G71" i="33"/>
  <c r="U17" i="30"/>
  <c r="P11" i="25"/>
  <c r="S35" i="24"/>
  <c r="S35" i="33"/>
  <c r="R31" i="25"/>
  <c r="H31" i="40"/>
  <c r="H72" i="26" s="1"/>
  <c r="I71" i="33" s="1"/>
  <c r="S27" i="25"/>
  <c r="S72" i="23" s="1"/>
  <c r="T71" i="24" s="1"/>
  <c r="L91" i="31"/>
  <c r="R77" i="24"/>
  <c r="V16" i="30"/>
  <c r="R63" i="24"/>
  <c r="V8" i="30"/>
  <c r="E60" i="31"/>
  <c r="E61" i="32"/>
  <c r="E61" i="45"/>
  <c r="E61" i="44"/>
  <c r="E60" i="30"/>
  <c r="K60" i="31"/>
  <c r="E89" i="44"/>
  <c r="E89" i="45"/>
  <c r="E89" i="32"/>
  <c r="E87" i="30"/>
  <c r="E88" i="31"/>
  <c r="K88" i="31"/>
  <c r="R18" i="25"/>
  <c r="R19" i="25" s="1"/>
  <c r="S16" i="25"/>
  <c r="H16" i="40"/>
  <c r="G18" i="40"/>
  <c r="G20" i="40" s="1"/>
  <c r="F35" i="40"/>
  <c r="G35" i="40"/>
  <c r="G36" i="40" s="1"/>
  <c r="L92" i="31" s="1"/>
  <c r="V17" i="30" l="1"/>
  <c r="E17" i="45" s="1"/>
  <c r="Q11" i="25"/>
  <c r="T35" i="24"/>
  <c r="T35" i="33"/>
  <c r="E17" i="44"/>
  <c r="E16" i="45"/>
  <c r="E16" i="31"/>
  <c r="E16" i="44"/>
  <c r="E16" i="30"/>
  <c r="E16" i="32"/>
  <c r="G41" i="33"/>
  <c r="I31" i="40"/>
  <c r="I72" i="26" s="1"/>
  <c r="M91" i="31"/>
  <c r="T27" i="25"/>
  <c r="T72" i="23" s="1"/>
  <c r="U71" i="24" s="1"/>
  <c r="S31" i="25"/>
  <c r="E8" i="32"/>
  <c r="E8" i="44"/>
  <c r="E8" i="31"/>
  <c r="E8" i="45"/>
  <c r="E8" i="30"/>
  <c r="L60" i="31"/>
  <c r="F36" i="40"/>
  <c r="K92" i="31" s="1"/>
  <c r="L88" i="31"/>
  <c r="T16" i="25"/>
  <c r="T18" i="25" s="1"/>
  <c r="T19" i="25" s="1"/>
  <c r="S18" i="25"/>
  <c r="S19" i="25" s="1"/>
  <c r="I16" i="40"/>
  <c r="H18" i="40"/>
  <c r="H20" i="40" s="1"/>
  <c r="J71" i="33" l="1"/>
  <c r="G42" i="33"/>
  <c r="G76" i="33"/>
  <c r="E17" i="30"/>
  <c r="E17" i="32"/>
  <c r="E17" i="31"/>
  <c r="U35" i="24"/>
  <c r="U35" i="33"/>
  <c r="N91" i="31"/>
  <c r="J31" i="40"/>
  <c r="J72" i="26" s="1"/>
  <c r="K71" i="33" s="1"/>
  <c r="M60" i="31"/>
  <c r="H41" i="33"/>
  <c r="H42" i="33" s="1"/>
  <c r="T31" i="25"/>
  <c r="M88" i="31"/>
  <c r="J16" i="40"/>
  <c r="I18" i="40"/>
  <c r="I20" i="40" s="1"/>
  <c r="H35" i="40"/>
  <c r="H36" i="40" s="1"/>
  <c r="M92" i="31" s="1"/>
  <c r="O91" i="31" l="1"/>
  <c r="K31" i="40"/>
  <c r="K72" i="26" s="1"/>
  <c r="L71" i="33" s="1"/>
  <c r="I41" i="33"/>
  <c r="I42" i="33" s="1"/>
  <c r="N60" i="31"/>
  <c r="N88" i="31"/>
  <c r="K16" i="40"/>
  <c r="J18" i="40"/>
  <c r="J20" i="40" s="1"/>
  <c r="I35" i="40"/>
  <c r="I36" i="40" s="1"/>
  <c r="N92" i="31" s="1"/>
  <c r="J73" i="33" l="1"/>
  <c r="J41" i="33"/>
  <c r="L31" i="40"/>
  <c r="L72" i="26" s="1"/>
  <c r="M71" i="33" s="1"/>
  <c r="P91" i="31"/>
  <c r="O60" i="31"/>
  <c r="O88" i="31"/>
  <c r="L16" i="40"/>
  <c r="K18" i="40"/>
  <c r="K20" i="40" s="1"/>
  <c r="J35" i="40"/>
  <c r="J36" i="40" s="1"/>
  <c r="O92" i="31" s="1"/>
  <c r="J42" i="33" l="1"/>
  <c r="J76" i="33"/>
  <c r="J80" i="33"/>
  <c r="J77" i="33"/>
  <c r="J78" i="33"/>
  <c r="K73" i="33"/>
  <c r="K41" i="33"/>
  <c r="K42" i="33" s="1"/>
  <c r="P60" i="31"/>
  <c r="Q91" i="31"/>
  <c r="M31" i="40"/>
  <c r="M72" i="26" s="1"/>
  <c r="N71" i="33" s="1"/>
  <c r="J62" i="33"/>
  <c r="N17" i="31" s="1"/>
  <c r="N8" i="31"/>
  <c r="N16" i="31"/>
  <c r="M16" i="40"/>
  <c r="L18" i="40"/>
  <c r="L20" i="40" s="1"/>
  <c r="P88" i="31"/>
  <c r="K35" i="40"/>
  <c r="K36" i="40" s="1"/>
  <c r="P92" i="31" s="1"/>
  <c r="K77" i="33" l="1"/>
  <c r="K78" i="33"/>
  <c r="K80" i="33"/>
  <c r="Q60" i="31"/>
  <c r="L73" i="33"/>
  <c r="N31" i="40"/>
  <c r="N72" i="26" s="1"/>
  <c r="O71" i="33" s="1"/>
  <c r="R91" i="31"/>
  <c r="K76" i="33"/>
  <c r="O16" i="31"/>
  <c r="O8" i="31"/>
  <c r="K62" i="33"/>
  <c r="O17" i="31" s="1"/>
  <c r="N16" i="40"/>
  <c r="M18" i="40"/>
  <c r="M20" i="40" s="1"/>
  <c r="Q88" i="31"/>
  <c r="L35" i="40"/>
  <c r="L36" i="40" s="1"/>
  <c r="Q92" i="31" s="1"/>
  <c r="L80" i="33" l="1"/>
  <c r="L77" i="33"/>
  <c r="L78" i="33"/>
  <c r="R60" i="31"/>
  <c r="S91" i="31"/>
  <c r="O31" i="40"/>
  <c r="O72" i="26" s="1"/>
  <c r="P71" i="33" s="1"/>
  <c r="M73" i="33"/>
  <c r="M77" i="33" s="1"/>
  <c r="M41" i="33"/>
  <c r="M42" i="33" s="1"/>
  <c r="O16" i="40"/>
  <c r="N18" i="40"/>
  <c r="N20" i="40" s="1"/>
  <c r="R88" i="31"/>
  <c r="M35" i="40"/>
  <c r="M36" i="40" s="1"/>
  <c r="R92" i="31" s="1"/>
  <c r="M78" i="33" l="1"/>
  <c r="M80" i="33"/>
  <c r="M76" i="33"/>
  <c r="M62" i="33"/>
  <c r="Q17" i="31" s="1"/>
  <c r="Q8" i="31"/>
  <c r="Q16" i="31"/>
  <c r="T91" i="31"/>
  <c r="P31" i="40"/>
  <c r="P72" i="26" s="1"/>
  <c r="Q71" i="33" s="1"/>
  <c r="S60" i="31"/>
  <c r="N73" i="33"/>
  <c r="N41" i="33"/>
  <c r="N42" i="33" s="1"/>
  <c r="P16" i="40"/>
  <c r="O18" i="40"/>
  <c r="O20" i="40" s="1"/>
  <c r="S88" i="31"/>
  <c r="N35" i="40"/>
  <c r="N36" i="40" s="1"/>
  <c r="S92" i="31" s="1"/>
  <c r="N78" i="33" l="1"/>
  <c r="N80" i="33"/>
  <c r="N77" i="33"/>
  <c r="U91" i="31"/>
  <c r="Q31" i="40"/>
  <c r="T60" i="31"/>
  <c r="N62" i="33"/>
  <c r="R17" i="31" s="1"/>
  <c r="N76" i="33"/>
  <c r="R8" i="31"/>
  <c r="R16" i="31"/>
  <c r="O73" i="33"/>
  <c r="O41" i="33"/>
  <c r="O42" i="33" s="1"/>
  <c r="Q16" i="40"/>
  <c r="F16" i="41" s="1"/>
  <c r="P18" i="40"/>
  <c r="P20" i="40" s="1"/>
  <c r="T88" i="31"/>
  <c r="O35" i="40"/>
  <c r="O36" i="40" s="1"/>
  <c r="T92" i="31" s="1"/>
  <c r="F27" i="41" l="1"/>
  <c r="F79" i="27" s="1"/>
  <c r="R31" i="40"/>
  <c r="U31" i="40"/>
  <c r="Q72" i="26"/>
  <c r="O78" i="33"/>
  <c r="O77" i="33"/>
  <c r="O80" i="33"/>
  <c r="O76" i="33"/>
  <c r="S16" i="31"/>
  <c r="O62" i="33"/>
  <c r="S17" i="31" s="1"/>
  <c r="S8" i="31"/>
  <c r="P73" i="33"/>
  <c r="P41" i="33"/>
  <c r="P42" i="33" s="1"/>
  <c r="V91" i="31"/>
  <c r="U60" i="31"/>
  <c r="F18" i="41"/>
  <c r="F19" i="41" s="1"/>
  <c r="G16" i="41"/>
  <c r="R16" i="40"/>
  <c r="Q18" i="40"/>
  <c r="Q20" i="40" s="1"/>
  <c r="U88" i="31"/>
  <c r="P35" i="40"/>
  <c r="P36" i="40" s="1"/>
  <c r="U92" i="31" s="1"/>
  <c r="R71" i="33" l="1"/>
  <c r="U72" i="26"/>
  <c r="E8" i="56" s="1"/>
  <c r="S31" i="40"/>
  <c r="G27" i="41"/>
  <c r="G37" i="37"/>
  <c r="G41" i="37" s="1"/>
  <c r="G72" i="37"/>
  <c r="P78" i="33"/>
  <c r="P80" i="33"/>
  <c r="P77" i="33"/>
  <c r="F31" i="41"/>
  <c r="F32" i="41" s="1"/>
  <c r="K93" i="32" s="1"/>
  <c r="K92" i="32"/>
  <c r="R72" i="26"/>
  <c r="S71" i="33" s="1"/>
  <c r="P62" i="33"/>
  <c r="T17" i="31" s="1"/>
  <c r="T8" i="31"/>
  <c r="T16" i="31"/>
  <c r="P76" i="33"/>
  <c r="Q73" i="33"/>
  <c r="Q41" i="33"/>
  <c r="Q42" i="33" s="1"/>
  <c r="F92" i="44"/>
  <c r="F92" i="45"/>
  <c r="F90" i="30"/>
  <c r="F92" i="32"/>
  <c r="F91" i="31"/>
  <c r="V60" i="31"/>
  <c r="H16" i="41"/>
  <c r="G18" i="41"/>
  <c r="G19" i="41" s="1"/>
  <c r="V88" i="31"/>
  <c r="U20" i="40"/>
  <c r="E12" i="56" s="1"/>
  <c r="R18" i="40"/>
  <c r="R20" i="40" s="1"/>
  <c r="S16" i="40"/>
  <c r="Q35" i="40"/>
  <c r="Q36" i="40" s="1"/>
  <c r="V92" i="31" s="1"/>
  <c r="T31" i="40" l="1"/>
  <c r="H27" i="41"/>
  <c r="I27" i="41" s="1"/>
  <c r="G37" i="39"/>
  <c r="G41" i="39" s="1"/>
  <c r="G37" i="38"/>
  <c r="Q77" i="33"/>
  <c r="Q80" i="33"/>
  <c r="Q78" i="33"/>
  <c r="S73" i="33"/>
  <c r="G79" i="27"/>
  <c r="G31" i="41"/>
  <c r="G32" i="41" s="1"/>
  <c r="L93" i="32" s="1"/>
  <c r="S72" i="26"/>
  <c r="T71" i="33" s="1"/>
  <c r="L92" i="32"/>
  <c r="Q76" i="33"/>
  <c r="U16" i="31"/>
  <c r="Q62" i="33"/>
  <c r="U17" i="31" s="1"/>
  <c r="U8" i="31"/>
  <c r="J32" i="3"/>
  <c r="F61" i="32"/>
  <c r="F61" i="44"/>
  <c r="F61" i="45"/>
  <c r="F60" i="31"/>
  <c r="F60" i="30"/>
  <c r="R73" i="33"/>
  <c r="R41" i="33"/>
  <c r="R42" i="33" s="1"/>
  <c r="K61" i="32"/>
  <c r="F88" i="31"/>
  <c r="F89" i="44"/>
  <c r="F89" i="45"/>
  <c r="F89" i="32"/>
  <c r="F87" i="30"/>
  <c r="F92" i="31"/>
  <c r="F93" i="44"/>
  <c r="F91" i="30"/>
  <c r="F93" i="32"/>
  <c r="F93" i="45"/>
  <c r="H18" i="41"/>
  <c r="H19" i="41" s="1"/>
  <c r="I16" i="41"/>
  <c r="S18" i="40"/>
  <c r="S20" i="40" s="1"/>
  <c r="T16" i="40"/>
  <c r="T18" i="40" s="1"/>
  <c r="T20" i="40" s="1"/>
  <c r="R35" i="40"/>
  <c r="R36" i="40" s="1"/>
  <c r="J27" i="41" l="1"/>
  <c r="I79" i="27"/>
  <c r="I31" i="41"/>
  <c r="I32" i="41" s="1"/>
  <c r="N92" i="32"/>
  <c r="H37" i="37"/>
  <c r="H41" i="37" s="1"/>
  <c r="H72" i="37"/>
  <c r="H37" i="39"/>
  <c r="H37" i="38"/>
  <c r="G72" i="38"/>
  <c r="G74" i="38" s="1"/>
  <c r="G41" i="38"/>
  <c r="G42" i="38" s="1"/>
  <c r="G73" i="39"/>
  <c r="G75" i="39" s="1"/>
  <c r="R78" i="33"/>
  <c r="R80" i="33"/>
  <c r="R77" i="33"/>
  <c r="T73" i="33"/>
  <c r="H79" i="27"/>
  <c r="H31" i="41"/>
  <c r="H32" i="41" s="1"/>
  <c r="M93" i="32" s="1"/>
  <c r="T35" i="40"/>
  <c r="T36" i="40" s="1"/>
  <c r="M92" i="32"/>
  <c r="L61" i="32"/>
  <c r="G74" i="37"/>
  <c r="S78" i="33"/>
  <c r="S77" i="33"/>
  <c r="S80" i="33"/>
  <c r="I18" i="41"/>
  <c r="I19" i="41" s="1"/>
  <c r="J16" i="41"/>
  <c r="S35" i="40"/>
  <c r="S36" i="40" s="1"/>
  <c r="K89" i="32"/>
  <c r="J72" i="37" l="1"/>
  <c r="J74" i="37" s="1"/>
  <c r="J37" i="39"/>
  <c r="J37" i="37"/>
  <c r="J41" i="37" s="1"/>
  <c r="J43" i="37" s="1"/>
  <c r="J37" i="38"/>
  <c r="N61" i="32"/>
  <c r="K27" i="41"/>
  <c r="J79" i="27"/>
  <c r="J31" i="41"/>
  <c r="J32" i="41" s="1"/>
  <c r="O92" i="32"/>
  <c r="I37" i="37"/>
  <c r="I41" i="37" s="1"/>
  <c r="I72" i="37"/>
  <c r="G79" i="39"/>
  <c r="G64" i="39"/>
  <c r="G82" i="39"/>
  <c r="G80" i="39"/>
  <c r="K8" i="44"/>
  <c r="S43" i="37"/>
  <c r="G43" i="38"/>
  <c r="G63" i="38"/>
  <c r="K17" i="44" s="1"/>
  <c r="K16" i="44"/>
  <c r="G78" i="38"/>
  <c r="G79" i="38"/>
  <c r="G80" i="38"/>
  <c r="G82" i="38"/>
  <c r="H72" i="38"/>
  <c r="H74" i="38" s="1"/>
  <c r="H41" i="38"/>
  <c r="H42" i="38" s="1"/>
  <c r="H73" i="39"/>
  <c r="H75" i="39" s="1"/>
  <c r="H41" i="39"/>
  <c r="H43" i="39" s="1"/>
  <c r="I37" i="39"/>
  <c r="I37" i="38"/>
  <c r="G43" i="39"/>
  <c r="H74" i="37"/>
  <c r="H43" i="37"/>
  <c r="R76" i="33"/>
  <c r="R62" i="33"/>
  <c r="V17" i="31" s="1"/>
  <c r="V16" i="31"/>
  <c r="V8" i="31"/>
  <c r="M61" i="32"/>
  <c r="G43" i="37"/>
  <c r="G78" i="37"/>
  <c r="G79" i="37"/>
  <c r="G64" i="37"/>
  <c r="G81" i="37"/>
  <c r="T77" i="33"/>
  <c r="T80" i="33"/>
  <c r="T78" i="33"/>
  <c r="J18" i="41"/>
  <c r="J19" i="41" s="1"/>
  <c r="K16" i="41"/>
  <c r="N93" i="32"/>
  <c r="H44" i="37" l="1"/>
  <c r="H77" i="37"/>
  <c r="K37" i="37"/>
  <c r="K41" i="37" s="1"/>
  <c r="K43" i="37" s="1"/>
  <c r="K72" i="37"/>
  <c r="K74" i="37" s="1"/>
  <c r="K37" i="39"/>
  <c r="K37" i="38"/>
  <c r="O61" i="32"/>
  <c r="J72" i="38"/>
  <c r="J74" i="38" s="1"/>
  <c r="J41" i="38"/>
  <c r="J42" i="38" s="1"/>
  <c r="L27" i="41"/>
  <c r="K79" i="27"/>
  <c r="K31" i="41"/>
  <c r="K32" i="41" s="1"/>
  <c r="P92" i="32"/>
  <c r="J44" i="37"/>
  <c r="J64" i="37"/>
  <c r="N17" i="32" s="1"/>
  <c r="J77" i="37"/>
  <c r="N16" i="32"/>
  <c r="N8" i="32"/>
  <c r="J73" i="39"/>
  <c r="J75" i="39" s="1"/>
  <c r="J41" i="39"/>
  <c r="J43" i="39" s="1"/>
  <c r="J78" i="37"/>
  <c r="J81" i="37"/>
  <c r="J79" i="37"/>
  <c r="G44" i="37"/>
  <c r="H79" i="38"/>
  <c r="H82" i="38"/>
  <c r="H80" i="38"/>
  <c r="S44" i="37"/>
  <c r="S77" i="37"/>
  <c r="S64" i="37"/>
  <c r="S42" i="38"/>
  <c r="G44" i="39"/>
  <c r="S43" i="38" s="1"/>
  <c r="K8" i="45"/>
  <c r="G78" i="39"/>
  <c r="K16" i="45"/>
  <c r="I72" i="38"/>
  <c r="I74" i="38" s="1"/>
  <c r="I41" i="38"/>
  <c r="I42" i="38" s="1"/>
  <c r="I73" i="39"/>
  <c r="I75" i="39" s="1"/>
  <c r="I41" i="39"/>
  <c r="K17" i="45"/>
  <c r="H64" i="39"/>
  <c r="L17" i="45" s="1"/>
  <c r="H78" i="39"/>
  <c r="L16" i="45"/>
  <c r="T42" i="38"/>
  <c r="L8" i="45"/>
  <c r="H44" i="39"/>
  <c r="T43" i="38" s="1"/>
  <c r="H79" i="39"/>
  <c r="H80" i="39"/>
  <c r="H82" i="39"/>
  <c r="K17" i="32"/>
  <c r="I74" i="37"/>
  <c r="F16" i="30"/>
  <c r="F16" i="44"/>
  <c r="F16" i="45"/>
  <c r="F16" i="31"/>
  <c r="F16" i="32"/>
  <c r="F8" i="44"/>
  <c r="F8" i="32"/>
  <c r="F8" i="30"/>
  <c r="F8" i="45"/>
  <c r="F8" i="31"/>
  <c r="H64" i="37"/>
  <c r="L17" i="32" s="1"/>
  <c r="L16" i="32"/>
  <c r="L8" i="32"/>
  <c r="F17" i="45"/>
  <c r="F17" i="31"/>
  <c r="F17" i="44"/>
  <c r="F17" i="30"/>
  <c r="F17" i="32"/>
  <c r="K8" i="32"/>
  <c r="K16" i="32"/>
  <c r="H81" i="37"/>
  <c r="H78" i="37"/>
  <c r="H79" i="37"/>
  <c r="K18" i="41"/>
  <c r="K19" i="41" s="1"/>
  <c r="L16" i="41"/>
  <c r="L89" i="32"/>
  <c r="M89" i="32"/>
  <c r="O93" i="32"/>
  <c r="L37" i="38" l="1"/>
  <c r="L37" i="39"/>
  <c r="L72" i="37"/>
  <c r="L74" i="37" s="1"/>
  <c r="L37" i="37"/>
  <c r="L41" i="37" s="1"/>
  <c r="L43" i="37" s="1"/>
  <c r="P61" i="32"/>
  <c r="K73" i="39"/>
  <c r="K75" i="39" s="1"/>
  <c r="K41" i="39"/>
  <c r="K43" i="39" s="1"/>
  <c r="M27" i="41"/>
  <c r="L79" i="27"/>
  <c r="L31" i="41"/>
  <c r="L32" i="41" s="1"/>
  <c r="Q92" i="32"/>
  <c r="K79" i="37"/>
  <c r="K78" i="37"/>
  <c r="K81" i="37"/>
  <c r="J43" i="38"/>
  <c r="J63" i="38"/>
  <c r="N17" i="44" s="1"/>
  <c r="N16" i="44"/>
  <c r="J78" i="38"/>
  <c r="N8" i="44"/>
  <c r="K77" i="37"/>
  <c r="O8" i="32"/>
  <c r="K64" i="37"/>
  <c r="O17" i="32" s="1"/>
  <c r="K44" i="37"/>
  <c r="O16" i="32"/>
  <c r="J78" i="39"/>
  <c r="J44" i="39"/>
  <c r="N8" i="45"/>
  <c r="N16" i="45"/>
  <c r="J64" i="39"/>
  <c r="N17" i="45" s="1"/>
  <c r="J82" i="39"/>
  <c r="J79" i="39"/>
  <c r="J80" i="39"/>
  <c r="J80" i="38"/>
  <c r="J82" i="38"/>
  <c r="J79" i="38"/>
  <c r="K72" i="38"/>
  <c r="K74" i="38" s="1"/>
  <c r="K41" i="38"/>
  <c r="K42" i="38" s="1"/>
  <c r="S78" i="38"/>
  <c r="S63" i="38"/>
  <c r="T78" i="38"/>
  <c r="T63" i="38"/>
  <c r="I43" i="39"/>
  <c r="I82" i="39"/>
  <c r="I79" i="39"/>
  <c r="I80" i="39"/>
  <c r="I43" i="38"/>
  <c r="I63" i="38"/>
  <c r="M17" i="44" s="1"/>
  <c r="I78" i="38"/>
  <c r="U43" i="37"/>
  <c r="M8" i="44"/>
  <c r="M16" i="44"/>
  <c r="I80" i="38"/>
  <c r="I82" i="38"/>
  <c r="I79" i="38"/>
  <c r="I43" i="37"/>
  <c r="I81" i="37"/>
  <c r="I79" i="37"/>
  <c r="I78" i="37"/>
  <c r="L18" i="41"/>
  <c r="L19" i="41" s="1"/>
  <c r="M16" i="41"/>
  <c r="N89" i="32"/>
  <c r="P93" i="32"/>
  <c r="L78" i="37" l="1"/>
  <c r="L79" i="37"/>
  <c r="L81" i="37"/>
  <c r="L73" i="39"/>
  <c r="L75" i="39" s="1"/>
  <c r="L41" i="39"/>
  <c r="M72" i="37"/>
  <c r="M74" i="37" s="1"/>
  <c r="M37" i="37"/>
  <c r="M41" i="37" s="1"/>
  <c r="M43" i="37" s="1"/>
  <c r="M37" i="38"/>
  <c r="M37" i="39"/>
  <c r="Q61" i="32"/>
  <c r="L72" i="38"/>
  <c r="L74" i="38" s="1"/>
  <c r="L41" i="38"/>
  <c r="L42" i="38" s="1"/>
  <c r="L64" i="37"/>
  <c r="P17" i="32" s="1"/>
  <c r="P8" i="32"/>
  <c r="L44" i="37"/>
  <c r="P16" i="32"/>
  <c r="L77" i="37"/>
  <c r="K43" i="38"/>
  <c r="O8" i="44"/>
  <c r="K78" i="38"/>
  <c r="K63" i="38"/>
  <c r="O17" i="44" s="1"/>
  <c r="O16" i="44"/>
  <c r="K82" i="38"/>
  <c r="K79" i="38"/>
  <c r="K80" i="38"/>
  <c r="N27" i="41"/>
  <c r="M79" i="27"/>
  <c r="M31" i="41"/>
  <c r="M32" i="41" s="1"/>
  <c r="R92" i="32"/>
  <c r="O16" i="45"/>
  <c r="K78" i="39"/>
  <c r="O8" i="45"/>
  <c r="K64" i="39"/>
  <c r="O17" i="45" s="1"/>
  <c r="K44" i="39"/>
  <c r="K80" i="39"/>
  <c r="K82" i="39"/>
  <c r="K79" i="39"/>
  <c r="I44" i="37"/>
  <c r="U44" i="37"/>
  <c r="U78" i="37" s="1"/>
  <c r="U64" i="37"/>
  <c r="U77" i="37"/>
  <c r="M16" i="45"/>
  <c r="I44" i="39"/>
  <c r="U43" i="38" s="1"/>
  <c r="I64" i="39"/>
  <c r="M8" i="45"/>
  <c r="U42" i="38"/>
  <c r="I78" i="39"/>
  <c r="H63" i="38"/>
  <c r="M8" i="32"/>
  <c r="I64" i="37"/>
  <c r="I77" i="37"/>
  <c r="M16" i="32"/>
  <c r="N16" i="41"/>
  <c r="M18" i="41"/>
  <c r="M19" i="41" s="1"/>
  <c r="O89" i="32"/>
  <c r="Q93" i="32"/>
  <c r="L43" i="38" l="1"/>
  <c r="L78" i="38"/>
  <c r="P16" i="44"/>
  <c r="L63" i="38"/>
  <c r="P17" i="44" s="1"/>
  <c r="P8" i="44"/>
  <c r="L79" i="39"/>
  <c r="L82" i="39"/>
  <c r="L80" i="39"/>
  <c r="L43" i="39"/>
  <c r="L80" i="38"/>
  <c r="L79" i="38"/>
  <c r="L82" i="38"/>
  <c r="O27" i="41"/>
  <c r="N79" i="27"/>
  <c r="N31" i="41"/>
  <c r="N32" i="41" s="1"/>
  <c r="S92" i="32"/>
  <c r="N37" i="38"/>
  <c r="N37" i="39"/>
  <c r="N72" i="37"/>
  <c r="N74" i="37" s="1"/>
  <c r="N37" i="37"/>
  <c r="N41" i="37" s="1"/>
  <c r="R61" i="32"/>
  <c r="M73" i="39"/>
  <c r="M75" i="39" s="1"/>
  <c r="M41" i="39"/>
  <c r="M43" i="39" s="1"/>
  <c r="M78" i="37"/>
  <c r="M79" i="37"/>
  <c r="M81" i="37"/>
  <c r="M72" i="38"/>
  <c r="M74" i="38" s="1"/>
  <c r="M41" i="38"/>
  <c r="Q8" i="32"/>
  <c r="M64" i="37"/>
  <c r="Q17" i="32" s="1"/>
  <c r="Q16" i="32"/>
  <c r="M44" i="37"/>
  <c r="M77" i="37"/>
  <c r="U78" i="38"/>
  <c r="U63" i="38"/>
  <c r="M17" i="45"/>
  <c r="H43" i="38"/>
  <c r="H78" i="38"/>
  <c r="L16" i="44"/>
  <c r="T43" i="37"/>
  <c r="L17" i="44"/>
  <c r="L8" i="44"/>
  <c r="M17" i="32"/>
  <c r="O16" i="41"/>
  <c r="N18" i="41"/>
  <c r="N19" i="41" s="1"/>
  <c r="P89" i="32"/>
  <c r="R93" i="32"/>
  <c r="N43" i="37" l="1"/>
  <c r="N78" i="37"/>
  <c r="N79" i="37"/>
  <c r="N81" i="37"/>
  <c r="N73" i="39"/>
  <c r="N75" i="39" s="1"/>
  <c r="N41" i="39"/>
  <c r="N43" i="39" s="1"/>
  <c r="N72" i="38"/>
  <c r="N74" i="38" s="1"/>
  <c r="N41" i="38"/>
  <c r="N42" i="38" s="1"/>
  <c r="M42" i="38"/>
  <c r="M82" i="39"/>
  <c r="M79" i="39"/>
  <c r="M80" i="39"/>
  <c r="P27" i="41"/>
  <c r="O79" i="27"/>
  <c r="O31" i="41"/>
  <c r="O32" i="41" s="1"/>
  <c r="T92" i="32"/>
  <c r="Q8" i="45"/>
  <c r="M64" i="39"/>
  <c r="Q17" i="45" s="1"/>
  <c r="M78" i="39"/>
  <c r="Q16" i="45"/>
  <c r="M44" i="39"/>
  <c r="M80" i="38"/>
  <c r="M79" i="38"/>
  <c r="M82" i="38"/>
  <c r="L78" i="39"/>
  <c r="P8" i="45"/>
  <c r="P16" i="45"/>
  <c r="L64" i="39"/>
  <c r="L44" i="39"/>
  <c r="O37" i="38"/>
  <c r="O72" i="37"/>
  <c r="O74" i="37" s="1"/>
  <c r="O37" i="39"/>
  <c r="O37" i="37"/>
  <c r="O41" i="37" s="1"/>
  <c r="O43" i="37" s="1"/>
  <c r="S61" i="32"/>
  <c r="T44" i="37"/>
  <c r="T64" i="37"/>
  <c r="T77" i="37"/>
  <c r="O18" i="41"/>
  <c r="O19" i="41" s="1"/>
  <c r="P16" i="41"/>
  <c r="Q89" i="32"/>
  <c r="S93" i="32"/>
  <c r="O72" i="38" l="1"/>
  <c r="O74" i="38" s="1"/>
  <c r="O41" i="38"/>
  <c r="P37" i="38"/>
  <c r="P37" i="37"/>
  <c r="P41" i="37" s="1"/>
  <c r="P72" i="37"/>
  <c r="P74" i="37" s="1"/>
  <c r="P37" i="39"/>
  <c r="T61" i="32"/>
  <c r="M43" i="38"/>
  <c r="Q16" i="44"/>
  <c r="M63" i="38"/>
  <c r="Q8" i="44"/>
  <c r="M78" i="38"/>
  <c r="O81" i="37"/>
  <c r="O79" i="37"/>
  <c r="O78" i="37"/>
  <c r="N43" i="38"/>
  <c r="R8" i="44"/>
  <c r="R16" i="44"/>
  <c r="N78" i="38"/>
  <c r="N63" i="38"/>
  <c r="R17" i="44" s="1"/>
  <c r="N82" i="39"/>
  <c r="N80" i="39"/>
  <c r="N79" i="39"/>
  <c r="N44" i="37"/>
  <c r="N77" i="37"/>
  <c r="R16" i="32"/>
  <c r="N64" i="37"/>
  <c r="R8" i="32"/>
  <c r="P17" i="45"/>
  <c r="Q27" i="41"/>
  <c r="P79" i="27"/>
  <c r="P31" i="41"/>
  <c r="P32" i="41" s="1"/>
  <c r="U92" i="32"/>
  <c r="N79" i="38"/>
  <c r="N82" i="38"/>
  <c r="N80" i="38"/>
  <c r="O44" i="37"/>
  <c r="S16" i="32"/>
  <c r="O64" i="37"/>
  <c r="S17" i="32" s="1"/>
  <c r="S8" i="32"/>
  <c r="O77" i="37"/>
  <c r="O73" i="39"/>
  <c r="O75" i="39" s="1"/>
  <c r="O41" i="39"/>
  <c r="R16" i="45"/>
  <c r="N44" i="39"/>
  <c r="R8" i="45"/>
  <c r="N64" i="39"/>
  <c r="R17" i="45" s="1"/>
  <c r="N78" i="39"/>
  <c r="P18" i="41"/>
  <c r="P19" i="41" s="1"/>
  <c r="Q16" i="41"/>
  <c r="Q18" i="41" s="1"/>
  <c r="Q19" i="41" s="1"/>
  <c r="R89" i="32"/>
  <c r="T93" i="32"/>
  <c r="O43" i="39" l="1"/>
  <c r="O82" i="39"/>
  <c r="O79" i="39"/>
  <c r="O80" i="39"/>
  <c r="R17" i="32"/>
  <c r="P78" i="37"/>
  <c r="P79" i="37"/>
  <c r="P81" i="37"/>
  <c r="P43" i="37"/>
  <c r="P73" i="39"/>
  <c r="P75" i="39" s="1"/>
  <c r="P41" i="39"/>
  <c r="P43" i="39" s="1"/>
  <c r="Q17" i="44"/>
  <c r="P72" i="38"/>
  <c r="P74" i="38" s="1"/>
  <c r="P41" i="38"/>
  <c r="P42" i="38" s="1"/>
  <c r="O42" i="38"/>
  <c r="Q37" i="37"/>
  <c r="Q41" i="37" s="1"/>
  <c r="Q43" i="37" s="1"/>
  <c r="Q37" i="39"/>
  <c r="Q72" i="37"/>
  <c r="Q74" i="37" s="1"/>
  <c r="Q37" i="38"/>
  <c r="U61" i="32"/>
  <c r="R27" i="41"/>
  <c r="F27" i="42"/>
  <c r="Q79" i="27"/>
  <c r="Q31" i="41"/>
  <c r="Q32" i="41" s="1"/>
  <c r="V92" i="32"/>
  <c r="U27" i="41"/>
  <c r="O79" i="38"/>
  <c r="O80" i="38"/>
  <c r="O82" i="38"/>
  <c r="U19" i="41"/>
  <c r="F12" i="56" s="1"/>
  <c r="S89" i="32"/>
  <c r="U93" i="32"/>
  <c r="Q78" i="37" l="1"/>
  <c r="Q79" i="37"/>
  <c r="Q81" i="37"/>
  <c r="G90" i="30"/>
  <c r="G92" i="44"/>
  <c r="G92" i="32"/>
  <c r="G91" i="31"/>
  <c r="G92" i="45"/>
  <c r="T16" i="45"/>
  <c r="P44" i="39"/>
  <c r="P78" i="39"/>
  <c r="P64" i="39"/>
  <c r="T17" i="45" s="1"/>
  <c r="T8" i="45"/>
  <c r="P82" i="39"/>
  <c r="P80" i="39"/>
  <c r="P79" i="39"/>
  <c r="O43" i="38"/>
  <c r="O78" i="38"/>
  <c r="S8" i="44"/>
  <c r="O63" i="38"/>
  <c r="S16" i="44"/>
  <c r="R37" i="39"/>
  <c r="R72" i="37"/>
  <c r="R74" i="37" s="1"/>
  <c r="R37" i="37"/>
  <c r="R41" i="37" s="1"/>
  <c r="R43" i="37" s="1"/>
  <c r="V43" i="37" s="1"/>
  <c r="R37" i="38"/>
  <c r="V61" i="32"/>
  <c r="U79" i="27"/>
  <c r="G27" i="42"/>
  <c r="F80" i="28"/>
  <c r="K92" i="44"/>
  <c r="Q73" i="39"/>
  <c r="Q75" i="39" s="1"/>
  <c r="Q41" i="39"/>
  <c r="Q43" i="39" s="1"/>
  <c r="Q44" i="37"/>
  <c r="Q77" i="37"/>
  <c r="U16" i="32"/>
  <c r="U8" i="32"/>
  <c r="Q64" i="37"/>
  <c r="U17" i="32" s="1"/>
  <c r="P44" i="37"/>
  <c r="P64" i="37"/>
  <c r="T8" i="32"/>
  <c r="T16" i="32"/>
  <c r="P77" i="37"/>
  <c r="S27" i="41"/>
  <c r="R79" i="27"/>
  <c r="R31" i="41"/>
  <c r="R32" i="41" s="1"/>
  <c r="P43" i="38"/>
  <c r="T8" i="44"/>
  <c r="P78" i="38"/>
  <c r="P63" i="38"/>
  <c r="T17" i="44" s="1"/>
  <c r="T16" i="44"/>
  <c r="P82" i="38"/>
  <c r="P79" i="38"/>
  <c r="P80" i="38"/>
  <c r="Q72" i="38"/>
  <c r="Q74" i="38" s="1"/>
  <c r="Q41" i="38"/>
  <c r="O64" i="39"/>
  <c r="S17" i="45" s="1"/>
  <c r="S16" i="45"/>
  <c r="O44" i="39"/>
  <c r="O78" i="39"/>
  <c r="S8" i="45"/>
  <c r="T89" i="32"/>
  <c r="V93" i="32"/>
  <c r="V41" i="37" l="1"/>
  <c r="F11" i="56"/>
  <c r="F15" i="56"/>
  <c r="F8" i="56"/>
  <c r="L32" i="3"/>
  <c r="S17" i="44"/>
  <c r="R73" i="39"/>
  <c r="R75" i="39" s="1"/>
  <c r="R41" i="39"/>
  <c r="R43" i="39" s="1"/>
  <c r="T27" i="41"/>
  <c r="S79" i="27"/>
  <c r="S31" i="41"/>
  <c r="S32" i="41" s="1"/>
  <c r="H27" i="42"/>
  <c r="G80" i="28"/>
  <c r="L61" i="44" s="1"/>
  <c r="L92" i="44"/>
  <c r="Q42" i="38"/>
  <c r="Q64" i="39"/>
  <c r="U17" i="45" s="1"/>
  <c r="Q78" i="39"/>
  <c r="U16" i="45"/>
  <c r="U8" i="45"/>
  <c r="Q44" i="39"/>
  <c r="R72" i="38"/>
  <c r="R74" i="38" s="1"/>
  <c r="R41" i="38"/>
  <c r="R42" i="38" s="1"/>
  <c r="S37" i="38"/>
  <c r="S37" i="37"/>
  <c r="S41" i="37" s="1"/>
  <c r="S72" i="37"/>
  <c r="S74" i="37" s="1"/>
  <c r="K61" i="44"/>
  <c r="G61" i="44"/>
  <c r="G61" i="45"/>
  <c r="G60" i="30"/>
  <c r="G60" i="31"/>
  <c r="G61" i="32"/>
  <c r="Q82" i="38"/>
  <c r="Q79" i="38"/>
  <c r="Q80" i="38"/>
  <c r="T17" i="32"/>
  <c r="R64" i="37"/>
  <c r="V17" i="32" s="1"/>
  <c r="R77" i="37"/>
  <c r="V77" i="37" s="1"/>
  <c r="F18" i="56" s="1"/>
  <c r="V8" i="32"/>
  <c r="V16" i="32"/>
  <c r="R44" i="37"/>
  <c r="Q79" i="39"/>
  <c r="Q82" i="39"/>
  <c r="Q80" i="39"/>
  <c r="R78" i="37"/>
  <c r="V78" i="37" s="1"/>
  <c r="F17" i="56" s="1"/>
  <c r="R79" i="37"/>
  <c r="R81" i="37"/>
  <c r="V74" i="37"/>
  <c r="F16" i="56" s="1"/>
  <c r="G91" i="30"/>
  <c r="G93" i="32"/>
  <c r="G93" i="44"/>
  <c r="G93" i="45"/>
  <c r="G92" i="31"/>
  <c r="U89" i="32"/>
  <c r="V89" i="32"/>
  <c r="F16" i="42"/>
  <c r="R16" i="41" s="1"/>
  <c r="F31" i="42"/>
  <c r="V41" i="38" l="1"/>
  <c r="V41" i="39"/>
  <c r="R43" i="38"/>
  <c r="V16" i="44"/>
  <c r="R63" i="38"/>
  <c r="V17" i="44" s="1"/>
  <c r="R78" i="38"/>
  <c r="V8" i="44"/>
  <c r="Q43" i="38"/>
  <c r="U8" i="44"/>
  <c r="Q63" i="38"/>
  <c r="U16" i="44"/>
  <c r="Q78" i="38"/>
  <c r="V42" i="38"/>
  <c r="R79" i="39"/>
  <c r="V79" i="39" s="1"/>
  <c r="H17" i="56" s="1"/>
  <c r="R82" i="39"/>
  <c r="R80" i="39"/>
  <c r="V64" i="37"/>
  <c r="S79" i="37"/>
  <c r="S78" i="37"/>
  <c r="S81" i="37"/>
  <c r="G17" i="31"/>
  <c r="G17" i="32"/>
  <c r="G17" i="45"/>
  <c r="G17" i="44"/>
  <c r="G17" i="30"/>
  <c r="V8" i="45"/>
  <c r="R64" i="39"/>
  <c r="R44" i="39"/>
  <c r="V16" i="45"/>
  <c r="R78" i="39"/>
  <c r="V78" i="39" s="1"/>
  <c r="H18" i="56" s="1"/>
  <c r="V43" i="39"/>
  <c r="R82" i="38"/>
  <c r="R79" i="38"/>
  <c r="V79" i="38" s="1"/>
  <c r="G17" i="56" s="1"/>
  <c r="R80" i="38"/>
  <c r="I27" i="42"/>
  <c r="H80" i="28"/>
  <c r="M92" i="44"/>
  <c r="G16" i="44"/>
  <c r="G16" i="32"/>
  <c r="G16" i="30"/>
  <c r="G16" i="31"/>
  <c r="G16" i="45"/>
  <c r="G8" i="32"/>
  <c r="G8" i="44"/>
  <c r="G8" i="31"/>
  <c r="G8" i="45"/>
  <c r="G8" i="30"/>
  <c r="T37" i="37"/>
  <c r="T41" i="37" s="1"/>
  <c r="T72" i="37"/>
  <c r="T74" i="37" s="1"/>
  <c r="T37" i="38"/>
  <c r="S72" i="38"/>
  <c r="S74" i="38" s="1"/>
  <c r="S41" i="38"/>
  <c r="T79" i="27"/>
  <c r="T31" i="41"/>
  <c r="T32" i="41" s="1"/>
  <c r="F32" i="42"/>
  <c r="K93" i="44" s="1"/>
  <c r="G89" i="32"/>
  <c r="G89" i="44"/>
  <c r="G88" i="31"/>
  <c r="G89" i="45"/>
  <c r="G87" i="30"/>
  <c r="S16" i="41"/>
  <c r="R18" i="41"/>
  <c r="R19" i="41" s="1"/>
  <c r="F18" i="42"/>
  <c r="F19" i="42" s="1"/>
  <c r="K89" i="44" s="1"/>
  <c r="G16" i="42"/>
  <c r="G31" i="42"/>
  <c r="G32" i="42" s="1"/>
  <c r="L93" i="44" s="1"/>
  <c r="V78" i="38" l="1"/>
  <c r="G18" i="56" s="1"/>
  <c r="T72" i="38"/>
  <c r="T74" i="38" s="1"/>
  <c r="T41" i="38"/>
  <c r="H8" i="30"/>
  <c r="H8" i="31"/>
  <c r="H8" i="45"/>
  <c r="H8" i="32"/>
  <c r="H8" i="44"/>
  <c r="I8" i="30"/>
  <c r="I8" i="31"/>
  <c r="I8" i="44"/>
  <c r="I8" i="32"/>
  <c r="I8" i="45"/>
  <c r="U17" i="44"/>
  <c r="V63" i="38"/>
  <c r="G16" i="56" s="1"/>
  <c r="T79" i="37"/>
  <c r="T78" i="37"/>
  <c r="T81" i="37"/>
  <c r="U37" i="38"/>
  <c r="U37" i="37"/>
  <c r="U41" i="37" s="1"/>
  <c r="U72" i="37"/>
  <c r="U74" i="37" s="1"/>
  <c r="H17" i="45"/>
  <c r="H17" i="32"/>
  <c r="H17" i="30"/>
  <c r="H17" i="31"/>
  <c r="H17" i="44"/>
  <c r="M61" i="44"/>
  <c r="H16" i="31"/>
  <c r="H16" i="32"/>
  <c r="H16" i="30"/>
  <c r="H16" i="44"/>
  <c r="H16" i="45"/>
  <c r="H15" i="56"/>
  <c r="H11" i="56"/>
  <c r="I16" i="44"/>
  <c r="I16" i="30"/>
  <c r="I16" i="45"/>
  <c r="I16" i="31"/>
  <c r="I16" i="32"/>
  <c r="G11" i="56"/>
  <c r="G15" i="56"/>
  <c r="S79" i="38"/>
  <c r="S82" i="38"/>
  <c r="S80" i="38"/>
  <c r="J27" i="42"/>
  <c r="I80" i="28"/>
  <c r="N61" i="44" s="1"/>
  <c r="N92" i="44"/>
  <c r="V17" i="45"/>
  <c r="V64" i="39"/>
  <c r="H16" i="56" s="1"/>
  <c r="T16" i="41"/>
  <c r="T18" i="41" s="1"/>
  <c r="T19" i="41" s="1"/>
  <c r="S18" i="41"/>
  <c r="S19" i="41" s="1"/>
  <c r="H16" i="42"/>
  <c r="G18" i="42"/>
  <c r="G19" i="42" s="1"/>
  <c r="H31" i="42"/>
  <c r="H32" i="42" s="1"/>
  <c r="M93" i="44" s="1"/>
  <c r="I17" i="44" l="1"/>
  <c r="I17" i="31"/>
  <c r="I17" i="45"/>
  <c r="I17" i="32"/>
  <c r="I17" i="30"/>
  <c r="U79" i="37"/>
  <c r="U81" i="37"/>
  <c r="K27" i="42"/>
  <c r="J80" i="28"/>
  <c r="O61" i="44" s="1"/>
  <c r="O92" i="44"/>
  <c r="U72" i="38"/>
  <c r="U74" i="38" s="1"/>
  <c r="U41" i="38"/>
  <c r="T79" i="38"/>
  <c r="T80" i="38"/>
  <c r="T82" i="38"/>
  <c r="K92" i="45"/>
  <c r="F31" i="43"/>
  <c r="L89" i="44"/>
  <c r="H18" i="42"/>
  <c r="H19" i="42" s="1"/>
  <c r="I16" i="42"/>
  <c r="I31" i="42"/>
  <c r="I32" i="42" s="1"/>
  <c r="N93" i="44" s="1"/>
  <c r="L27" i="42" l="1"/>
  <c r="K80" i="28"/>
  <c r="P92" i="44"/>
  <c r="U80" i="38"/>
  <c r="U82" i="38"/>
  <c r="U79" i="38"/>
  <c r="F32" i="43"/>
  <c r="K93" i="45" s="1"/>
  <c r="G31" i="43"/>
  <c r="G32" i="43" s="1"/>
  <c r="L93" i="45" s="1"/>
  <c r="L92" i="45"/>
  <c r="M89" i="44"/>
  <c r="J16" i="42"/>
  <c r="I18" i="42"/>
  <c r="I19" i="42" s="1"/>
  <c r="J31" i="42"/>
  <c r="J32" i="42" s="1"/>
  <c r="O93" i="44" s="1"/>
  <c r="P61" i="44" l="1"/>
  <c r="M27" i="42"/>
  <c r="L80" i="28"/>
  <c r="Q61" i="44" s="1"/>
  <c r="Q92" i="44"/>
  <c r="M92" i="45"/>
  <c r="H31" i="43"/>
  <c r="H32" i="43" s="1"/>
  <c r="M93" i="45" s="1"/>
  <c r="N89" i="44"/>
  <c r="K16" i="42"/>
  <c r="J18" i="42"/>
  <c r="J19" i="42" s="1"/>
  <c r="O89" i="44" s="1"/>
  <c r="K31" i="42"/>
  <c r="K32" i="42" s="1"/>
  <c r="P93" i="44" s="1"/>
  <c r="N27" i="42" l="1"/>
  <c r="M80" i="28"/>
  <c r="R61" i="44" s="1"/>
  <c r="R92" i="44"/>
  <c r="I31" i="43"/>
  <c r="I32" i="43" s="1"/>
  <c r="N93" i="45" s="1"/>
  <c r="N92" i="45"/>
  <c r="K18" i="42"/>
  <c r="K19" i="42" s="1"/>
  <c r="L16" i="42"/>
  <c r="L31" i="42"/>
  <c r="L32" i="42" s="1"/>
  <c r="Q93" i="44" s="1"/>
  <c r="O27" i="42" l="1"/>
  <c r="N80" i="28"/>
  <c r="S61" i="44" s="1"/>
  <c r="S92" i="44"/>
  <c r="J31" i="43"/>
  <c r="J32" i="43" s="1"/>
  <c r="O93" i="45" s="1"/>
  <c r="O92" i="45"/>
  <c r="P89" i="44"/>
  <c r="M16" i="42"/>
  <c r="L18" i="42"/>
  <c r="L19" i="42" s="1"/>
  <c r="M31" i="42"/>
  <c r="M32" i="42" s="1"/>
  <c r="R93" i="44" s="1"/>
  <c r="P27" i="42" l="1"/>
  <c r="O80" i="28"/>
  <c r="T61" i="44" s="1"/>
  <c r="T92" i="44"/>
  <c r="K31" i="43"/>
  <c r="K32" i="43" s="1"/>
  <c r="P93" i="45" s="1"/>
  <c r="P92" i="45"/>
  <c r="Q89" i="44"/>
  <c r="N16" i="42"/>
  <c r="M18" i="42"/>
  <c r="M19" i="42" s="1"/>
  <c r="N31" i="43"/>
  <c r="N31" i="42"/>
  <c r="N32" i="42" s="1"/>
  <c r="S93" i="44" s="1"/>
  <c r="Q27" i="42" l="1"/>
  <c r="P80" i="28"/>
  <c r="U61" i="44" s="1"/>
  <c r="U92" i="44"/>
  <c r="U27" i="43"/>
  <c r="L31" i="43"/>
  <c r="L32" i="43" s="1"/>
  <c r="Q93" i="45" s="1"/>
  <c r="Q92" i="45"/>
  <c r="R89" i="44"/>
  <c r="O16" i="42"/>
  <c r="N18" i="42"/>
  <c r="N19" i="42" s="1"/>
  <c r="O31" i="42"/>
  <c r="O31" i="43"/>
  <c r="R27" i="42" l="1"/>
  <c r="Q80" i="28"/>
  <c r="V92" i="44"/>
  <c r="U27" i="42"/>
  <c r="M31" i="43"/>
  <c r="M32" i="43" s="1"/>
  <c r="R93" i="45" s="1"/>
  <c r="R92" i="45"/>
  <c r="O32" i="42"/>
  <c r="T93" i="44" s="1"/>
  <c r="S89" i="44"/>
  <c r="O18" i="42"/>
  <c r="O19" i="42" s="1"/>
  <c r="P16" i="42"/>
  <c r="Q31" i="43"/>
  <c r="P31" i="43"/>
  <c r="P31" i="42"/>
  <c r="H92" i="45" l="1"/>
  <c r="H90" i="30"/>
  <c r="H92" i="44"/>
  <c r="H92" i="32"/>
  <c r="H91" i="31"/>
  <c r="V61" i="44"/>
  <c r="U80" i="28"/>
  <c r="S27" i="42"/>
  <c r="S80" i="28" s="1"/>
  <c r="R80" i="28"/>
  <c r="P32" i="42"/>
  <c r="U93" i="44" s="1"/>
  <c r="T89" i="44"/>
  <c r="P18" i="42"/>
  <c r="P19" i="42" s="1"/>
  <c r="Q16" i="42"/>
  <c r="Q31" i="42"/>
  <c r="G8" i="56" l="1"/>
  <c r="N32" i="3"/>
  <c r="H60" i="30"/>
  <c r="H60" i="31"/>
  <c r="H61" i="32"/>
  <c r="H61" i="44"/>
  <c r="H61" i="45"/>
  <c r="Q32" i="42"/>
  <c r="V93" i="44" s="1"/>
  <c r="U89" i="44"/>
  <c r="Q18" i="42"/>
  <c r="Q19" i="42" s="1"/>
  <c r="V89" i="44" s="1"/>
  <c r="F16" i="43"/>
  <c r="R31" i="42"/>
  <c r="R32" i="42" s="1"/>
  <c r="H93" i="44" l="1"/>
  <c r="H92" i="31"/>
  <c r="H91" i="30"/>
  <c r="H93" i="45"/>
  <c r="H93" i="32"/>
  <c r="H89" i="45"/>
  <c r="H87" i="30"/>
  <c r="H89" i="44"/>
  <c r="H88" i="31"/>
  <c r="H89" i="32"/>
  <c r="R16" i="42"/>
  <c r="G16" i="43"/>
  <c r="F18" i="43"/>
  <c r="F19" i="43" s="1"/>
  <c r="K89" i="45" s="1"/>
  <c r="U19" i="42"/>
  <c r="G12" i="56" s="1"/>
  <c r="T31" i="42"/>
  <c r="T32" i="42" s="1"/>
  <c r="S31" i="42"/>
  <c r="S32" i="42" s="1"/>
  <c r="H16" i="43" l="1"/>
  <c r="G18" i="43"/>
  <c r="G19" i="43" s="1"/>
  <c r="R18" i="42"/>
  <c r="R19" i="42" s="1"/>
  <c r="S16" i="42"/>
  <c r="L89" i="45" l="1"/>
  <c r="S18" i="42"/>
  <c r="S19" i="42" s="1"/>
  <c r="T16" i="42"/>
  <c r="T18" i="42" s="1"/>
  <c r="T19" i="42" s="1"/>
  <c r="H18" i="43"/>
  <c r="H19" i="43" s="1"/>
  <c r="I16" i="43"/>
  <c r="M89" i="45" l="1"/>
  <c r="J16" i="43"/>
  <c r="I18" i="43"/>
  <c r="I19" i="43" s="1"/>
  <c r="N89" i="45" s="1"/>
  <c r="K16" i="43" l="1"/>
  <c r="J18" i="43"/>
  <c r="J19" i="43" s="1"/>
  <c r="O89" i="45" l="1"/>
  <c r="L16" i="43"/>
  <c r="K18" i="43"/>
  <c r="K19" i="43" s="1"/>
  <c r="P89" i="45" l="1"/>
  <c r="L18" i="43"/>
  <c r="L19" i="43" s="1"/>
  <c r="Q89" i="45" s="1"/>
  <c r="M16" i="43"/>
  <c r="N16" i="43" l="1"/>
  <c r="M18" i="43"/>
  <c r="M19" i="43" s="1"/>
  <c r="R89" i="45" l="1"/>
  <c r="N18" i="43"/>
  <c r="N19" i="43" s="1"/>
  <c r="O16" i="43"/>
  <c r="S89" i="45" l="1"/>
  <c r="P16" i="43"/>
  <c r="O18" i="43"/>
  <c r="O19" i="43" s="1"/>
  <c r="T89" i="45" l="1"/>
  <c r="P18" i="43"/>
  <c r="P19" i="43" s="1"/>
  <c r="Q16" i="43"/>
  <c r="Q18" i="43" s="1"/>
  <c r="Q19" i="43" s="1"/>
  <c r="V89" i="45" s="1"/>
  <c r="I89" i="44" l="1"/>
  <c r="I88" i="31"/>
  <c r="I87" i="30"/>
  <c r="I89" i="45"/>
  <c r="I89" i="32"/>
  <c r="U89" i="45"/>
  <c r="U19" i="43"/>
  <c r="H12" i="56" s="1"/>
  <c r="U75" i="26" l="1"/>
  <c r="J34" i="3" l="1"/>
  <c r="L63" i="31"/>
  <c r="L64" i="31" s="1"/>
  <c r="L61" i="31"/>
  <c r="O56" i="31" l="1"/>
  <c r="O57" i="31" s="1"/>
  <c r="N56" i="31"/>
  <c r="N57" i="31" s="1"/>
  <c r="V56" i="31"/>
  <c r="T56" i="31"/>
  <c r="T57" i="31" s="1"/>
  <c r="R59" i="31"/>
  <c r="L56" i="31"/>
  <c r="L57" i="31" s="1"/>
  <c r="S59" i="31"/>
  <c r="S56" i="31"/>
  <c r="S57" i="31" s="1"/>
  <c r="U56" i="31"/>
  <c r="U57" i="31" s="1"/>
  <c r="M56" i="31"/>
  <c r="M57" i="31" s="1"/>
  <c r="R56" i="31"/>
  <c r="R57" i="31" s="1"/>
  <c r="Q59" i="31"/>
  <c r="Q56" i="31"/>
  <c r="Q57" i="31" s="1"/>
  <c r="O59" i="31"/>
  <c r="P59" i="31"/>
  <c r="P56" i="31"/>
  <c r="P57" i="31" s="1"/>
  <c r="V59" i="31"/>
  <c r="N59" i="31"/>
  <c r="U59" i="31"/>
  <c r="M59" i="31"/>
  <c r="T59" i="31"/>
  <c r="L59" i="31"/>
  <c r="V57" i="31" l="1"/>
  <c r="F57" i="32"/>
  <c r="F56" i="30"/>
  <c r="F57" i="44"/>
  <c r="F56" i="31"/>
  <c r="F57" i="45"/>
  <c r="F59" i="31"/>
  <c r="F60" i="45"/>
  <c r="F60" i="32"/>
  <c r="F59" i="30"/>
  <c r="F60" i="44"/>
  <c r="F58" i="45" l="1"/>
  <c r="F58" i="32"/>
  <c r="F57" i="30"/>
  <c r="F57" i="31"/>
  <c r="F58" i="44"/>
  <c r="H70" i="33"/>
  <c r="H73" i="33" s="1"/>
  <c r="G70" i="33"/>
  <c r="G73" i="33" s="1"/>
  <c r="G78" i="33" s="1"/>
  <c r="L16" i="31"/>
  <c r="I70" i="33"/>
  <c r="I73" i="33" s="1"/>
  <c r="V38" i="33" l="1"/>
  <c r="U70" i="24"/>
  <c r="H76" i="33"/>
  <c r="I78" i="33"/>
  <c r="I80" i="33"/>
  <c r="I77" i="33"/>
  <c r="T70" i="24"/>
  <c r="K8" i="31"/>
  <c r="G62" i="33"/>
  <c r="K16" i="31"/>
  <c r="I76" i="33"/>
  <c r="M8" i="31"/>
  <c r="I62" i="33"/>
  <c r="M17" i="31" s="1"/>
  <c r="M16" i="31"/>
  <c r="G80" i="33"/>
  <c r="G77" i="33"/>
  <c r="V77" i="33" s="1"/>
  <c r="E17" i="56" s="1"/>
  <c r="H77" i="33"/>
  <c r="H80" i="33"/>
  <c r="H78" i="33"/>
  <c r="L8" i="31"/>
  <c r="H62" i="33"/>
  <c r="L17" i="31" s="1"/>
  <c r="S70" i="24"/>
  <c r="K17" i="31" l="1"/>
  <c r="K44" i="30" l="1"/>
  <c r="K55" i="30" s="1"/>
  <c r="F73" i="23" l="1"/>
  <c r="K53" i="30"/>
  <c r="K48" i="30"/>
  <c r="K49" i="30" s="1"/>
  <c r="K56" i="30"/>
  <c r="K57" i="30" s="1"/>
  <c r="K47" i="30"/>
  <c r="K51" i="30"/>
  <c r="F74" i="23" l="1"/>
  <c r="F24" i="25"/>
  <c r="F32" i="25" s="1"/>
  <c r="F71" i="23"/>
  <c r="K59" i="30" s="1"/>
  <c r="K61" i="30"/>
  <c r="F75" i="23" l="1"/>
  <c r="K63" i="30" s="1"/>
  <c r="K64" i="30" s="1"/>
  <c r="K62" i="30"/>
  <c r="F25" i="25"/>
  <c r="G79" i="24"/>
  <c r="G81" i="24"/>
  <c r="K91" i="30"/>
  <c r="K17" i="30" l="1"/>
  <c r="M16" i="23"/>
  <c r="R16" i="23"/>
  <c r="H16" i="23"/>
  <c r="Q16" i="23"/>
  <c r="L16" i="23"/>
  <c r="I16" i="23"/>
  <c r="S16" i="23"/>
  <c r="K16" i="23"/>
  <c r="L16" i="24" s="1"/>
  <c r="N16" i="23"/>
  <c r="T16" i="23"/>
  <c r="J16" i="23"/>
  <c r="O16" i="23"/>
  <c r="P16" i="23"/>
  <c r="R44" i="30"/>
  <c r="Q44" i="30"/>
  <c r="Q55" i="30" s="1"/>
  <c r="H73" i="23"/>
  <c r="M44" i="30"/>
  <c r="M51" i="30" s="1"/>
  <c r="T44" i="30"/>
  <c r="T51" i="30" s="1"/>
  <c r="N24" i="25"/>
  <c r="J73" i="23"/>
  <c r="J74" i="23" s="1"/>
  <c r="P73" i="23"/>
  <c r="P74" i="23" s="1"/>
  <c r="U44" i="30"/>
  <c r="U51" i="30" s="1"/>
  <c r="T44" i="23"/>
  <c r="Q73" i="23"/>
  <c r="Q74" i="23" s="1"/>
  <c r="I68" i="23"/>
  <c r="I71" i="23" s="1"/>
  <c r="N59" i="30" s="1"/>
  <c r="L44" i="30"/>
  <c r="T16" i="24" l="1"/>
  <c r="U16" i="24"/>
  <c r="S16" i="24"/>
  <c r="U16" i="23"/>
  <c r="M61" i="30"/>
  <c r="H74" i="23"/>
  <c r="J24" i="25"/>
  <c r="J25" i="25" s="1"/>
  <c r="O89" i="30" s="1"/>
  <c r="J68" i="23"/>
  <c r="O56" i="30" s="1"/>
  <c r="O57" i="30" s="1"/>
  <c r="S44" i="23"/>
  <c r="H44" i="23"/>
  <c r="M48" i="30" s="1"/>
  <c r="M49" i="30" s="1"/>
  <c r="M47" i="30"/>
  <c r="M55" i="30"/>
  <c r="N56" i="30"/>
  <c r="G24" i="25"/>
  <c r="G32" i="25" s="1"/>
  <c r="L91" i="30" s="1"/>
  <c r="K86" i="30"/>
  <c r="F20" i="25"/>
  <c r="K93" i="30"/>
  <c r="S44" i="30"/>
  <c r="S53" i="30" s="1"/>
  <c r="V44" i="30"/>
  <c r="V51" i="30" s="1"/>
  <c r="E51" i="31" s="1"/>
  <c r="N73" i="23"/>
  <c r="G44" i="23"/>
  <c r="L48" i="30" s="1"/>
  <c r="L49" i="30" s="1"/>
  <c r="T53" i="30"/>
  <c r="M53" i="30"/>
  <c r="Q24" i="25"/>
  <c r="E45" i="44"/>
  <c r="J44" i="23"/>
  <c r="O48" i="30" s="1"/>
  <c r="Q68" i="23"/>
  <c r="V56" i="30" s="1"/>
  <c r="O44" i="30"/>
  <c r="O53" i="30" s="1"/>
  <c r="L45" i="30"/>
  <c r="L55" i="30"/>
  <c r="L51" i="30"/>
  <c r="L47" i="30"/>
  <c r="M45" i="30"/>
  <c r="L53" i="30"/>
  <c r="K44" i="23"/>
  <c r="P48" i="30" s="1"/>
  <c r="K68" i="23"/>
  <c r="V61" i="30"/>
  <c r="P44" i="30"/>
  <c r="Q45" i="30" s="1"/>
  <c r="N25" i="25"/>
  <c r="S89" i="30" s="1"/>
  <c r="N32" i="25"/>
  <c r="S91" i="30" s="1"/>
  <c r="R53" i="30"/>
  <c r="R45" i="30"/>
  <c r="R47" i="30"/>
  <c r="R55" i="30"/>
  <c r="R51" i="30"/>
  <c r="U55" i="30"/>
  <c r="U53" i="30"/>
  <c r="U47" i="30"/>
  <c r="U61" i="30"/>
  <c r="L44" i="23"/>
  <c r="Q48" i="30" s="1"/>
  <c r="Q49" i="30" s="1"/>
  <c r="L73" i="23"/>
  <c r="L74" i="23" s="1"/>
  <c r="L68" i="23"/>
  <c r="O61" i="30"/>
  <c r="T68" i="23"/>
  <c r="T71" i="23" s="1"/>
  <c r="T73" i="23"/>
  <c r="T74" i="23" s="1"/>
  <c r="Q53" i="30"/>
  <c r="Q51" i="30"/>
  <c r="Q47" i="30"/>
  <c r="G73" i="23"/>
  <c r="G74" i="23" s="1"/>
  <c r="U34" i="23"/>
  <c r="G68" i="23"/>
  <c r="K73" i="23"/>
  <c r="K74" i="23" s="1"/>
  <c r="U45" i="30"/>
  <c r="P44" i="23"/>
  <c r="U48" i="30" s="1"/>
  <c r="U49" i="30" s="1"/>
  <c r="P68" i="23"/>
  <c r="O68" i="23"/>
  <c r="O73" i="23"/>
  <c r="O74" i="23" s="1"/>
  <c r="R73" i="23"/>
  <c r="R74" i="23" s="1"/>
  <c r="R68" i="23"/>
  <c r="R71" i="23" s="1"/>
  <c r="T47" i="30"/>
  <c r="M44" i="23"/>
  <c r="R48" i="30" s="1"/>
  <c r="R49" i="30" s="1"/>
  <c r="M68" i="23"/>
  <c r="M73" i="23"/>
  <c r="M74" i="23" s="1"/>
  <c r="Q44" i="23"/>
  <c r="V48" i="30" s="1"/>
  <c r="I73" i="23"/>
  <c r="I74" i="23" s="1"/>
  <c r="N62" i="30" s="1"/>
  <c r="N44" i="30"/>
  <c r="I44" i="23"/>
  <c r="N48" i="30" s="1"/>
  <c r="T55" i="30"/>
  <c r="S73" i="23"/>
  <c r="S74" i="23" s="1"/>
  <c r="S68" i="23"/>
  <c r="S71" i="23" s="1"/>
  <c r="O73" i="24"/>
  <c r="N68" i="23"/>
  <c r="R44" i="23"/>
  <c r="O44" i="23"/>
  <c r="T48" i="30" s="1"/>
  <c r="T49" i="30" s="1"/>
  <c r="N44" i="23"/>
  <c r="S48" i="30" s="1"/>
  <c r="H68" i="23"/>
  <c r="L72" i="24" l="1"/>
  <c r="L36" i="33"/>
  <c r="L39" i="33" s="1"/>
  <c r="L36" i="24"/>
  <c r="L39" i="24" s="1"/>
  <c r="H27" i="3"/>
  <c r="D3" i="56"/>
  <c r="V16" i="24"/>
  <c r="T36" i="24"/>
  <c r="T39" i="24" s="1"/>
  <c r="T41" i="24" s="1"/>
  <c r="T42" i="24" s="1"/>
  <c r="T36" i="33"/>
  <c r="T39" i="33" s="1"/>
  <c r="T41" i="33" s="1"/>
  <c r="T72" i="24"/>
  <c r="U36" i="24"/>
  <c r="U39" i="24" s="1"/>
  <c r="U41" i="24" s="1"/>
  <c r="U36" i="33"/>
  <c r="U39" i="33" s="1"/>
  <c r="U41" i="33" s="1"/>
  <c r="U72" i="24"/>
  <c r="U73" i="24" s="1"/>
  <c r="U78" i="24" s="1"/>
  <c r="S36" i="24"/>
  <c r="S39" i="24" s="1"/>
  <c r="S41" i="24" s="1"/>
  <c r="S42" i="24" s="1"/>
  <c r="S36" i="33"/>
  <c r="S39" i="33" s="1"/>
  <c r="S41" i="33" s="1"/>
  <c r="S72" i="24"/>
  <c r="G25" i="25"/>
  <c r="L89" i="30" s="1"/>
  <c r="J71" i="23"/>
  <c r="E45" i="32"/>
  <c r="S61" i="30"/>
  <c r="N74" i="23"/>
  <c r="E52" i="44"/>
  <c r="E52" i="32"/>
  <c r="E52" i="45"/>
  <c r="V47" i="30"/>
  <c r="E47" i="31" s="1"/>
  <c r="E44" i="31"/>
  <c r="J32" i="25"/>
  <c r="O91" i="30" s="1"/>
  <c r="O51" i="30"/>
  <c r="K79" i="24"/>
  <c r="O55" i="30"/>
  <c r="E44" i="30"/>
  <c r="E45" i="45"/>
  <c r="E51" i="30"/>
  <c r="V55" i="30"/>
  <c r="E56" i="45" s="1"/>
  <c r="V53" i="30"/>
  <c r="E54" i="45" s="1"/>
  <c r="V45" i="30"/>
  <c r="E45" i="30" s="1"/>
  <c r="P49" i="30"/>
  <c r="O49" i="30"/>
  <c r="R73" i="24"/>
  <c r="R81" i="24" s="1"/>
  <c r="S49" i="30"/>
  <c r="N49" i="30"/>
  <c r="T45" i="30"/>
  <c r="S55" i="30"/>
  <c r="O45" i="30"/>
  <c r="S47" i="30"/>
  <c r="T75" i="23"/>
  <c r="H73" i="24"/>
  <c r="G14" i="25" s="1"/>
  <c r="G20" i="25" s="1"/>
  <c r="L88" i="30" s="1"/>
  <c r="K88" i="30"/>
  <c r="F33" i="25"/>
  <c r="Q71" i="23"/>
  <c r="V59" i="30" s="1"/>
  <c r="S51" i="30"/>
  <c r="O47" i="30"/>
  <c r="S45" i="30"/>
  <c r="R75" i="23"/>
  <c r="S75" i="23"/>
  <c r="U44" i="23"/>
  <c r="H29" i="3" s="1"/>
  <c r="Q32" i="25"/>
  <c r="V91" i="30" s="1"/>
  <c r="Q25" i="25"/>
  <c r="V89" i="30" s="1"/>
  <c r="K24" i="25"/>
  <c r="L73" i="24"/>
  <c r="Q56" i="30"/>
  <c r="Q57" i="30" s="1"/>
  <c r="L71" i="23"/>
  <c r="N61" i="30"/>
  <c r="I75" i="23"/>
  <c r="N63" i="30" s="1"/>
  <c r="N64" i="30" s="1"/>
  <c r="Q73" i="24"/>
  <c r="P24" i="25"/>
  <c r="Q61" i="30"/>
  <c r="H24" i="25"/>
  <c r="I73" i="24"/>
  <c r="T61" i="30"/>
  <c r="U73" i="23"/>
  <c r="H33" i="3" s="1"/>
  <c r="L61" i="30"/>
  <c r="O24" i="25"/>
  <c r="P73" i="24"/>
  <c r="P56" i="30"/>
  <c r="P57" i="30" s="1"/>
  <c r="K71" i="23"/>
  <c r="N73" i="24"/>
  <c r="M24" i="25"/>
  <c r="N47" i="30"/>
  <c r="N53" i="30"/>
  <c r="N51" i="30"/>
  <c r="N55" i="30"/>
  <c r="N45" i="30"/>
  <c r="N57" i="30"/>
  <c r="U56" i="30"/>
  <c r="U57" i="30" s="1"/>
  <c r="P71" i="23"/>
  <c r="I24" i="25"/>
  <c r="J73" i="24"/>
  <c r="N71" i="23"/>
  <c r="S56" i="30"/>
  <c r="S57" i="30" s="1"/>
  <c r="O78" i="24"/>
  <c r="O81" i="24"/>
  <c r="O79" i="24"/>
  <c r="E48" i="31"/>
  <c r="E48" i="30"/>
  <c r="E49" i="44"/>
  <c r="E49" i="45"/>
  <c r="V49" i="30"/>
  <c r="E49" i="32"/>
  <c r="L56" i="30"/>
  <c r="L57" i="30" s="1"/>
  <c r="U68" i="23"/>
  <c r="G71" i="23"/>
  <c r="M73" i="24"/>
  <c r="L24" i="25"/>
  <c r="R61" i="30"/>
  <c r="O59" i="30"/>
  <c r="H71" i="23"/>
  <c r="M56" i="30"/>
  <c r="M57" i="30" s="1"/>
  <c r="M71" i="23"/>
  <c r="R56" i="30"/>
  <c r="R57" i="30" s="1"/>
  <c r="P61" i="30"/>
  <c r="O71" i="23"/>
  <c r="T56" i="30"/>
  <c r="T57" i="30" s="1"/>
  <c r="E57" i="45"/>
  <c r="E56" i="31"/>
  <c r="E57" i="44"/>
  <c r="E57" i="32"/>
  <c r="E56" i="30"/>
  <c r="V57" i="30"/>
  <c r="P55" i="30"/>
  <c r="P45" i="30"/>
  <c r="P51" i="30"/>
  <c r="P47" i="30"/>
  <c r="P53" i="30"/>
  <c r="E62" i="32"/>
  <c r="E61" i="31"/>
  <c r="E62" i="45"/>
  <c r="E62" i="44"/>
  <c r="E61" i="30"/>
  <c r="U42" i="24" l="1"/>
  <c r="U77" i="24"/>
  <c r="H31" i="3"/>
  <c r="D5" i="56"/>
  <c r="L41" i="24"/>
  <c r="V39" i="24"/>
  <c r="L41" i="33"/>
  <c r="V39" i="33"/>
  <c r="S77" i="24"/>
  <c r="S63" i="24"/>
  <c r="R11" i="25" s="1"/>
  <c r="T77" i="24"/>
  <c r="T63" i="24"/>
  <c r="S11" i="25" s="1"/>
  <c r="U62" i="33"/>
  <c r="U42" i="33"/>
  <c r="U76" i="33"/>
  <c r="T73" i="24"/>
  <c r="S24" i="25"/>
  <c r="U63" i="24"/>
  <c r="T11" i="25" s="1"/>
  <c r="S73" i="24"/>
  <c r="R24" i="25"/>
  <c r="T24" i="25"/>
  <c r="T25" i="25" s="1"/>
  <c r="S42" i="33"/>
  <c r="S62" i="33"/>
  <c r="S76" i="33"/>
  <c r="T42" i="33"/>
  <c r="T62" i="33"/>
  <c r="T76" i="33"/>
  <c r="H78" i="24"/>
  <c r="H81" i="24"/>
  <c r="H79" i="24"/>
  <c r="E56" i="32"/>
  <c r="E48" i="32"/>
  <c r="E47" i="30"/>
  <c r="E48" i="44"/>
  <c r="E54" i="44"/>
  <c r="E48" i="45"/>
  <c r="E55" i="30"/>
  <c r="E46" i="32"/>
  <c r="K81" i="24"/>
  <c r="K78" i="24"/>
  <c r="V78" i="24" s="1"/>
  <c r="D17" i="56" s="1"/>
  <c r="E53" i="31"/>
  <c r="E56" i="44"/>
  <c r="E45" i="31"/>
  <c r="E54" i="32"/>
  <c r="E55" i="31"/>
  <c r="E46" i="45"/>
  <c r="E53" i="30"/>
  <c r="E46" i="44"/>
  <c r="R79" i="24"/>
  <c r="R78" i="24"/>
  <c r="V62" i="30"/>
  <c r="L93" i="30"/>
  <c r="L86" i="30"/>
  <c r="G33" i="25"/>
  <c r="G35" i="25" s="1"/>
  <c r="G36" i="25" s="1"/>
  <c r="K92" i="30"/>
  <c r="K96" i="30" s="1"/>
  <c r="K97" i="30" s="1"/>
  <c r="F35" i="25"/>
  <c r="F36" i="25" s="1"/>
  <c r="P59" i="30"/>
  <c r="Q78" i="24"/>
  <c r="Q79" i="24"/>
  <c r="Q81" i="24"/>
  <c r="S59" i="30"/>
  <c r="O32" i="25"/>
  <c r="T91" i="30" s="1"/>
  <c r="O25" i="25"/>
  <c r="T89" i="30" s="1"/>
  <c r="I79" i="24"/>
  <c r="I78" i="24"/>
  <c r="I81" i="24"/>
  <c r="H14" i="25"/>
  <c r="E58" i="32"/>
  <c r="E57" i="30"/>
  <c r="E58" i="44"/>
  <c r="E57" i="31"/>
  <c r="E58" i="45"/>
  <c r="J78" i="24"/>
  <c r="J79" i="24"/>
  <c r="J81" i="24"/>
  <c r="H32" i="25"/>
  <c r="M91" i="30" s="1"/>
  <c r="H25" i="25"/>
  <c r="L79" i="24"/>
  <c r="L78" i="24"/>
  <c r="L81" i="24"/>
  <c r="M59" i="30"/>
  <c r="E60" i="32"/>
  <c r="E60" i="45"/>
  <c r="E59" i="31"/>
  <c r="E60" i="44"/>
  <c r="E59" i="30"/>
  <c r="T59" i="30"/>
  <c r="O62" i="30"/>
  <c r="J75" i="23"/>
  <c r="O63" i="30" s="1"/>
  <c r="O64" i="30" s="1"/>
  <c r="L32" i="25"/>
  <c r="Q91" i="30" s="1"/>
  <c r="L25" i="25"/>
  <c r="Q89" i="30" s="1"/>
  <c r="Q59" i="30"/>
  <c r="K32" i="25"/>
  <c r="P91" i="30" s="1"/>
  <c r="K25" i="25"/>
  <c r="P89" i="30" s="1"/>
  <c r="P79" i="24"/>
  <c r="P81" i="24"/>
  <c r="P78" i="24"/>
  <c r="E50" i="32"/>
  <c r="E50" i="44"/>
  <c r="E49" i="30"/>
  <c r="E50" i="45"/>
  <c r="E49" i="31"/>
  <c r="I32" i="25"/>
  <c r="N91" i="30" s="1"/>
  <c r="I25" i="25"/>
  <c r="N89" i="30" s="1"/>
  <c r="M79" i="24"/>
  <c r="M78" i="24"/>
  <c r="M81" i="24"/>
  <c r="U59" i="30"/>
  <c r="M25" i="25"/>
  <c r="R89" i="30" s="1"/>
  <c r="M32" i="25"/>
  <c r="R91" i="30" s="1"/>
  <c r="E89" i="30"/>
  <c r="E91" i="32"/>
  <c r="E91" i="45"/>
  <c r="E90" i="31"/>
  <c r="E91" i="44"/>
  <c r="R59" i="30"/>
  <c r="P25" i="25"/>
  <c r="U89" i="30" s="1"/>
  <c r="P32" i="25"/>
  <c r="U91" i="30" s="1"/>
  <c r="L59" i="30"/>
  <c r="U71" i="23"/>
  <c r="D9" i="56" s="1"/>
  <c r="N81" i="24"/>
  <c r="N79" i="24"/>
  <c r="N78" i="24"/>
  <c r="U79" i="24"/>
  <c r="U81" i="24"/>
  <c r="E93" i="32"/>
  <c r="E93" i="44"/>
  <c r="E93" i="45"/>
  <c r="E91" i="30"/>
  <c r="E92" i="31"/>
  <c r="L42" i="33" l="1"/>
  <c r="L62" i="33"/>
  <c r="L76" i="33"/>
  <c r="V76" i="33" s="1"/>
  <c r="E18" i="56" s="1"/>
  <c r="P16" i="31"/>
  <c r="P8" i="31"/>
  <c r="V41" i="33"/>
  <c r="L42" i="24"/>
  <c r="P16" i="30"/>
  <c r="P8" i="30"/>
  <c r="L63" i="24"/>
  <c r="L77" i="24"/>
  <c r="V77" i="24" s="1"/>
  <c r="D18" i="56" s="1"/>
  <c r="V41" i="24"/>
  <c r="T32" i="25"/>
  <c r="S78" i="24"/>
  <c r="S79" i="24"/>
  <c r="S81" i="24"/>
  <c r="S25" i="25"/>
  <c r="S32" i="25"/>
  <c r="T78" i="24"/>
  <c r="T79" i="24"/>
  <c r="T81" i="24"/>
  <c r="R25" i="25"/>
  <c r="R32" i="25"/>
  <c r="Q75" i="23"/>
  <c r="V63" i="30" s="1"/>
  <c r="E64" i="45" s="1"/>
  <c r="L92" i="30"/>
  <c r="L96" i="30" s="1"/>
  <c r="L97" i="30" s="1"/>
  <c r="L62" i="30"/>
  <c r="U74" i="23"/>
  <c r="G75" i="23"/>
  <c r="S62" i="30"/>
  <c r="N75" i="23"/>
  <c r="S63" i="30" s="1"/>
  <c r="S64" i="30" s="1"/>
  <c r="Q62" i="30"/>
  <c r="L75" i="23"/>
  <c r="Q63" i="30" s="1"/>
  <c r="Q64" i="30" s="1"/>
  <c r="M93" i="30"/>
  <c r="M86" i="30"/>
  <c r="H20" i="25"/>
  <c r="I14" i="25"/>
  <c r="U62" i="30"/>
  <c r="P75" i="23"/>
  <c r="U63" i="30" s="1"/>
  <c r="U64" i="30" s="1"/>
  <c r="E63" i="31"/>
  <c r="E63" i="45"/>
  <c r="E63" i="44"/>
  <c r="E62" i="30"/>
  <c r="E63" i="32"/>
  <c r="E62" i="31"/>
  <c r="M89" i="30"/>
  <c r="U25" i="25"/>
  <c r="D13" i="56" s="1"/>
  <c r="R62" i="30"/>
  <c r="M75" i="23"/>
  <c r="R63" i="30" s="1"/>
  <c r="R64" i="30" s="1"/>
  <c r="T62" i="30"/>
  <c r="O75" i="23"/>
  <c r="T63" i="30" s="1"/>
  <c r="T64" i="30" s="1"/>
  <c r="M62" i="30"/>
  <c r="H75" i="23"/>
  <c r="M63" i="30" s="1"/>
  <c r="M64" i="30" s="1"/>
  <c r="P62" i="30"/>
  <c r="K75" i="23"/>
  <c r="P63" i="30" s="1"/>
  <c r="P64" i="30" s="1"/>
  <c r="E11" i="56" l="1"/>
  <c r="E15" i="56"/>
  <c r="P17" i="31"/>
  <c r="V62" i="33"/>
  <c r="E16" i="56" s="1"/>
  <c r="D11" i="56"/>
  <c r="D15" i="56"/>
  <c r="H32" i="3"/>
  <c r="D10" i="56"/>
  <c r="P17" i="30"/>
  <c r="K11" i="25"/>
  <c r="V63" i="24"/>
  <c r="E64" i="32"/>
  <c r="E64" i="44"/>
  <c r="V64" i="30"/>
  <c r="E65" i="45" s="1"/>
  <c r="E63" i="30"/>
  <c r="L63" i="30"/>
  <c r="L64" i="30" s="1"/>
  <c r="U75" i="23"/>
  <c r="H34" i="3" s="1"/>
  <c r="N93" i="30"/>
  <c r="N86" i="30"/>
  <c r="I20" i="25"/>
  <c r="J14" i="25"/>
  <c r="M88" i="30"/>
  <c r="H33" i="25"/>
  <c r="D16" i="56" l="1"/>
  <c r="E65" i="32"/>
  <c r="E64" i="30"/>
  <c r="E65" i="44"/>
  <c r="E64" i="31"/>
  <c r="O93" i="30"/>
  <c r="O86" i="30"/>
  <c r="J20" i="25"/>
  <c r="K14" i="25"/>
  <c r="N88" i="30"/>
  <c r="I33" i="25"/>
  <c r="H35" i="25"/>
  <c r="H36" i="25" s="1"/>
  <c r="M92" i="30"/>
  <c r="M96" i="30" s="1"/>
  <c r="M97" i="30" s="1"/>
  <c r="L14" i="25" l="1"/>
  <c r="K20" i="25"/>
  <c r="P93" i="30"/>
  <c r="P86" i="30"/>
  <c r="N92" i="30"/>
  <c r="N96" i="30" s="1"/>
  <c r="N97" i="30" s="1"/>
  <c r="I35" i="25"/>
  <c r="I36" i="25" s="1"/>
  <c r="O88" i="30"/>
  <c r="J33" i="25"/>
  <c r="O92" i="30" l="1"/>
  <c r="O96" i="30" s="1"/>
  <c r="O97" i="30" s="1"/>
  <c r="J35" i="25"/>
  <c r="J36" i="25" s="1"/>
  <c r="P88" i="30"/>
  <c r="K33" i="25"/>
  <c r="Q93" i="30"/>
  <c r="Q86" i="30"/>
  <c r="M14" i="25"/>
  <c r="L20" i="25"/>
  <c r="L33" i="25" l="1"/>
  <c r="Q88" i="30"/>
  <c r="K35" i="25"/>
  <c r="K36" i="25" s="1"/>
  <c r="P92" i="30"/>
  <c r="P96" i="30" s="1"/>
  <c r="P97" i="30" s="1"/>
  <c r="R93" i="30"/>
  <c r="R86" i="30"/>
  <c r="M20" i="25"/>
  <c r="N14" i="25"/>
  <c r="N20" i="25" l="1"/>
  <c r="S93" i="30"/>
  <c r="S86" i="30"/>
  <c r="O14" i="25"/>
  <c r="R88" i="30"/>
  <c r="M33" i="25"/>
  <c r="L35" i="25"/>
  <c r="L36" i="25" s="1"/>
  <c r="Q92" i="30"/>
  <c r="Q96" i="30" s="1"/>
  <c r="Q97" i="30" s="1"/>
  <c r="M35" i="25" l="1"/>
  <c r="M36" i="25" s="1"/>
  <c r="R92" i="30"/>
  <c r="R96" i="30" s="1"/>
  <c r="R97" i="30" s="1"/>
  <c r="T86" i="30"/>
  <c r="O20" i="25"/>
  <c r="T93" i="30"/>
  <c r="P14" i="25"/>
  <c r="S88" i="30"/>
  <c r="N33" i="25"/>
  <c r="U93" i="30" l="1"/>
  <c r="U86" i="30"/>
  <c r="Q14" i="25"/>
  <c r="P20" i="25"/>
  <c r="S92" i="30"/>
  <c r="S96" i="30" s="1"/>
  <c r="S97" i="30" s="1"/>
  <c r="N35" i="25"/>
  <c r="N36" i="25" s="1"/>
  <c r="O33" i="25"/>
  <c r="T88" i="30"/>
  <c r="U14" i="25" l="1"/>
  <c r="F11" i="40"/>
  <c r="P33" i="25"/>
  <c r="U88" i="30"/>
  <c r="T92" i="30"/>
  <c r="T96" i="30" s="1"/>
  <c r="T97" i="30" s="1"/>
  <c r="O35" i="25"/>
  <c r="O36" i="25" s="1"/>
  <c r="V86" i="30"/>
  <c r="V93" i="30"/>
  <c r="Q20" i="25"/>
  <c r="U20" i="25" s="1"/>
  <c r="Q33" i="25" l="1"/>
  <c r="U33" i="25" s="1"/>
  <c r="V88" i="30"/>
  <c r="E95" i="32"/>
  <c r="E95" i="44"/>
  <c r="E94" i="31"/>
  <c r="E95" i="45"/>
  <c r="E93" i="30"/>
  <c r="R14" i="25"/>
  <c r="R20" i="25" s="1"/>
  <c r="R33" i="25" s="1"/>
  <c r="R35" i="25" s="1"/>
  <c r="R36" i="25" s="1"/>
  <c r="F14" i="40"/>
  <c r="E87" i="31"/>
  <c r="E88" i="32"/>
  <c r="E88" i="45"/>
  <c r="E86" i="30"/>
  <c r="E88" i="44"/>
  <c r="U92" i="30"/>
  <c r="U96" i="30" s="1"/>
  <c r="U97" i="30" s="1"/>
  <c r="P35" i="25"/>
  <c r="P36" i="25" s="1"/>
  <c r="E90" i="44" l="1"/>
  <c r="E90" i="45"/>
  <c r="E90" i="32"/>
  <c r="E88" i="30"/>
  <c r="E89" i="31"/>
  <c r="F21" i="40"/>
  <c r="K94" i="31"/>
  <c r="K87" i="31"/>
  <c r="G11" i="40"/>
  <c r="V92" i="30"/>
  <c r="Q35" i="25"/>
  <c r="Q36" i="25" s="1"/>
  <c r="F37" i="40" l="1"/>
  <c r="K89" i="31"/>
  <c r="E94" i="32"/>
  <c r="E92" i="30"/>
  <c r="E94" i="45"/>
  <c r="V96" i="30"/>
  <c r="E93" i="31"/>
  <c r="E94" i="44"/>
  <c r="G14" i="40"/>
  <c r="S14" i="25"/>
  <c r="S20" i="25" s="1"/>
  <c r="S33" i="25" s="1"/>
  <c r="S35" i="25" s="1"/>
  <c r="S36" i="25" s="1"/>
  <c r="E98" i="45" l="1"/>
  <c r="E96" i="30"/>
  <c r="E97" i="31"/>
  <c r="E98" i="44"/>
  <c r="V97" i="30"/>
  <c r="E98" i="32"/>
  <c r="L87" i="31"/>
  <c r="H11" i="40"/>
  <c r="L94" i="31"/>
  <c r="G21" i="40"/>
  <c r="K93" i="31"/>
  <c r="K97" i="31" s="1"/>
  <c r="K98" i="31" s="1"/>
  <c r="F39" i="40"/>
  <c r="F40" i="40" s="1"/>
  <c r="T14" i="25" l="1"/>
  <c r="T20" i="25" s="1"/>
  <c r="T33" i="25" s="1"/>
  <c r="T35" i="25" s="1"/>
  <c r="T36" i="25" s="1"/>
  <c r="H14" i="40"/>
  <c r="E99" i="32"/>
  <c r="E99" i="44"/>
  <c r="E98" i="31"/>
  <c r="E99" i="45"/>
  <c r="E97" i="30"/>
  <c r="L89" i="31"/>
  <c r="G37" i="40"/>
  <c r="H21" i="40" l="1"/>
  <c r="M94" i="31"/>
  <c r="M87" i="31"/>
  <c r="I11" i="40"/>
  <c r="I14" i="40" s="1"/>
  <c r="L93" i="31"/>
  <c r="L97" i="31" s="1"/>
  <c r="L98" i="31" s="1"/>
  <c r="G39" i="40"/>
  <c r="G40" i="40" s="1"/>
  <c r="N87" i="31" l="1"/>
  <c r="N94" i="31"/>
  <c r="I21" i="40"/>
  <c r="J11" i="40"/>
  <c r="J14" i="40" s="1"/>
  <c r="H37" i="40"/>
  <c r="M89" i="31"/>
  <c r="J21" i="40" l="1"/>
  <c r="O94" i="31"/>
  <c r="O87" i="31"/>
  <c r="K11" i="40"/>
  <c r="K14" i="40" s="1"/>
  <c r="M93" i="31"/>
  <c r="M97" i="31" s="1"/>
  <c r="M98" i="31" s="1"/>
  <c r="H39" i="40"/>
  <c r="H40" i="40" s="1"/>
  <c r="N89" i="31"/>
  <c r="I37" i="40"/>
  <c r="L11" i="40" l="1"/>
  <c r="L14" i="40" s="1"/>
  <c r="P87" i="31"/>
  <c r="K21" i="40"/>
  <c r="P94" i="31"/>
  <c r="N93" i="31"/>
  <c r="N97" i="31" s="1"/>
  <c r="N98" i="31" s="1"/>
  <c r="I39" i="40"/>
  <c r="I40" i="40" s="1"/>
  <c r="O89" i="31"/>
  <c r="J37" i="40"/>
  <c r="K37" i="40" l="1"/>
  <c r="P89" i="31"/>
  <c r="J39" i="40"/>
  <c r="J40" i="40" s="1"/>
  <c r="O93" i="31"/>
  <c r="O97" i="31" s="1"/>
  <c r="O98" i="31" s="1"/>
  <c r="L21" i="40"/>
  <c r="Q94" i="31"/>
  <c r="M11" i="40"/>
  <c r="M14" i="40" s="1"/>
  <c r="Q87" i="31"/>
  <c r="M21" i="40" l="1"/>
  <c r="R94" i="31"/>
  <c r="R87" i="31"/>
  <c r="N11" i="40"/>
  <c r="N14" i="40" s="1"/>
  <c r="L37" i="40"/>
  <c r="Q89" i="31"/>
  <c r="K39" i="40"/>
  <c r="K40" i="40" s="1"/>
  <c r="P93" i="31"/>
  <c r="P97" i="31" s="1"/>
  <c r="P98" i="31" s="1"/>
  <c r="Q93" i="31" l="1"/>
  <c r="Q97" i="31" s="1"/>
  <c r="Q98" i="31" s="1"/>
  <c r="L39" i="40"/>
  <c r="L40" i="40" s="1"/>
  <c r="S94" i="31"/>
  <c r="S87" i="31"/>
  <c r="N21" i="40"/>
  <c r="O11" i="40"/>
  <c r="O14" i="40" s="1"/>
  <c r="R89" i="31"/>
  <c r="M37" i="40"/>
  <c r="T94" i="31" l="1"/>
  <c r="P11" i="40"/>
  <c r="P14" i="40" s="1"/>
  <c r="T87" i="31"/>
  <c r="O21" i="40"/>
  <c r="S89" i="31"/>
  <c r="N37" i="40"/>
  <c r="R93" i="31"/>
  <c r="R97" i="31" s="1"/>
  <c r="R98" i="31" s="1"/>
  <c r="M39" i="40"/>
  <c r="M40" i="40" s="1"/>
  <c r="S93" i="31" l="1"/>
  <c r="S97" i="31" s="1"/>
  <c r="S98" i="31" s="1"/>
  <c r="N39" i="40"/>
  <c r="N40" i="40" s="1"/>
  <c r="O37" i="40"/>
  <c r="T89" i="31"/>
  <c r="Q11" i="40"/>
  <c r="Q14" i="40" s="1"/>
  <c r="U14" i="40" s="1"/>
  <c r="U87" i="31"/>
  <c r="U94" i="31"/>
  <c r="P21" i="40"/>
  <c r="O39" i="40" l="1"/>
  <c r="O40" i="40" s="1"/>
  <c r="T93" i="31"/>
  <c r="T97" i="31" s="1"/>
  <c r="T98" i="31" s="1"/>
  <c r="P37" i="40"/>
  <c r="U89" i="31"/>
  <c r="Q21" i="40"/>
  <c r="U21" i="40" s="1"/>
  <c r="V94" i="31"/>
  <c r="V87" i="31"/>
  <c r="F11" i="41"/>
  <c r="F86" i="30" l="1"/>
  <c r="F87" i="31"/>
  <c r="F88" i="45"/>
  <c r="F88" i="44"/>
  <c r="F88" i="32"/>
  <c r="R11" i="40"/>
  <c r="R14" i="40" s="1"/>
  <c r="R21" i="40" s="1"/>
  <c r="R37" i="40" s="1"/>
  <c r="R39" i="40" s="1"/>
  <c r="R40" i="40" s="1"/>
  <c r="F14" i="41"/>
  <c r="F95" i="44"/>
  <c r="F95" i="45"/>
  <c r="F93" i="30"/>
  <c r="F95" i="32"/>
  <c r="F94" i="31"/>
  <c r="V89" i="31"/>
  <c r="Q37" i="40"/>
  <c r="U37" i="40" s="1"/>
  <c r="P39" i="40"/>
  <c r="P40" i="40" s="1"/>
  <c r="U93" i="31"/>
  <c r="U97" i="31" s="1"/>
  <c r="U98" i="31" s="1"/>
  <c r="K88" i="32" l="1"/>
  <c r="K95" i="32"/>
  <c r="F20" i="41"/>
  <c r="G11" i="41"/>
  <c r="V93" i="31"/>
  <c r="Q39" i="40"/>
  <c r="Q40" i="40" s="1"/>
  <c r="F90" i="32"/>
  <c r="F88" i="30"/>
  <c r="F89" i="31"/>
  <c r="F90" i="44"/>
  <c r="F90" i="45"/>
  <c r="F94" i="45" l="1"/>
  <c r="F92" i="30"/>
  <c r="V97" i="31"/>
  <c r="F94" i="32"/>
  <c r="F93" i="31"/>
  <c r="F94" i="44"/>
  <c r="G14" i="41"/>
  <c r="S11" i="40"/>
  <c r="S14" i="40" s="1"/>
  <c r="S21" i="40" s="1"/>
  <c r="S37" i="40" s="1"/>
  <c r="S39" i="40" s="1"/>
  <c r="S40" i="40" s="1"/>
  <c r="F33" i="41"/>
  <c r="K90" i="32"/>
  <c r="L95" i="32" l="1"/>
  <c r="H11" i="41"/>
  <c r="L88" i="32"/>
  <c r="G20" i="41"/>
  <c r="F98" i="45"/>
  <c r="F97" i="31"/>
  <c r="F98" i="32"/>
  <c r="V98" i="31"/>
  <c r="F98" i="44"/>
  <c r="F96" i="30"/>
  <c r="K94" i="32"/>
  <c r="K98" i="32" s="1"/>
  <c r="K99" i="32" s="1"/>
  <c r="F35" i="41"/>
  <c r="F36" i="41" s="1"/>
  <c r="G33" i="41" l="1"/>
  <c r="L90" i="32"/>
  <c r="T11" i="40"/>
  <c r="T14" i="40" s="1"/>
  <c r="T21" i="40" s="1"/>
  <c r="T37" i="40" s="1"/>
  <c r="T39" i="40" s="1"/>
  <c r="T40" i="40" s="1"/>
  <c r="H14" i="41"/>
  <c r="F99" i="44"/>
  <c r="F97" i="30"/>
  <c r="F99" i="45"/>
  <c r="F98" i="31"/>
  <c r="F99" i="32"/>
  <c r="M88" i="32" l="1"/>
  <c r="M95" i="32"/>
  <c r="H20" i="41"/>
  <c r="I11" i="41"/>
  <c r="I14" i="41" s="1"/>
  <c r="G35" i="41"/>
  <c r="G36" i="41" s="1"/>
  <c r="L94" i="32"/>
  <c r="L98" i="32" s="1"/>
  <c r="L99" i="32" s="1"/>
  <c r="N88" i="32" l="1"/>
  <c r="J11" i="41"/>
  <c r="J14" i="41" s="1"/>
  <c r="I20" i="41"/>
  <c r="N95" i="32"/>
  <c r="M90" i="32"/>
  <c r="H33" i="41"/>
  <c r="J20" i="41" l="1"/>
  <c r="O88" i="32"/>
  <c r="O95" i="32"/>
  <c r="K11" i="41"/>
  <c r="K14" i="41" s="1"/>
  <c r="H35" i="41"/>
  <c r="H36" i="41" s="1"/>
  <c r="M94" i="32"/>
  <c r="M98" i="32" s="1"/>
  <c r="M99" i="32" s="1"/>
  <c r="I33" i="41"/>
  <c r="N90" i="32"/>
  <c r="I35" i="41" l="1"/>
  <c r="I36" i="41" s="1"/>
  <c r="N94" i="32"/>
  <c r="N98" i="32" s="1"/>
  <c r="N99" i="32" s="1"/>
  <c r="P95" i="32"/>
  <c r="K20" i="41"/>
  <c r="L11" i="41"/>
  <c r="L14" i="41" s="1"/>
  <c r="P88" i="32"/>
  <c r="O90" i="32"/>
  <c r="J33" i="41"/>
  <c r="O94" i="32" l="1"/>
  <c r="O98" i="32" s="1"/>
  <c r="O99" i="32" s="1"/>
  <c r="J35" i="41"/>
  <c r="J36" i="41" s="1"/>
  <c r="K33" i="41"/>
  <c r="P90" i="32"/>
  <c r="Q88" i="32"/>
  <c r="Q95" i="32"/>
  <c r="M11" i="41"/>
  <c r="M14" i="41" s="1"/>
  <c r="L20" i="41"/>
  <c r="P94" i="32" l="1"/>
  <c r="P98" i="32" s="1"/>
  <c r="P99" i="32" s="1"/>
  <c r="K35" i="41"/>
  <c r="K36" i="41" s="1"/>
  <c r="Q90" i="32"/>
  <c r="L33" i="41"/>
  <c r="M20" i="41"/>
  <c r="R88" i="32"/>
  <c r="R95" i="32"/>
  <c r="N11" i="41"/>
  <c r="N14" i="41" s="1"/>
  <c r="N20" i="41" l="1"/>
  <c r="S95" i="32"/>
  <c r="O11" i="41"/>
  <c r="O14" i="41" s="1"/>
  <c r="S88" i="32"/>
  <c r="M33" i="41"/>
  <c r="R90" i="32"/>
  <c r="Q94" i="32"/>
  <c r="Q98" i="32" s="1"/>
  <c r="Q99" i="32" s="1"/>
  <c r="L35" i="41"/>
  <c r="L36" i="41" s="1"/>
  <c r="S90" i="32" l="1"/>
  <c r="N33" i="41"/>
  <c r="R94" i="32"/>
  <c r="R98" i="32" s="1"/>
  <c r="R99" i="32" s="1"/>
  <c r="M35" i="41"/>
  <c r="M36" i="41" s="1"/>
  <c r="T88" i="32"/>
  <c r="P11" i="41"/>
  <c r="P14" i="41" s="1"/>
  <c r="O20" i="41"/>
  <c r="T95" i="32"/>
  <c r="N35" i="41" l="1"/>
  <c r="N36" i="41" s="1"/>
  <c r="S94" i="32"/>
  <c r="S98" i="32" s="1"/>
  <c r="S99" i="32" s="1"/>
  <c r="T90" i="32"/>
  <c r="O33" i="41"/>
  <c r="P20" i="41"/>
  <c r="U88" i="32"/>
  <c r="U95" i="32"/>
  <c r="Q11" i="41"/>
  <c r="Q14" i="41" s="1"/>
  <c r="U14" i="41" s="1"/>
  <c r="V95" i="32" l="1"/>
  <c r="V88" i="32"/>
  <c r="F11" i="42"/>
  <c r="Q20" i="41"/>
  <c r="U20" i="41" s="1"/>
  <c r="P33" i="41"/>
  <c r="U90" i="32"/>
  <c r="O35" i="41"/>
  <c r="O36" i="41" s="1"/>
  <c r="T94" i="32"/>
  <c r="T98" i="32" s="1"/>
  <c r="T99" i="32" s="1"/>
  <c r="G86" i="30" l="1"/>
  <c r="G88" i="44"/>
  <c r="G88" i="32"/>
  <c r="G87" i="31"/>
  <c r="G88" i="45"/>
  <c r="G94" i="31"/>
  <c r="G95" i="44"/>
  <c r="G95" i="32"/>
  <c r="G95" i="45"/>
  <c r="G93" i="30"/>
  <c r="U94" i="32"/>
  <c r="U98" i="32" s="1"/>
  <c r="U99" i="32" s="1"/>
  <c r="P35" i="41"/>
  <c r="P36" i="41" s="1"/>
  <c r="Q33" i="41"/>
  <c r="U33" i="41" s="1"/>
  <c r="V90" i="32"/>
  <c r="R11" i="41"/>
  <c r="R14" i="41" s="1"/>
  <c r="R20" i="41" s="1"/>
  <c r="R33" i="41" s="1"/>
  <c r="R35" i="41" s="1"/>
  <c r="R36" i="41" s="1"/>
  <c r="F14" i="42"/>
  <c r="K95" i="44" l="1"/>
  <c r="K88" i="44"/>
  <c r="F20" i="42"/>
  <c r="G11" i="42"/>
  <c r="G88" i="30"/>
  <c r="G90" i="32"/>
  <c r="G90" i="45"/>
  <c r="G90" i="44"/>
  <c r="G89" i="31"/>
  <c r="Q35" i="41"/>
  <c r="Q36" i="41" s="1"/>
  <c r="V94" i="32"/>
  <c r="S11" i="41" l="1"/>
  <c r="S14" i="41" s="1"/>
  <c r="S20" i="41" s="1"/>
  <c r="S33" i="41" s="1"/>
  <c r="S35" i="41" s="1"/>
  <c r="S36" i="41" s="1"/>
  <c r="G14" i="42"/>
  <c r="G94" i="44"/>
  <c r="G92" i="30"/>
  <c r="G94" i="32"/>
  <c r="G94" i="45"/>
  <c r="V98" i="32"/>
  <c r="G93" i="31"/>
  <c r="F33" i="42"/>
  <c r="K90" i="44"/>
  <c r="F35" i="42" l="1"/>
  <c r="F36" i="42" s="1"/>
  <c r="K94" i="44"/>
  <c r="K98" i="44" s="1"/>
  <c r="K99" i="44" s="1"/>
  <c r="L95" i="44"/>
  <c r="L88" i="44"/>
  <c r="H11" i="42"/>
  <c r="G20" i="42"/>
  <c r="V99" i="32"/>
  <c r="G97" i="31"/>
  <c r="G96" i="30"/>
  <c r="G98" i="44"/>
  <c r="G98" i="32"/>
  <c r="G98" i="45"/>
  <c r="G97" i="30" l="1"/>
  <c r="G99" i="32"/>
  <c r="G99" i="44"/>
  <c r="G98" i="31"/>
  <c r="G99" i="45"/>
  <c r="G33" i="42"/>
  <c r="L90" i="44"/>
  <c r="H14" i="42"/>
  <c r="T11" i="41"/>
  <c r="T14" i="41" s="1"/>
  <c r="T20" i="41" s="1"/>
  <c r="T33" i="41" s="1"/>
  <c r="T35" i="41" s="1"/>
  <c r="T36" i="41" s="1"/>
  <c r="H20" i="42" l="1"/>
  <c r="I11" i="42"/>
  <c r="I14" i="42" s="1"/>
  <c r="M88" i="44"/>
  <c r="M95" i="44"/>
  <c r="G35" i="42"/>
  <c r="G36" i="42" s="1"/>
  <c r="L94" i="44"/>
  <c r="L98" i="44" s="1"/>
  <c r="L99" i="44" s="1"/>
  <c r="N95" i="44" l="1"/>
  <c r="N88" i="44"/>
  <c r="I20" i="42"/>
  <c r="J11" i="42"/>
  <c r="J14" i="42" s="1"/>
  <c r="M90" i="44"/>
  <c r="H33" i="42"/>
  <c r="O95" i="44" l="1"/>
  <c r="O88" i="44"/>
  <c r="K11" i="42"/>
  <c r="K14" i="42" s="1"/>
  <c r="J20" i="42"/>
  <c r="H35" i="42"/>
  <c r="H36" i="42" s="1"/>
  <c r="M94" i="44"/>
  <c r="M98" i="44" s="1"/>
  <c r="M99" i="44" s="1"/>
  <c r="I33" i="42"/>
  <c r="N90" i="44"/>
  <c r="O90" i="44" l="1"/>
  <c r="J33" i="42"/>
  <c r="P95" i="44"/>
  <c r="P88" i="44"/>
  <c r="K20" i="42"/>
  <c r="L11" i="42"/>
  <c r="L14" i="42" s="1"/>
  <c r="N94" i="44"/>
  <c r="N98" i="44" s="1"/>
  <c r="N99" i="44" s="1"/>
  <c r="I35" i="42"/>
  <c r="I36" i="42" s="1"/>
  <c r="Q88" i="44" l="1"/>
  <c r="L20" i="42"/>
  <c r="Q95" i="44"/>
  <c r="M11" i="42"/>
  <c r="M14" i="42" s="1"/>
  <c r="K33" i="42"/>
  <c r="P90" i="44"/>
  <c r="O94" i="44"/>
  <c r="O98" i="44" s="1"/>
  <c r="O99" i="44" s="1"/>
  <c r="J35" i="42"/>
  <c r="J36" i="42" s="1"/>
  <c r="K35" i="42" l="1"/>
  <c r="K36" i="42" s="1"/>
  <c r="P94" i="44"/>
  <c r="P98" i="44" s="1"/>
  <c r="P99" i="44" s="1"/>
  <c r="R88" i="44"/>
  <c r="R95" i="44"/>
  <c r="N11" i="42"/>
  <c r="N14" i="42" s="1"/>
  <c r="M20" i="42"/>
  <c r="L33" i="42"/>
  <c r="Q90" i="44"/>
  <c r="S88" i="44" l="1"/>
  <c r="N20" i="42"/>
  <c r="S95" i="44"/>
  <c r="O11" i="42"/>
  <c r="O14" i="42" s="1"/>
  <c r="Q94" i="44"/>
  <c r="Q98" i="44" s="1"/>
  <c r="Q99" i="44" s="1"/>
  <c r="L35" i="42"/>
  <c r="L36" i="42" s="1"/>
  <c r="R90" i="44"/>
  <c r="M33" i="42"/>
  <c r="R94" i="44" l="1"/>
  <c r="R98" i="44" s="1"/>
  <c r="R99" i="44" s="1"/>
  <c r="M35" i="42"/>
  <c r="M36" i="42" s="1"/>
  <c r="T88" i="44"/>
  <c r="P11" i="42"/>
  <c r="P14" i="42" s="1"/>
  <c r="T95" i="44"/>
  <c r="O20" i="42"/>
  <c r="N33" i="42"/>
  <c r="S90" i="44"/>
  <c r="U95" i="44" l="1"/>
  <c r="U88" i="44"/>
  <c r="P20" i="42"/>
  <c r="Q11" i="42"/>
  <c r="Q14" i="42" s="1"/>
  <c r="U14" i="42" s="1"/>
  <c r="N35" i="42"/>
  <c r="N36" i="42" s="1"/>
  <c r="S94" i="44"/>
  <c r="S98" i="44" s="1"/>
  <c r="S99" i="44" s="1"/>
  <c r="O33" i="42"/>
  <c r="T90" i="44"/>
  <c r="T94" i="44" l="1"/>
  <c r="T98" i="44" s="1"/>
  <c r="T99" i="44" s="1"/>
  <c r="O35" i="42"/>
  <c r="O36" i="42" s="1"/>
  <c r="V95" i="44"/>
  <c r="V88" i="44"/>
  <c r="Q20" i="42"/>
  <c r="U20" i="42" s="1"/>
  <c r="F11" i="43"/>
  <c r="U90" i="44"/>
  <c r="P33" i="42"/>
  <c r="P35" i="42" l="1"/>
  <c r="P36" i="42" s="1"/>
  <c r="U94" i="44"/>
  <c r="U98" i="44" s="1"/>
  <c r="U99" i="44" s="1"/>
  <c r="R11" i="42"/>
  <c r="R14" i="42" s="1"/>
  <c r="R20" i="42" s="1"/>
  <c r="R33" i="42" s="1"/>
  <c r="R35" i="42" s="1"/>
  <c r="R36" i="42" s="1"/>
  <c r="F14" i="43"/>
  <c r="H93" i="30"/>
  <c r="H95" i="45"/>
  <c r="H94" i="31"/>
  <c r="H95" i="32"/>
  <c r="H95" i="44"/>
  <c r="Q33" i="42"/>
  <c r="U33" i="42" s="1"/>
  <c r="V90" i="44"/>
  <c r="H87" i="31"/>
  <c r="H88" i="45"/>
  <c r="H88" i="32"/>
  <c r="H88" i="44"/>
  <c r="H86" i="30"/>
  <c r="F20" i="43" l="1"/>
  <c r="K95" i="45"/>
  <c r="G11" i="43"/>
  <c r="K88" i="45"/>
  <c r="H89" i="31"/>
  <c r="H90" i="45"/>
  <c r="H90" i="32"/>
  <c r="H88" i="30"/>
  <c r="H90" i="44"/>
  <c r="Q35" i="42"/>
  <c r="Q36" i="42" s="1"/>
  <c r="V94" i="44"/>
  <c r="S11" i="42" l="1"/>
  <c r="S14" i="42" s="1"/>
  <c r="S20" i="42" s="1"/>
  <c r="S33" i="42" s="1"/>
  <c r="S35" i="42" s="1"/>
  <c r="S36" i="42" s="1"/>
  <c r="G14" i="43"/>
  <c r="V98" i="44"/>
  <c r="H94" i="32"/>
  <c r="H94" i="45"/>
  <c r="H93" i="31"/>
  <c r="H92" i="30"/>
  <c r="H94" i="44"/>
  <c r="F33" i="43"/>
  <c r="K90" i="45"/>
  <c r="H96" i="30" l="1"/>
  <c r="V99" i="44"/>
  <c r="H98" i="45"/>
  <c r="H98" i="44"/>
  <c r="H98" i="32"/>
  <c r="H97" i="31"/>
  <c r="L95" i="45"/>
  <c r="L88" i="45"/>
  <c r="H11" i="43"/>
  <c r="G20" i="43"/>
  <c r="F35" i="43"/>
  <c r="F36" i="43" s="1"/>
  <c r="K94" i="45"/>
  <c r="K98" i="45" s="1"/>
  <c r="K99" i="45" s="1"/>
  <c r="G33" i="43" l="1"/>
  <c r="L90" i="45"/>
  <c r="H97" i="30"/>
  <c r="H98" i="31"/>
  <c r="H99" i="45"/>
  <c r="H99" i="44"/>
  <c r="H99" i="32"/>
  <c r="T11" i="42"/>
  <c r="T14" i="42" s="1"/>
  <c r="T20" i="42" s="1"/>
  <c r="T33" i="42" s="1"/>
  <c r="T35" i="42" s="1"/>
  <c r="T36" i="42" s="1"/>
  <c r="H14" i="43"/>
  <c r="M95" i="45" l="1"/>
  <c r="M88" i="45"/>
  <c r="H20" i="43"/>
  <c r="I11" i="43"/>
  <c r="I14" i="43" s="1"/>
  <c r="L94" i="45"/>
  <c r="L98" i="45" s="1"/>
  <c r="L99" i="45" s="1"/>
  <c r="G35" i="43"/>
  <c r="G36" i="43" s="1"/>
  <c r="I20" i="43" l="1"/>
  <c r="N95" i="45"/>
  <c r="N88" i="45"/>
  <c r="J11" i="43"/>
  <c r="J14" i="43" s="1"/>
  <c r="M90" i="45"/>
  <c r="H33" i="43"/>
  <c r="M94" i="45" l="1"/>
  <c r="M98" i="45" s="1"/>
  <c r="M99" i="45" s="1"/>
  <c r="H35" i="43"/>
  <c r="H36" i="43" s="1"/>
  <c r="J20" i="43"/>
  <c r="O88" i="45"/>
  <c r="O95" i="45"/>
  <c r="K11" i="43"/>
  <c r="K14" i="43" s="1"/>
  <c r="N90" i="45"/>
  <c r="I33" i="43"/>
  <c r="K20" i="43" l="1"/>
  <c r="L11" i="43"/>
  <c r="L14" i="43" s="1"/>
  <c r="P95" i="45"/>
  <c r="P88" i="45"/>
  <c r="O90" i="45"/>
  <c r="J33" i="43"/>
  <c r="N94" i="45"/>
  <c r="N98" i="45" s="1"/>
  <c r="N99" i="45" s="1"/>
  <c r="I35" i="43"/>
  <c r="I36" i="43" s="1"/>
  <c r="O94" i="45" l="1"/>
  <c r="O98" i="45" s="1"/>
  <c r="O99" i="45" s="1"/>
  <c r="J35" i="43"/>
  <c r="J36" i="43" s="1"/>
  <c r="Q95" i="45"/>
  <c r="Q88" i="45"/>
  <c r="M11" i="43"/>
  <c r="M14" i="43" s="1"/>
  <c r="L20" i="43"/>
  <c r="K33" i="43"/>
  <c r="P90" i="45"/>
  <c r="K35" i="43" l="1"/>
  <c r="K36" i="43" s="1"/>
  <c r="P94" i="45"/>
  <c r="P98" i="45" s="1"/>
  <c r="P99" i="45" s="1"/>
  <c r="L33" i="43"/>
  <c r="Q90" i="45"/>
  <c r="M20" i="43"/>
  <c r="R88" i="45"/>
  <c r="R95" i="45"/>
  <c r="N11" i="43"/>
  <c r="N14" i="43" s="1"/>
  <c r="M33" i="43" l="1"/>
  <c r="R90" i="45"/>
  <c r="Q94" i="45"/>
  <c r="Q98" i="45" s="1"/>
  <c r="Q99" i="45" s="1"/>
  <c r="L35" i="43"/>
  <c r="L36" i="43" s="1"/>
  <c r="S88" i="45"/>
  <c r="S95" i="45"/>
  <c r="N20" i="43"/>
  <c r="O11" i="43"/>
  <c r="O14" i="43" s="1"/>
  <c r="R94" i="45" l="1"/>
  <c r="R98" i="45" s="1"/>
  <c r="R99" i="45" s="1"/>
  <c r="M35" i="43"/>
  <c r="M36" i="43" s="1"/>
  <c r="T88" i="45"/>
  <c r="T95" i="45"/>
  <c r="P11" i="43"/>
  <c r="P14" i="43" s="1"/>
  <c r="O20" i="43"/>
  <c r="S90" i="45"/>
  <c r="N33" i="43"/>
  <c r="T90" i="45" l="1"/>
  <c r="O33" i="43"/>
  <c r="N35" i="43"/>
  <c r="N36" i="43" s="1"/>
  <c r="S94" i="45"/>
  <c r="S98" i="45" s="1"/>
  <c r="S99" i="45" s="1"/>
  <c r="U95" i="45"/>
  <c r="U88" i="45"/>
  <c r="P20" i="43"/>
  <c r="Q11" i="43"/>
  <c r="Q14" i="43" s="1"/>
  <c r="U14" i="43" s="1"/>
  <c r="U90" i="45" l="1"/>
  <c r="P33" i="43"/>
  <c r="T94" i="45"/>
  <c r="T98" i="45" s="1"/>
  <c r="T99" i="45" s="1"/>
  <c r="O35" i="43"/>
  <c r="O36" i="43" s="1"/>
  <c r="V95" i="45"/>
  <c r="Q20" i="43"/>
  <c r="U20" i="43" s="1"/>
  <c r="V88" i="45"/>
  <c r="U94" i="45" l="1"/>
  <c r="U98" i="45" s="1"/>
  <c r="U99" i="45" s="1"/>
  <c r="P35" i="43"/>
  <c r="P36" i="43" s="1"/>
  <c r="I87" i="31"/>
  <c r="I88" i="44"/>
  <c r="I88" i="32"/>
  <c r="I86" i="30"/>
  <c r="I88" i="45"/>
  <c r="V90" i="45"/>
  <c r="Q33" i="43"/>
  <c r="U33" i="43" s="1"/>
  <c r="I93" i="30"/>
  <c r="I95" i="32"/>
  <c r="I95" i="45"/>
  <c r="I95" i="44"/>
  <c r="I94" i="31"/>
  <c r="I88" i="30" l="1"/>
  <c r="I90" i="44"/>
  <c r="I90" i="45"/>
  <c r="I90" i="32"/>
  <c r="I89" i="31"/>
  <c r="V94" i="45"/>
  <c r="Q35" i="43"/>
  <c r="Q36" i="43" s="1"/>
  <c r="I92" i="30" l="1"/>
  <c r="I94" i="32"/>
  <c r="V98" i="45"/>
  <c r="I94" i="45"/>
  <c r="I94" i="44"/>
  <c r="I93" i="31"/>
  <c r="I98" i="45" l="1"/>
  <c r="I97" i="31"/>
  <c r="I98" i="32"/>
  <c r="V99" i="45"/>
  <c r="I96" i="30"/>
  <c r="I98" i="44"/>
  <c r="I99" i="44" l="1"/>
  <c r="I97" i="30"/>
  <c r="I99" i="45"/>
  <c r="I98" i="31"/>
  <c r="I99" i="32"/>
</calcChain>
</file>

<file path=xl/sharedStrings.xml><?xml version="1.0" encoding="utf-8"?>
<sst xmlns="http://schemas.openxmlformats.org/spreadsheetml/2006/main" count="3022" uniqueCount="365">
  <si>
    <t>Fiscal Year</t>
  </si>
  <si>
    <t>Sun</t>
  </si>
  <si>
    <t>Revenue</t>
  </si>
  <si>
    <t>COGS</t>
  </si>
  <si>
    <t>GROSS MARGIN</t>
  </si>
  <si>
    <t>Variable Expenses</t>
  </si>
  <si>
    <t>EBITDA</t>
  </si>
  <si>
    <t>Depreciation &amp; Amortization</t>
  </si>
  <si>
    <t>EBIT</t>
  </si>
  <si>
    <t>Net Interest Expense</t>
  </si>
  <si>
    <t>Net Profit Before Tax</t>
  </si>
  <si>
    <t>Tax Expense</t>
  </si>
  <si>
    <t>Net Profit After Tax</t>
  </si>
  <si>
    <t>Net Profit After Tax %</t>
  </si>
  <si>
    <t>Operating Cash Flows</t>
  </si>
  <si>
    <t>EBITDA %</t>
  </si>
  <si>
    <t>Break Even Analysis</t>
  </si>
  <si>
    <t>Break Even Chart</t>
  </si>
  <si>
    <t>Gross Margin</t>
  </si>
  <si>
    <t>Break Even level</t>
  </si>
  <si>
    <t>Year Ending</t>
  </si>
  <si>
    <t>Growth %</t>
  </si>
  <si>
    <t>% of Revenue</t>
  </si>
  <si>
    <t>GROSS MARGIN %</t>
  </si>
  <si>
    <t>Fixed Expenses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</si>
  <si>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</si>
  <si>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</si>
  <si>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</si>
  <si>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</si>
  <si>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</si>
  <si>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</si>
  <si>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</si>
  <si>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</si>
  <si>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</si>
  <si>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</si>
  <si>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</si>
  <si>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</si>
  <si>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Cash Receipts</t>
  </si>
  <si>
    <t>Cash Payments</t>
  </si>
  <si>
    <t>Other Operating Cash Flows</t>
  </si>
  <si>
    <t>Capital Expenditure</t>
  </si>
  <si>
    <t>Other Investing Cash Flows</t>
  </si>
  <si>
    <t>Investing Cash Flows</t>
  </si>
  <si>
    <t>Debt Drawdowns/(Repayments)</t>
  </si>
  <si>
    <t>Equity Raisings/(Buybacks)</t>
  </si>
  <si>
    <t>Other Financing Cash Flows</t>
  </si>
  <si>
    <t>Financing Cash Flows</t>
  </si>
  <si>
    <t>Closing Cash</t>
  </si>
  <si>
    <t>Current Assets</t>
  </si>
  <si>
    <t>Non-Current Assets</t>
  </si>
  <si>
    <t>Total Assets</t>
  </si>
  <si>
    <t>Current Liabilities</t>
  </si>
  <si>
    <t>Non-Current Liabilities</t>
  </si>
  <si>
    <t>Total Liabilities</t>
  </si>
  <si>
    <t>Net Assets</t>
  </si>
  <si>
    <t>Net Current Assets</t>
  </si>
  <si>
    <t>Ordinary Equity</t>
  </si>
  <si>
    <t>Other Equity</t>
  </si>
  <si>
    <t>Retained Profits</t>
  </si>
  <si>
    <t>Total Equity</t>
  </si>
  <si>
    <t>Wages</t>
  </si>
  <si>
    <t>Misc</t>
  </si>
  <si>
    <t>Top Expenses To December 2023</t>
  </si>
  <si>
    <t>Top Expenses</t>
  </si>
  <si>
    <t>Month</t>
  </si>
  <si>
    <t>Mon-Fri</t>
  </si>
  <si>
    <t>Sat</t>
  </si>
  <si>
    <t>OOS Seasonal Assumptions</t>
  </si>
  <si>
    <t>Breakdown Seasonal Assumptions</t>
  </si>
  <si>
    <t>Salaries Assumptions</t>
  </si>
  <si>
    <t>Department</t>
  </si>
  <si>
    <t>Number Of Employees and Wages</t>
  </si>
  <si>
    <t>Totals</t>
  </si>
  <si>
    <t>Advertising</t>
  </si>
  <si>
    <t>BUDGET</t>
  </si>
  <si>
    <t>NET EXPENSES</t>
  </si>
  <si>
    <t>REVENUE</t>
  </si>
  <si>
    <t>PROFIT MARGINS</t>
  </si>
  <si>
    <t>DEBT TO EQUITY RATIO</t>
  </si>
  <si>
    <t>NO.</t>
  </si>
  <si>
    <t>NAME</t>
  </si>
  <si>
    <t>GOAL</t>
  </si>
  <si>
    <t>ACTUAL</t>
  </si>
  <si>
    <t>REMAINDER</t>
  </si>
  <si>
    <t>ADDITIONAL</t>
  </si>
  <si>
    <t>TOTAL</t>
  </si>
  <si>
    <t>GROSS</t>
  </si>
  <si>
    <t>NET</t>
  </si>
  <si>
    <t>CALENDAR</t>
  </si>
  <si>
    <t>DEBT</t>
  </si>
  <si>
    <t>EQUITY</t>
  </si>
  <si>
    <t>Balance Sheet 2023</t>
  </si>
  <si>
    <t>Planned Value</t>
  </si>
  <si>
    <t>Actual</t>
  </si>
  <si>
    <t>Task</t>
  </si>
  <si>
    <t>% OF GOAL REACHED</t>
  </si>
  <si>
    <t>ROI</t>
  </si>
  <si>
    <t>Variables</t>
  </si>
  <si>
    <t>Target</t>
  </si>
  <si>
    <t>Variance</t>
  </si>
  <si>
    <t>Average</t>
  </si>
  <si>
    <t>Totals2</t>
  </si>
  <si>
    <t>Overuns</t>
  </si>
  <si>
    <t>OOS Costs</t>
  </si>
  <si>
    <t>% Of Costs</t>
  </si>
  <si>
    <t>Areas</t>
  </si>
  <si>
    <t>Actual / Target</t>
  </si>
  <si>
    <t>% Target</t>
  </si>
  <si>
    <t>Location 1</t>
  </si>
  <si>
    <t>Location 2</t>
  </si>
  <si>
    <t>Location 3</t>
  </si>
  <si>
    <t>Location 4</t>
  </si>
  <si>
    <t>Location 5</t>
  </si>
  <si>
    <t>Location 6</t>
  </si>
  <si>
    <t>Total Revenue</t>
  </si>
  <si>
    <t>Total COGS</t>
  </si>
  <si>
    <t>Placeholder 1</t>
  </si>
  <si>
    <t>Placeholder 2</t>
  </si>
  <si>
    <t>Placeholder 3</t>
  </si>
  <si>
    <t>Placeholder 5</t>
  </si>
  <si>
    <t>Placeholder 6</t>
  </si>
  <si>
    <t>Placeholder 7</t>
  </si>
  <si>
    <t>Placeholder 8</t>
  </si>
  <si>
    <t>Total Variable Expenses</t>
  </si>
  <si>
    <t>Total Admin Salary and Wages</t>
  </si>
  <si>
    <t>Utilities</t>
  </si>
  <si>
    <t>Miscellaneous</t>
  </si>
  <si>
    <t>Placeholder7</t>
  </si>
  <si>
    <t>Placeholder8</t>
  </si>
  <si>
    <t>Placeholder9</t>
  </si>
  <si>
    <t>Placeholder10</t>
  </si>
  <si>
    <t>Placeholder11</t>
  </si>
  <si>
    <t>Placeholder12</t>
  </si>
  <si>
    <t>Placeholder13</t>
  </si>
  <si>
    <t>Placeholder14</t>
  </si>
  <si>
    <t>Placeholder15</t>
  </si>
  <si>
    <t>Total Fixed Expenses</t>
  </si>
  <si>
    <t>Total Depriciation &amp; Amortization</t>
  </si>
  <si>
    <t>Interest Expense</t>
  </si>
  <si>
    <t>Income Statement</t>
  </si>
  <si>
    <t>[Company Name]</t>
  </si>
  <si>
    <t>.</t>
  </si>
  <si>
    <t>Cash Flow Statement</t>
  </si>
  <si>
    <t>Model Name</t>
  </si>
  <si>
    <t>Go to the Table of Contents</t>
  </si>
  <si>
    <t>Cash Flow from Operating Activities</t>
  </si>
  <si>
    <t>Interest Paid</t>
  </si>
  <si>
    <t>Corporate Tax Paid</t>
  </si>
  <si>
    <t>CASH INFLOW</t>
  </si>
  <si>
    <t>CASH OUTFLOW</t>
  </si>
  <si>
    <t>Net Cash Flow from Operating Activities</t>
  </si>
  <si>
    <t>Cash Flow from Investing Activities</t>
  </si>
  <si>
    <t>Fixed Assets Capital Expenditure</t>
  </si>
  <si>
    <t>Net Cash Flow from Investing Activities</t>
  </si>
  <si>
    <t>Cash Flow from Financing Activities</t>
  </si>
  <si>
    <t>Debt Drawdowns</t>
  </si>
  <si>
    <t>Debt Repayments</t>
  </si>
  <si>
    <t>Ordinary Equity Raisings</t>
  </si>
  <si>
    <t>Ordinary Equity Buybacks</t>
  </si>
  <si>
    <t>Ordinary Equity Dividends Paid</t>
  </si>
  <si>
    <t>Net Cash Flow from Financing Activities</t>
  </si>
  <si>
    <t>Net Increase/(Decrease) in Cash Held</t>
  </si>
  <si>
    <t>Interest on Cash Breakdown</t>
  </si>
  <si>
    <t>Change in Cash (Pre-Corporate Tax &amp; Interest on Cash)</t>
  </si>
  <si>
    <t>Cash Flow to Capital Providers</t>
  </si>
  <si>
    <t>Cash Flow Available To Capital Providers (CFACP)</t>
  </si>
  <si>
    <t>Cash Flow Available to Equity (CFAE)</t>
  </si>
  <si>
    <t>Cash Flow Available for Dividends (CFAD)</t>
  </si>
  <si>
    <t>Cash Flow Statement, £</t>
  </si>
  <si>
    <t>Balance Sheet</t>
  </si>
  <si>
    <t>Financial Year</t>
  </si>
  <si>
    <t>Balance Sheet £</t>
  </si>
  <si>
    <t>Cash</t>
  </si>
  <si>
    <t>Accounts Receivable</t>
  </si>
  <si>
    <t>Inventory</t>
  </si>
  <si>
    <t>Total Current Assets</t>
  </si>
  <si>
    <t>Assets Closing Net Book Value</t>
  </si>
  <si>
    <t>CAPEX Prepayment</t>
  </si>
  <si>
    <t>Fixed Assets</t>
  </si>
  <si>
    <t>Total Non-Current Assets</t>
  </si>
  <si>
    <t>CAPEX Payable</t>
  </si>
  <si>
    <t>Accounts Payable</t>
  </si>
  <si>
    <t>Corporate Tax Payable</t>
  </si>
  <si>
    <t>Total Current Liabilities</t>
  </si>
  <si>
    <t>Debt</t>
  </si>
  <si>
    <t>Other Non-Current Liabilities</t>
  </si>
  <si>
    <t>Total Non-Current Liabilities</t>
  </si>
  <si>
    <t>Total Error Checks Result</t>
  </si>
  <si>
    <t>Alert Check (Negative Cash)</t>
  </si>
  <si>
    <t>Deviation</t>
  </si>
  <si>
    <t>-</t>
  </si>
  <si>
    <t>Admin Salaries &amp; Wages</t>
  </si>
  <si>
    <t>Financial year</t>
  </si>
  <si>
    <t>Placeholder</t>
  </si>
  <si>
    <t>Net Cash Flow from Operating Activities (Indirect)</t>
  </si>
  <si>
    <t>Change In Cash Held</t>
  </si>
  <si>
    <t>Non-Current Liabilties</t>
  </si>
  <si>
    <t>Income Statement Summer 2023</t>
  </si>
  <si>
    <t>Cash Flow Statement 2024</t>
  </si>
  <si>
    <t>Income Statement Summer 2024</t>
  </si>
  <si>
    <t>Balance Sheet 2024</t>
  </si>
  <si>
    <t>Direct Salaries and Wages</t>
  </si>
  <si>
    <t>COGS Placeholder 1</t>
  </si>
  <si>
    <t>COGS Placeholder 2</t>
  </si>
  <si>
    <t>COGS Placeholder 3</t>
  </si>
  <si>
    <t>COGS Placeholder 4</t>
  </si>
  <si>
    <t>COGS Placeholder 5</t>
  </si>
  <si>
    <t>Break Even Calculation</t>
  </si>
  <si>
    <t>Top Expenses To December 2024</t>
  </si>
  <si>
    <t>Number Of Employees</t>
  </si>
  <si>
    <t>Percentage Of Time Taken</t>
  </si>
  <si>
    <t>Run</t>
  </si>
  <si>
    <t>Planner Name:</t>
  </si>
  <si>
    <t>Manager:</t>
  </si>
  <si>
    <t>Planned</t>
  </si>
  <si>
    <t>Services Assumptions</t>
  </si>
  <si>
    <t>% Rise</t>
  </si>
  <si>
    <t>COGS Assumptions</t>
  </si>
  <si>
    <t>Building Rent</t>
  </si>
  <si>
    <t>Equipment Rental</t>
  </si>
  <si>
    <t>Cash Flow Statement 5 Years to December 2027</t>
  </si>
  <si>
    <t>Income Statement 5 Years to December 2027</t>
  </si>
  <si>
    <t>Balance Sheet 5 Years to December 2027</t>
  </si>
  <si>
    <t>Income Statement Summer 2027</t>
  </si>
  <si>
    <t>Cash Flow Statement Summer 2023</t>
  </si>
  <si>
    <t>Cash Flow Statement 2025</t>
  </si>
  <si>
    <t>Income Statement Summer 2025</t>
  </si>
  <si>
    <t>Balance Sheet 2025</t>
  </si>
  <si>
    <t>Cash Flow Statement 2026</t>
  </si>
  <si>
    <t>Income Statement Summer 2026</t>
  </si>
  <si>
    <t>Balance Sheet 2026</t>
  </si>
  <si>
    <t>Cash Flow Statement 2027</t>
  </si>
  <si>
    <t>Balance Sheet 2027</t>
  </si>
  <si>
    <t>Service 1</t>
  </si>
  <si>
    <t>Service 2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</si>
  <si>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</si>
  <si>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</si>
  <si>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</si>
  <si>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</si>
  <si>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</si>
  <si>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</si>
  <si>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</si>
  <si>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</si>
  <si>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</si>
  <si>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</si>
  <si>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</si>
  <si>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</si>
  <si>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Monthly Sales Assumptions</t>
  </si>
  <si>
    <t>Seasonal Assumptions</t>
  </si>
  <si>
    <t>Service</t>
  </si>
  <si>
    <t>Chief Operating Officer</t>
  </si>
  <si>
    <t>Office Lease</t>
  </si>
  <si>
    <t>Maintenance</t>
  </si>
  <si>
    <t>Expenditure Service 1</t>
  </si>
  <si>
    <t>Earned Service 1</t>
  </si>
  <si>
    <t>Expenditure Service 2</t>
  </si>
  <si>
    <t>Earned Service 2</t>
  </si>
  <si>
    <t>Expenditure Service 3</t>
  </si>
  <si>
    <t>Earned Service 3</t>
  </si>
  <si>
    <t>Track Planned Months vs Time Spent on Multiple Servcies in Multiple Locations</t>
  </si>
  <si>
    <t>Actual Months</t>
  </si>
  <si>
    <t>Target Months</t>
  </si>
  <si>
    <t>Service Percent Usage 2023</t>
  </si>
  <si>
    <t>Service Percent Usage 2024</t>
  </si>
  <si>
    <t>Service Percent Usage 2025</t>
  </si>
  <si>
    <t>Services KPIs</t>
  </si>
  <si>
    <t xml:space="preserve">Team Name: </t>
  </si>
  <si>
    <t>Marketing Manager</t>
  </si>
  <si>
    <t>Fuel</t>
  </si>
  <si>
    <t>Equipment Maintenance</t>
  </si>
  <si>
    <t>Insurance</t>
  </si>
  <si>
    <t>Marketing</t>
  </si>
  <si>
    <t>Percentage Increase From Previous Year</t>
  </si>
  <si>
    <t>Percentage</t>
  </si>
  <si>
    <t>Total</t>
  </si>
  <si>
    <t>Panel Maintenance</t>
  </si>
  <si>
    <t>Field Maintenance</t>
  </si>
  <si>
    <t>IT Manager</t>
  </si>
  <si>
    <t>Senior Installer</t>
  </si>
  <si>
    <t>Installer</t>
  </si>
  <si>
    <t>Percentage Increase</t>
  </si>
  <si>
    <t>Costs In Installing New Array</t>
  </si>
  <si>
    <t>Subscription</t>
  </si>
  <si>
    <t>PAYG</t>
  </si>
  <si>
    <t>Drop By</t>
  </si>
  <si>
    <t xml:space="preserve">Income Statement </t>
  </si>
  <si>
    <t>Superfast DC 150+kW</t>
  </si>
  <si>
    <t>Fast AC 43kW DC 50kW</t>
  </si>
  <si>
    <t>AC 7kW @ 45p Kw</t>
  </si>
  <si>
    <t>Ground Maintenance</t>
  </si>
  <si>
    <t>Misc Expenses</t>
  </si>
  <si>
    <t>I.T Equipment</t>
  </si>
  <si>
    <t>3rd Party HR Staff</t>
  </si>
  <si>
    <t>Placeholder6</t>
  </si>
  <si>
    <t>Website</t>
  </si>
  <si>
    <t>Max Traffic Total</t>
  </si>
  <si>
    <t>[EVC Station]</t>
  </si>
  <si>
    <t xml:space="preserve">Balance Sheet </t>
  </si>
  <si>
    <t>Project</t>
  </si>
  <si>
    <t>Public Sector Partner</t>
  </si>
  <si>
    <t>Project Number</t>
  </si>
  <si>
    <t>Owner Operator</t>
  </si>
  <si>
    <t>Private Sector Partner</t>
  </si>
  <si>
    <t>Operating Costs</t>
  </si>
  <si>
    <t>Dep &amp; Amortization</t>
  </si>
  <si>
    <t>Taxes</t>
  </si>
  <si>
    <t>Cash Flow from Operations</t>
  </si>
  <si>
    <t>Free Cash Flow to Public Equity Holders</t>
  </si>
  <si>
    <t>Richmond</t>
  </si>
  <si>
    <t>Windsor</t>
  </si>
  <si>
    <t>Redhill</t>
  </si>
  <si>
    <t>Guildford</t>
  </si>
  <si>
    <t>Total Non Current Assets</t>
  </si>
  <si>
    <t>Free Cash Flow From Operating Activities</t>
  </si>
  <si>
    <t>Increase Decrease Cash Held</t>
  </si>
  <si>
    <t>Cash Flow To Capital Providers</t>
  </si>
  <si>
    <t>Interest Expense On Debt</t>
  </si>
  <si>
    <t>Income Before Taxes (EBIT)</t>
  </si>
  <si>
    <t>BEA</t>
  </si>
  <si>
    <t>Salary Assumptions</t>
  </si>
  <si>
    <t>Service Assumptions</t>
  </si>
  <si>
    <t>KPI Spend</t>
  </si>
  <si>
    <t>Summary Charts</t>
  </si>
  <si>
    <t>Charge Point 1</t>
  </si>
  <si>
    <t>Charge Point 2</t>
  </si>
  <si>
    <t>Charge Point 3</t>
  </si>
  <si>
    <t>Charge Point 4</t>
  </si>
  <si>
    <t>Charge Point 5</t>
  </si>
  <si>
    <t>Charge Point 6</t>
  </si>
  <si>
    <t>Charge Point 7</t>
  </si>
  <si>
    <t>Charge Point 8</t>
  </si>
  <si>
    <t>Charge Point 9</t>
  </si>
  <si>
    <t>Charge Point 10</t>
  </si>
  <si>
    <t>Charge Point 11</t>
  </si>
  <si>
    <t>Charge Point 12</t>
  </si>
  <si>
    <t>Charge Point 13</t>
  </si>
  <si>
    <t>Charge Point 14</t>
  </si>
  <si>
    <t>Charge Point 15</t>
  </si>
  <si>
    <t>Charge Point 16</t>
  </si>
  <si>
    <t>Charge Point 17</t>
  </si>
  <si>
    <t>Charge Point 18</t>
  </si>
  <si>
    <t>Charge Point 19</t>
  </si>
  <si>
    <t>Charge Point 20</t>
  </si>
  <si>
    <t>Charge Point 21</t>
  </si>
  <si>
    <t>Charge Point 22</t>
  </si>
  <si>
    <t>Charge Point 23</t>
  </si>
  <si>
    <t>Charge Point 24</t>
  </si>
  <si>
    <t>Charge Point 25</t>
  </si>
  <si>
    <t>Actual Time Spent</t>
  </si>
  <si>
    <t>AVERAGE</t>
  </si>
  <si>
    <t>Actual Time Taken</t>
  </si>
  <si>
    <t>Ideal</t>
  </si>
  <si>
    <t>Ideal Time vs Actual Time</t>
  </si>
  <si>
    <t>TIME OVER Hours</t>
  </si>
  <si>
    <t>Ideal Total Hours</t>
  </si>
  <si>
    <t>Minutes</t>
  </si>
  <si>
    <t>Charging Point Tracker. Track users actual time spent in service area.</t>
  </si>
  <si>
    <t>Ideal Total Minutes</t>
  </si>
  <si>
    <t>TIME OVER Minutes</t>
  </si>
  <si>
    <t>Charge Point User</t>
  </si>
  <si>
    <t>Shop Manager</t>
  </si>
  <si>
    <t>Sop Assistant</t>
  </si>
  <si>
    <t>Charging Point Increase Percentage</t>
  </si>
  <si>
    <t>Extra Gained</t>
  </si>
  <si>
    <t>Avenue Revenue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</si>
</sst>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2" tint="-0.499984740745262"/>
      <name val="Arial"/>
      <family val="2"/>
    </font>
    <font>
      <sz val="10"/>
      <color theme="1"/>
      <name val="Arial"/>
      <family val="2"/>
    </font>
    <font>
      <shadow/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7" tint="-0.499984740745262"/>
      <name val="Arial"/>
      <family val="2"/>
    </font>
    <font>
      <sz val="18"/>
      <color theme="1" tint="0.34998626667073579"/>
      <name val="Century Gothic"/>
      <family val="2"/>
    </font>
    <font>
      <sz val="12"/>
      <color theme="8" tint="-0.249977111117893"/>
      <name val="Century Gothic"/>
      <family val="1"/>
    </font>
    <font>
      <sz val="10"/>
      <color theme="0"/>
      <name val="Century Gothic"/>
      <family val="2"/>
    </font>
    <font>
      <sz val="12"/>
      <color theme="1"/>
      <name val="Century Gothic"/>
      <family val="1"/>
    </font>
    <font>
      <sz val="11"/>
      <color theme="1" tint="0.1499984740745262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rgb="FFD46054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5"/>
      </patternFill>
    </fill>
  </fills>
  <borders count="9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8" tint="0.39997558519241921"/>
      </left>
      <right/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1" tint="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auto="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theme="1" tint="0.1499069185460982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theme="0"/>
      </left>
      <right/>
      <top style="thin">
        <color theme="0"/>
      </top>
      <bottom style="medium">
        <color theme="4" tint="0.39997558519241921"/>
      </bottom>
      <diagonal/>
    </border>
    <border>
      <left/>
      <right/>
      <top style="thin">
        <color theme="0"/>
      </top>
      <bottom style="medium">
        <color theme="4" tint="0.39997558519241921"/>
      </bottom>
      <diagonal/>
    </border>
    <border>
      <left/>
      <right style="medium">
        <color theme="0"/>
      </right>
      <top style="thin">
        <color theme="0"/>
      </top>
      <bottom style="medium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0691854609822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6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52" fillId="0" borderId="83" applyNumberFormat="0" applyFill="0" applyAlignment="0" applyProtection="0"/>
    <xf numFmtId="0" fontId="1" fillId="27" borderId="0" applyNumberFormat="0" applyBorder="0" applyAlignment="0" applyProtection="0"/>
  </cellStyleXfs>
  <cellXfs count="515">
    <xf numFmtId="0" fontId="0" fillId="0" borderId="0" xfId="0"/>
    <xf numFmtId="3" fontId="0" fillId="0" borderId="0" xfId="0" applyNumberFormat="1"/>
    <xf numFmtId="10" fontId="0" fillId="0" borderId="0" xfId="0" applyNumberFormat="1"/>
    <xf numFmtId="1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0" xfId="0" applyFont="1"/>
    <xf numFmtId="0" fontId="0" fillId="0" borderId="8" xfId="0" applyBorder="1" applyAlignment="1">
      <alignment horizontal="center"/>
    </xf>
    <xf numFmtId="0" fontId="0" fillId="6" borderId="0" xfId="0" applyFill="1"/>
    <xf numFmtId="9" fontId="0" fillId="0" borderId="0" xfId="1" applyFont="1" applyAlignment="1">
      <alignment horizontal="center"/>
    </xf>
    <xf numFmtId="0" fontId="0" fillId="3" borderId="10" xfId="0" applyFill="1" applyBorder="1"/>
    <xf numFmtId="9" fontId="0" fillId="4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2" fillId="0" borderId="0" xfId="0" applyFont="1"/>
    <xf numFmtId="0" fontId="0" fillId="3" borderId="9" xfId="0" applyFill="1" applyBorder="1"/>
    <xf numFmtId="0" fontId="0" fillId="3" borderId="3" xfId="0" applyFill="1" applyBorder="1"/>
    <xf numFmtId="3" fontId="0" fillId="4" borderId="0" xfId="0" applyNumberForma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3" fontId="0" fillId="4" borderId="11" xfId="0" applyNumberForma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9" fontId="0" fillId="4" borderId="7" xfId="0" applyNumberForma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0" fillId="4" borderId="3" xfId="0" applyNumberFormat="1" applyFill="1" applyBorder="1" applyAlignment="1">
      <alignment horizontal="center"/>
    </xf>
    <xf numFmtId="9" fontId="0" fillId="4" borderId="4" xfId="0" applyNumberFormat="1" applyFill="1" applyBorder="1" applyAlignment="1">
      <alignment horizontal="center"/>
    </xf>
    <xf numFmtId="9" fontId="0" fillId="4" borderId="9" xfId="1" applyFont="1" applyFill="1" applyBorder="1" applyAlignment="1">
      <alignment horizontal="center"/>
    </xf>
    <xf numFmtId="9" fontId="0" fillId="4" borderId="11" xfId="1" applyFont="1" applyFill="1" applyBorder="1" applyAlignment="1">
      <alignment horizontal="center"/>
    </xf>
    <xf numFmtId="9" fontId="0" fillId="4" borderId="10" xfId="1" applyFont="1" applyFill="1" applyBorder="1" applyAlignment="1">
      <alignment horizontal="center"/>
    </xf>
    <xf numFmtId="9" fontId="0" fillId="4" borderId="11" xfId="0" applyNumberFormat="1" applyFill="1" applyBorder="1" applyAlignment="1">
      <alignment horizontal="center"/>
    </xf>
    <xf numFmtId="10" fontId="0" fillId="4" borderId="8" xfId="0" applyNumberFormat="1" applyFill="1" applyBorder="1" applyAlignment="1">
      <alignment horizontal="center"/>
    </xf>
    <xf numFmtId="10" fontId="0" fillId="4" borderId="11" xfId="0" applyNumberFormat="1" applyFill="1" applyBorder="1" applyAlignment="1">
      <alignment horizontal="center"/>
    </xf>
    <xf numFmtId="9" fontId="0" fillId="4" borderId="9" xfId="0" applyNumberFormat="1" applyFill="1" applyBorder="1" applyAlignment="1">
      <alignment horizontal="center"/>
    </xf>
    <xf numFmtId="9" fontId="0" fillId="4" borderId="10" xfId="0" applyNumberFormat="1" applyFill="1" applyBorder="1" applyAlignment="1">
      <alignment horizontal="center"/>
    </xf>
    <xf numFmtId="10" fontId="0" fillId="4" borderId="5" xfId="0" applyNumberFormat="1" applyFill="1" applyBorder="1" applyAlignment="1">
      <alignment horizontal="center"/>
    </xf>
    <xf numFmtId="10" fontId="0" fillId="4" borderId="6" xfId="0" applyNumberFormat="1" applyFill="1" applyBorder="1" applyAlignment="1">
      <alignment horizontal="center"/>
    </xf>
    <xf numFmtId="10" fontId="0" fillId="4" borderId="9" xfId="0" applyNumberFormat="1" applyFill="1" applyBorder="1" applyAlignment="1">
      <alignment horizontal="center"/>
    </xf>
    <xf numFmtId="10" fontId="0" fillId="4" borderId="10" xfId="0" applyNumberFormat="1" applyFill="1" applyBorder="1" applyAlignment="1">
      <alignment horizontal="center"/>
    </xf>
    <xf numFmtId="0" fontId="10" fillId="0" borderId="0" xfId="0" applyFont="1" applyAlignment="1">
      <alignment horizontal="left" vertical="center" wrapText="1" indent="1"/>
    </xf>
    <xf numFmtId="0" fontId="11" fillId="7" borderId="24" xfId="0" applyFont="1" applyFill="1" applyBorder="1" applyAlignment="1">
      <alignment horizontal="left" vertical="center" wrapText="1" indent="1"/>
    </xf>
    <xf numFmtId="0" fontId="11" fillId="8" borderId="24" xfId="0" applyFont="1" applyFill="1" applyBorder="1" applyAlignment="1">
      <alignment horizontal="left" vertical="center" wrapText="1" indent="1"/>
    </xf>
    <xf numFmtId="0" fontId="11" fillId="2" borderId="24" xfId="0" applyFont="1" applyFill="1" applyBorder="1" applyAlignment="1">
      <alignment horizontal="left" vertical="center" wrapText="1" indent="1"/>
    </xf>
    <xf numFmtId="0" fontId="11" fillId="9" borderId="24" xfId="0" applyFont="1" applyFill="1" applyBorder="1" applyAlignment="1">
      <alignment horizontal="left" vertical="center" wrapText="1" indent="1"/>
    </xf>
    <xf numFmtId="0" fontId="9" fillId="10" borderId="24" xfId="0" applyFont="1" applyFill="1" applyBorder="1" applyAlignment="1">
      <alignment horizontal="left" vertical="center" wrapText="1" indent="1"/>
    </xf>
    <xf numFmtId="0" fontId="11" fillId="11" borderId="24" xfId="0" applyFont="1" applyFill="1" applyBorder="1" applyAlignment="1">
      <alignment horizontal="left" vertical="center" wrapText="1" indent="1"/>
    </xf>
    <xf numFmtId="0" fontId="11" fillId="12" borderId="24" xfId="0" applyFont="1" applyFill="1" applyBorder="1" applyAlignment="1">
      <alignment horizontal="left" vertical="center" wrapText="1" indent="1"/>
    </xf>
    <xf numFmtId="0" fontId="11" fillId="13" borderId="24" xfId="0" applyFont="1" applyFill="1" applyBorder="1" applyAlignment="1">
      <alignment horizontal="left" vertical="center" wrapText="1" indent="1"/>
    </xf>
    <xf numFmtId="0" fontId="10" fillId="0" borderId="25" xfId="0" applyFont="1" applyBorder="1" applyAlignment="1">
      <alignment horizontal="left" vertical="center" wrapText="1" indent="1"/>
    </xf>
    <xf numFmtId="9" fontId="10" fillId="0" borderId="25" xfId="1" applyFont="1" applyBorder="1" applyAlignment="1">
      <alignment horizontal="left" vertical="center" wrapText="1" indent="1"/>
    </xf>
    <xf numFmtId="1" fontId="10" fillId="0" borderId="25" xfId="0" applyNumberFormat="1" applyFont="1" applyBorder="1" applyAlignment="1">
      <alignment horizontal="left" vertical="center" wrapText="1" indent="1"/>
    </xf>
    <xf numFmtId="0" fontId="10" fillId="3" borderId="25" xfId="0" applyFont="1" applyFill="1" applyBorder="1" applyAlignment="1">
      <alignment horizontal="left" vertical="center" wrapText="1" indent="1"/>
    </xf>
    <xf numFmtId="9" fontId="10" fillId="3" borderId="25" xfId="1" applyFont="1" applyFill="1" applyBorder="1" applyAlignment="1">
      <alignment horizontal="left" vertical="center" wrapText="1" indent="1"/>
    </xf>
    <xf numFmtId="9" fontId="9" fillId="0" borderId="0" xfId="1" applyFont="1" applyAlignment="1">
      <alignment horizontal="left" vertical="center" wrapText="1" indent="1"/>
    </xf>
    <xf numFmtId="0" fontId="0" fillId="0" borderId="26" xfId="0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2" fillId="19" borderId="26" xfId="0" applyFont="1" applyFill="1" applyBorder="1" applyAlignment="1">
      <alignment horizontal="center" vertical="center" wrapText="1"/>
    </xf>
    <xf numFmtId="0" fontId="10" fillId="16" borderId="26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14" borderId="26" xfId="0" applyFont="1" applyFill="1" applyBorder="1" applyAlignment="1">
      <alignment horizontal="center" vertical="center" wrapText="1"/>
    </xf>
    <xf numFmtId="0" fontId="10" fillId="15" borderId="26" xfId="0" applyFont="1" applyFill="1" applyBorder="1" applyAlignment="1">
      <alignment horizontal="center" vertical="center" wrapText="1"/>
    </xf>
    <xf numFmtId="0" fontId="10" fillId="17" borderId="26" xfId="0" applyFont="1" applyFill="1" applyBorder="1" applyAlignment="1">
      <alignment horizontal="center" vertical="center" wrapText="1"/>
    </xf>
    <xf numFmtId="0" fontId="12" fillId="18" borderId="26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20" borderId="25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9" fontId="19" fillId="0" borderId="25" xfId="1" applyFont="1" applyBorder="1" applyAlignment="1">
      <alignment horizontal="center" vertical="center"/>
    </xf>
    <xf numFmtId="9" fontId="19" fillId="15" borderId="25" xfId="1" applyFont="1" applyFill="1" applyBorder="1" applyAlignment="1">
      <alignment horizontal="center" vertical="center"/>
    </xf>
    <xf numFmtId="0" fontId="20" fillId="0" borderId="0" xfId="0" applyFont="1"/>
    <xf numFmtId="0" fontId="21" fillId="2" borderId="0" xfId="0" applyFont="1" applyFill="1" applyAlignment="1">
      <alignment horizontal="center" vertical="center" wrapText="1"/>
    </xf>
    <xf numFmtId="2" fontId="22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  <xf numFmtId="0" fontId="13" fillId="6" borderId="0" xfId="0" applyFont="1" applyFill="1"/>
    <xf numFmtId="0" fontId="15" fillId="6" borderId="0" xfId="0" applyFont="1" applyFill="1" applyAlignment="1">
      <alignment horizontal="center" vertical="center"/>
    </xf>
    <xf numFmtId="0" fontId="0" fillId="0" borderId="0" xfId="0" applyAlignment="1">
      <alignment horizontal="left" indent="1"/>
    </xf>
    <xf numFmtId="0" fontId="23" fillId="0" borderId="0" xfId="0" applyFont="1" applyAlignment="1">
      <alignment horizontal="left"/>
    </xf>
    <xf numFmtId="0" fontId="11" fillId="21" borderId="24" xfId="0" applyFont="1" applyFill="1" applyBorder="1" applyAlignment="1">
      <alignment horizontal="left" vertical="center" wrapText="1" indent="1"/>
    </xf>
    <xf numFmtId="0" fontId="11" fillId="22" borderId="2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 wrapText="1" indent="1"/>
    </xf>
    <xf numFmtId="9" fontId="10" fillId="0" borderId="0" xfId="1" applyFont="1" applyFill="1" applyBorder="1" applyAlignment="1">
      <alignment horizontal="right" vertical="center" wrapText="1" indent="1"/>
    </xf>
    <xf numFmtId="0" fontId="26" fillId="3" borderId="0" xfId="0" applyFont="1" applyFill="1"/>
    <xf numFmtId="0" fontId="26" fillId="6" borderId="0" xfId="0" applyFont="1" applyFill="1"/>
    <xf numFmtId="0" fontId="27" fillId="3" borderId="42" xfId="0" applyFont="1" applyFill="1" applyBorder="1" applyAlignment="1">
      <alignment horizontal="right" vertical="center" indent="1"/>
    </xf>
    <xf numFmtId="0" fontId="28" fillId="0" borderId="0" xfId="0" applyFont="1" applyAlignment="1">
      <alignment horizontal="center"/>
    </xf>
    <xf numFmtId="0" fontId="31" fillId="5" borderId="42" xfId="0" applyFont="1" applyFill="1" applyBorder="1" applyAlignment="1">
      <alignment vertical="center"/>
    </xf>
    <xf numFmtId="9" fontId="32" fillId="3" borderId="42" xfId="0" applyNumberFormat="1" applyFont="1" applyFill="1" applyBorder="1" applyAlignment="1">
      <alignment horizontal="center" vertical="center"/>
    </xf>
    <xf numFmtId="2" fontId="32" fillId="3" borderId="42" xfId="0" applyNumberFormat="1" applyFont="1" applyFill="1" applyBorder="1" applyAlignment="1">
      <alignment horizontal="center" vertical="center"/>
    </xf>
    <xf numFmtId="0" fontId="24" fillId="10" borderId="44" xfId="0" applyFont="1" applyFill="1" applyBorder="1" applyAlignment="1">
      <alignment horizontal="right" vertical="center" wrapText="1" indent="1"/>
    </xf>
    <xf numFmtId="0" fontId="11" fillId="8" borderId="24" xfId="0" applyFont="1" applyFill="1" applyBorder="1" applyAlignment="1">
      <alignment horizontal="center" vertical="center" wrapText="1"/>
    </xf>
    <xf numFmtId="0" fontId="11" fillId="8" borderId="43" xfId="0" applyFont="1" applyFill="1" applyBorder="1" applyAlignment="1">
      <alignment horizontal="center" vertical="center" wrapText="1"/>
    </xf>
    <xf numFmtId="10" fontId="10" fillId="6" borderId="25" xfId="0" applyNumberFormat="1" applyFont="1" applyFill="1" applyBorder="1" applyAlignment="1">
      <alignment horizontal="right" vertical="center" wrapText="1" indent="1"/>
    </xf>
    <xf numFmtId="10" fontId="10" fillId="10" borderId="45" xfId="0" applyNumberFormat="1" applyFont="1" applyFill="1" applyBorder="1" applyAlignment="1">
      <alignment horizontal="right" vertical="center" wrapText="1" indent="1"/>
    </xf>
    <xf numFmtId="0" fontId="0" fillId="24" borderId="39" xfId="0" applyFill="1" applyBorder="1"/>
    <xf numFmtId="0" fontId="0" fillId="24" borderId="16" xfId="0" applyFill="1" applyBorder="1" applyAlignment="1">
      <alignment horizontal="right"/>
    </xf>
    <xf numFmtId="0" fontId="0" fillId="24" borderId="16" xfId="0" applyFill="1" applyBorder="1"/>
    <xf numFmtId="0" fontId="0" fillId="24" borderId="40" xfId="0" applyFill="1" applyBorder="1"/>
    <xf numFmtId="0" fontId="0" fillId="6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34" fillId="3" borderId="0" xfId="0" applyFont="1" applyFill="1" applyAlignment="1">
      <alignment horizontal="left" vertical="center"/>
    </xf>
    <xf numFmtId="0" fontId="35" fillId="6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49" xfId="0" applyFill="1" applyBorder="1" applyAlignment="1">
      <alignment vertical="center"/>
    </xf>
    <xf numFmtId="0" fontId="0" fillId="0" borderId="49" xfId="0" applyBorder="1" applyAlignment="1" applyProtection="1">
      <alignment vertical="center"/>
      <protection hidden="1"/>
    </xf>
    <xf numFmtId="3" fontId="0" fillId="0" borderId="49" xfId="0" applyNumberFormat="1" applyBorder="1" applyAlignment="1" applyProtection="1">
      <alignment vertical="center"/>
      <protection locked="0"/>
    </xf>
    <xf numFmtId="3" fontId="2" fillId="3" borderId="49" xfId="0" applyNumberFormat="1" applyFont="1" applyFill="1" applyBorder="1" applyAlignment="1" applyProtection="1">
      <alignment vertical="center"/>
      <protection hidden="1"/>
    </xf>
    <xf numFmtId="164" fontId="0" fillId="0" borderId="49" xfId="1" applyNumberFormat="1" applyFont="1" applyBorder="1" applyAlignment="1" applyProtection="1">
      <alignment vertical="center"/>
      <protection locked="0"/>
    </xf>
    <xf numFmtId="164" fontId="2" fillId="3" borderId="49" xfId="1" applyNumberFormat="1" applyFont="1" applyFill="1" applyBorder="1" applyAlignment="1" applyProtection="1">
      <alignment vertical="center"/>
      <protection hidden="1"/>
    </xf>
    <xf numFmtId="1" fontId="0" fillId="0" borderId="49" xfId="0" applyNumberFormat="1" applyBorder="1" applyAlignment="1" applyProtection="1">
      <alignment vertical="center"/>
      <protection locked="0"/>
    </xf>
    <xf numFmtId="0" fontId="0" fillId="0" borderId="50" xfId="0" applyBorder="1"/>
    <xf numFmtId="0" fontId="0" fillId="0" borderId="51" xfId="0" applyBorder="1"/>
    <xf numFmtId="0" fontId="2" fillId="0" borderId="0" xfId="0" applyFont="1" applyAlignment="1">
      <alignment horizontal="left" indent="5"/>
    </xf>
    <xf numFmtId="0" fontId="2" fillId="6" borderId="0" xfId="0" applyFont="1" applyFill="1"/>
    <xf numFmtId="0" fontId="3" fillId="6" borderId="0" xfId="0" applyFont="1" applyFill="1" applyAlignment="1">
      <alignment horizontal="left" indent="5"/>
    </xf>
    <xf numFmtId="3" fontId="0" fillId="6" borderId="0" xfId="0" applyNumberFormat="1" applyFill="1"/>
    <xf numFmtId="0" fontId="0" fillId="6" borderId="0" xfId="0" applyFill="1" applyAlignment="1">
      <alignment horizontal="left" indent="1"/>
    </xf>
    <xf numFmtId="4" fontId="0" fillId="6" borderId="0" xfId="0" applyNumberFormat="1" applyFill="1"/>
    <xf numFmtId="0" fontId="3" fillId="6" borderId="0" xfId="0" applyFont="1" applyFill="1"/>
    <xf numFmtId="3" fontId="37" fillId="6" borderId="0" xfId="0" applyNumberFormat="1" applyFont="1" applyFill="1"/>
    <xf numFmtId="0" fontId="37" fillId="6" borderId="0" xfId="0" applyFont="1" applyFill="1"/>
    <xf numFmtId="0" fontId="36" fillId="6" borderId="0" xfId="0" applyFont="1" applyFill="1"/>
    <xf numFmtId="0" fontId="37" fillId="6" borderId="0" xfId="0" applyFont="1" applyFill="1" applyAlignment="1">
      <alignment horizontal="left" indent="2"/>
    </xf>
    <xf numFmtId="0" fontId="36" fillId="6" borderId="0" xfId="0" applyFont="1" applyFill="1" applyAlignment="1">
      <alignment vertical="center"/>
    </xf>
    <xf numFmtId="3" fontId="37" fillId="6" borderId="0" xfId="0" applyNumberFormat="1" applyFont="1" applyFill="1" applyAlignment="1">
      <alignment vertical="center"/>
    </xf>
    <xf numFmtId="0" fontId="37" fillId="6" borderId="0" xfId="0" applyFont="1" applyFill="1" applyAlignment="1">
      <alignment vertical="center"/>
    </xf>
    <xf numFmtId="0" fontId="37" fillId="6" borderId="0" xfId="0" applyFont="1" applyFill="1" applyAlignment="1">
      <alignment horizontal="left" vertical="center" indent="2"/>
    </xf>
    <xf numFmtId="0" fontId="0" fillId="6" borderId="0" xfId="0" applyFill="1" applyAlignment="1">
      <alignment horizontal="left" vertical="center" indent="2"/>
    </xf>
    <xf numFmtId="0" fontId="0" fillId="20" borderId="0" xfId="0" applyFill="1"/>
    <xf numFmtId="0" fontId="40" fillId="20" borderId="0" xfId="0" applyFont="1" applyFill="1"/>
    <xf numFmtId="3" fontId="40" fillId="20" borderId="0" xfId="0" applyNumberFormat="1" applyFont="1" applyFill="1"/>
    <xf numFmtId="0" fontId="40" fillId="15" borderId="0" xfId="0" applyFont="1" applyFill="1"/>
    <xf numFmtId="0" fontId="41" fillId="20" borderId="0" xfId="0" applyFont="1" applyFill="1"/>
    <xf numFmtId="0" fontId="8" fillId="20" borderId="0" xfId="0" applyFont="1" applyFill="1"/>
    <xf numFmtId="0" fontId="8" fillId="15" borderId="0" xfId="0" applyFont="1" applyFill="1"/>
    <xf numFmtId="3" fontId="8" fillId="15" borderId="0" xfId="0" applyNumberFormat="1" applyFont="1" applyFill="1"/>
    <xf numFmtId="3" fontId="38" fillId="6" borderId="0" xfId="0" applyNumberFormat="1" applyFont="1" applyFill="1"/>
    <xf numFmtId="0" fontId="37" fillId="6" borderId="0" xfId="0" applyFont="1" applyFill="1" applyAlignment="1">
      <alignment horizontal="right"/>
    </xf>
    <xf numFmtId="0" fontId="41" fillId="15" borderId="0" xfId="0" applyFont="1" applyFill="1"/>
    <xf numFmtId="3" fontId="40" fillId="15" borderId="0" xfId="0" applyNumberFormat="1" applyFont="1" applyFill="1"/>
    <xf numFmtId="3" fontId="8" fillId="20" borderId="0" xfId="0" applyNumberFormat="1" applyFont="1" applyFill="1"/>
    <xf numFmtId="0" fontId="42" fillId="10" borderId="53" xfId="0" applyFont="1" applyFill="1" applyBorder="1"/>
    <xf numFmtId="0" fontId="43" fillId="10" borderId="53" xfId="0" applyFont="1" applyFill="1" applyBorder="1"/>
    <xf numFmtId="3" fontId="42" fillId="10" borderId="53" xfId="0" applyNumberFormat="1" applyFont="1" applyFill="1" applyBorder="1"/>
    <xf numFmtId="0" fontId="0" fillId="15" borderId="0" xfId="0" applyFill="1"/>
    <xf numFmtId="0" fontId="2" fillId="15" borderId="0" xfId="0" applyFont="1" applyFill="1"/>
    <xf numFmtId="0" fontId="8" fillId="20" borderId="0" xfId="0" applyFont="1" applyFill="1" applyAlignment="1">
      <alignment vertical="center"/>
    </xf>
    <xf numFmtId="0" fontId="39" fillId="20" borderId="0" xfId="0" applyFont="1" applyFill="1" applyAlignment="1">
      <alignment vertical="center"/>
    </xf>
    <xf numFmtId="3" fontId="8" fillId="20" borderId="0" xfId="0" applyNumberFormat="1" applyFont="1" applyFill="1" applyAlignment="1">
      <alignment vertical="center"/>
    </xf>
    <xf numFmtId="0" fontId="8" fillId="15" borderId="0" xfId="0" applyFont="1" applyFill="1" applyAlignment="1">
      <alignment vertical="center"/>
    </xf>
    <xf numFmtId="0" fontId="39" fillId="15" borderId="0" xfId="0" applyFont="1" applyFill="1" applyAlignment="1">
      <alignment vertical="center"/>
    </xf>
    <xf numFmtId="3" fontId="8" fillId="15" borderId="0" xfId="0" applyNumberFormat="1" applyFont="1" applyFill="1" applyAlignment="1">
      <alignment vertical="center"/>
    </xf>
    <xf numFmtId="0" fontId="0" fillId="10" borderId="54" xfId="0" applyFill="1" applyBorder="1" applyAlignment="1">
      <alignment vertical="center"/>
    </xf>
    <xf numFmtId="0" fontId="36" fillId="10" borderId="54" xfId="0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3" fontId="37" fillId="0" borderId="0" xfId="0" applyNumberFormat="1" applyFont="1"/>
    <xf numFmtId="0" fontId="37" fillId="0" borderId="0" xfId="0" applyFont="1" applyAlignment="1">
      <alignment horizontal="left" indent="2"/>
    </xf>
    <xf numFmtId="0" fontId="37" fillId="0" borderId="0" xfId="0" applyFont="1" applyAlignment="1">
      <alignment horizontal="right"/>
    </xf>
    <xf numFmtId="0" fontId="39" fillId="20" borderId="0" xfId="0" applyFont="1" applyFill="1"/>
    <xf numFmtId="17" fontId="39" fillId="20" borderId="0" xfId="0" applyNumberFormat="1" applyFont="1" applyFill="1"/>
    <xf numFmtId="17" fontId="39" fillId="20" borderId="0" xfId="0" applyNumberFormat="1" applyFont="1" applyFill="1" applyAlignment="1">
      <alignment horizontal="center"/>
    </xf>
    <xf numFmtId="0" fontId="8" fillId="20" borderId="0" xfId="0" applyFont="1" applyFill="1" applyAlignment="1">
      <alignment horizontal="left" indent="1"/>
    </xf>
    <xf numFmtId="3" fontId="37" fillId="0" borderId="0" xfId="0" applyNumberFormat="1" applyFont="1" applyAlignment="1">
      <alignment horizontal="right"/>
    </xf>
    <xf numFmtId="0" fontId="36" fillId="0" borderId="0" xfId="0" applyFont="1" applyAlignment="1">
      <alignment horizontal="left" indent="2"/>
    </xf>
    <xf numFmtId="0" fontId="36" fillId="0" borderId="0" xfId="0" applyFont="1" applyAlignment="1">
      <alignment horizontal="left"/>
    </xf>
    <xf numFmtId="0" fontId="39" fillId="20" borderId="0" xfId="0" applyFont="1" applyFill="1" applyAlignment="1">
      <alignment horizontal="left" indent="2"/>
    </xf>
    <xf numFmtId="3" fontId="8" fillId="20" borderId="0" xfId="0" applyNumberFormat="1" applyFont="1" applyFill="1" applyAlignment="1">
      <alignment horizontal="right"/>
    </xf>
    <xf numFmtId="0" fontId="39" fillId="15" borderId="0" xfId="0" applyFont="1" applyFill="1" applyAlignment="1">
      <alignment horizontal="left" indent="2"/>
    </xf>
    <xf numFmtId="3" fontId="8" fillId="15" borderId="0" xfId="0" applyNumberFormat="1" applyFont="1" applyFill="1" applyAlignment="1">
      <alignment horizontal="right"/>
    </xf>
    <xf numFmtId="0" fontId="39" fillId="15" borderId="0" xfId="0" applyFont="1" applyFill="1"/>
    <xf numFmtId="0" fontId="8" fillId="15" borderId="0" xfId="0" applyFont="1" applyFill="1" applyAlignment="1">
      <alignment horizontal="right"/>
    </xf>
    <xf numFmtId="0" fontId="43" fillId="15" borderId="0" xfId="0" applyFont="1" applyFill="1"/>
    <xf numFmtId="0" fontId="43" fillId="15" borderId="0" xfId="0" applyFont="1" applyFill="1" applyAlignment="1">
      <alignment horizontal="center"/>
    </xf>
    <xf numFmtId="3" fontId="2" fillId="0" borderId="0" xfId="0" applyNumberFormat="1" applyFont="1"/>
    <xf numFmtId="0" fontId="0" fillId="6" borderId="7" xfId="0" applyFill="1" applyBorder="1"/>
    <xf numFmtId="17" fontId="41" fillId="15" borderId="0" xfId="0" applyNumberFormat="1" applyFont="1" applyFill="1" applyAlignment="1">
      <alignment horizontal="center"/>
    </xf>
    <xf numFmtId="0" fontId="41" fillId="20" borderId="0" xfId="0" applyFont="1" applyFill="1" applyAlignment="1">
      <alignment horizontal="center"/>
    </xf>
    <xf numFmtId="0" fontId="39" fillId="15" borderId="0" xfId="0" applyFont="1" applyFill="1" applyAlignment="1">
      <alignment horizontal="center"/>
    </xf>
    <xf numFmtId="0" fontId="8" fillId="15" borderId="0" xfId="0" applyFont="1" applyFill="1" applyAlignment="1">
      <alignment horizontal="left" indent="1"/>
    </xf>
    <xf numFmtId="3" fontId="0" fillId="0" borderId="0" xfId="0" applyNumberFormat="1" applyAlignment="1">
      <alignment horizontal="center"/>
    </xf>
    <xf numFmtId="17" fontId="39" fillId="15" borderId="0" xfId="0" applyNumberFormat="1" applyFont="1" applyFill="1" applyAlignment="1">
      <alignment horizontal="center"/>
    </xf>
    <xf numFmtId="0" fontId="39" fillId="20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 indent="1"/>
    </xf>
    <xf numFmtId="3" fontId="2" fillId="0" borderId="0" xfId="0" applyNumberFormat="1" applyFont="1" applyAlignment="1">
      <alignment horizontal="center"/>
    </xf>
    <xf numFmtId="0" fontId="8" fillId="20" borderId="0" xfId="0" applyFont="1" applyFill="1" applyAlignment="1">
      <alignment horizontal="center"/>
    </xf>
    <xf numFmtId="3" fontId="8" fillId="20" borderId="0" xfId="0" applyNumberFormat="1" applyFont="1" applyFill="1" applyAlignment="1">
      <alignment horizontal="center"/>
    </xf>
    <xf numFmtId="3" fontId="8" fillId="15" borderId="56" xfId="0" applyNumberFormat="1" applyFont="1" applyFill="1" applyBorder="1" applyAlignment="1">
      <alignment horizontal="center"/>
    </xf>
    <xf numFmtId="3" fontId="8" fillId="15" borderId="0" xfId="0" applyNumberFormat="1" applyFont="1" applyFill="1" applyAlignment="1">
      <alignment horizontal="center"/>
    </xf>
    <xf numFmtId="3" fontId="0" fillId="6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3" fontId="37" fillId="0" borderId="55" xfId="0" applyNumberFormat="1" applyFont="1" applyBorder="1"/>
    <xf numFmtId="3" fontId="0" fillId="0" borderId="55" xfId="0" applyNumberFormat="1" applyBorder="1"/>
    <xf numFmtId="3" fontId="38" fillId="0" borderId="0" xfId="0" applyNumberFormat="1" applyFont="1"/>
    <xf numFmtId="3" fontId="0" fillId="10" borderId="52" xfId="0" applyNumberFormat="1" applyFill="1" applyBorder="1"/>
    <xf numFmtId="3" fontId="44" fillId="6" borderId="0" xfId="0" applyNumberFormat="1" applyFont="1" applyFill="1"/>
    <xf numFmtId="3" fontId="37" fillId="6" borderId="0" xfId="0" applyNumberFormat="1" applyFont="1" applyFill="1" applyAlignment="1">
      <alignment horizontal="right"/>
    </xf>
    <xf numFmtId="3" fontId="0" fillId="4" borderId="9" xfId="0" applyNumberFormat="1" applyFill="1" applyBorder="1" applyAlignment="1">
      <alignment horizontal="center"/>
    </xf>
    <xf numFmtId="0" fontId="39" fillId="20" borderId="9" xfId="0" applyFont="1" applyFill="1" applyBorder="1" applyAlignment="1">
      <alignment horizontal="center"/>
    </xf>
    <xf numFmtId="0" fontId="39" fillId="20" borderId="11" xfId="0" applyFont="1" applyFill="1" applyBorder="1" applyAlignment="1">
      <alignment horizontal="center"/>
    </xf>
    <xf numFmtId="0" fontId="39" fillId="20" borderId="10" xfId="0" applyFont="1" applyFill="1" applyBorder="1" applyAlignment="1">
      <alignment horizontal="center"/>
    </xf>
    <xf numFmtId="3" fontId="0" fillId="23" borderId="12" xfId="0" applyNumberFormat="1" applyFill="1" applyBorder="1" applyAlignment="1">
      <alignment horizontal="left"/>
    </xf>
    <xf numFmtId="3" fontId="0" fillId="23" borderId="13" xfId="0" applyNumberFormat="1" applyFill="1" applyBorder="1" applyAlignment="1">
      <alignment horizontal="left"/>
    </xf>
    <xf numFmtId="3" fontId="0" fillId="23" borderId="14" xfId="0" applyNumberFormat="1" applyFill="1" applyBorder="1" applyAlignment="1">
      <alignment horizontal="left"/>
    </xf>
    <xf numFmtId="3" fontId="0" fillId="23" borderId="15" xfId="0" applyNumberFormat="1" applyFill="1" applyBorder="1" applyAlignment="1">
      <alignment horizontal="left"/>
    </xf>
    <xf numFmtId="3" fontId="0" fillId="23" borderId="16" xfId="0" applyNumberFormat="1" applyFill="1" applyBorder="1" applyAlignment="1">
      <alignment horizontal="left"/>
    </xf>
    <xf numFmtId="3" fontId="0" fillId="23" borderId="17" xfId="0" applyNumberFormat="1" applyFill="1" applyBorder="1" applyAlignment="1">
      <alignment horizontal="left"/>
    </xf>
    <xf numFmtId="3" fontId="10" fillId="6" borderId="25" xfId="0" applyNumberFormat="1" applyFont="1" applyFill="1" applyBorder="1" applyAlignment="1">
      <alignment horizontal="right" vertical="center" wrapText="1" indent="1"/>
    </xf>
    <xf numFmtId="3" fontId="10" fillId="23" borderId="25" xfId="0" applyNumberFormat="1" applyFont="1" applyFill="1" applyBorder="1" applyAlignment="1">
      <alignment horizontal="center" vertical="center" wrapText="1"/>
    </xf>
    <xf numFmtId="3" fontId="10" fillId="23" borderId="25" xfId="0" applyNumberFormat="1" applyFont="1" applyFill="1" applyBorder="1" applyAlignment="1">
      <alignment horizontal="right" vertical="center" wrapText="1" indent="1"/>
    </xf>
    <xf numFmtId="3" fontId="10" fillId="6" borderId="21" xfId="0" applyNumberFormat="1" applyFont="1" applyFill="1" applyBorder="1" applyAlignment="1">
      <alignment horizontal="right" vertical="center" wrapText="1" indent="1"/>
    </xf>
    <xf numFmtId="3" fontId="10" fillId="10" borderId="45" xfId="0" applyNumberFormat="1" applyFont="1" applyFill="1" applyBorder="1" applyAlignment="1">
      <alignment horizontal="right" vertical="center" wrapText="1" indent="1"/>
    </xf>
    <xf numFmtId="3" fontId="10" fillId="10" borderId="45" xfId="0" applyNumberFormat="1" applyFont="1" applyFill="1" applyBorder="1" applyAlignment="1">
      <alignment horizontal="center" vertical="center" wrapText="1"/>
    </xf>
    <xf numFmtId="3" fontId="10" fillId="0" borderId="25" xfId="2" applyNumberFormat="1" applyFont="1" applyBorder="1" applyAlignment="1">
      <alignment horizontal="left" vertical="center" wrapText="1" indent="1"/>
    </xf>
    <xf numFmtId="3" fontId="10" fillId="0" borderId="25" xfId="0" applyNumberFormat="1" applyFont="1" applyBorder="1" applyAlignment="1">
      <alignment horizontal="left" vertical="center" wrapText="1" indent="1"/>
    </xf>
    <xf numFmtId="3" fontId="10" fillId="3" borderId="25" xfId="2" applyNumberFormat="1" applyFont="1" applyFill="1" applyBorder="1" applyAlignment="1">
      <alignment horizontal="left" vertical="center" wrapText="1" indent="1"/>
    </xf>
    <xf numFmtId="3" fontId="10" fillId="3" borderId="25" xfId="0" applyNumberFormat="1" applyFont="1" applyFill="1" applyBorder="1" applyAlignment="1">
      <alignment horizontal="left" vertical="center" wrapText="1" indent="1"/>
    </xf>
    <xf numFmtId="3" fontId="9" fillId="0" borderId="0" xfId="0" applyNumberFormat="1" applyFont="1" applyAlignment="1">
      <alignment horizontal="left" vertical="center" wrapText="1" indent="1"/>
    </xf>
    <xf numFmtId="3" fontId="10" fillId="0" borderId="26" xfId="0" applyNumberFormat="1" applyFon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/>
    </xf>
    <xf numFmtId="0" fontId="0" fillId="25" borderId="0" xfId="0" applyFill="1"/>
    <xf numFmtId="0" fontId="0" fillId="25" borderId="0" xfId="0" applyFill="1" applyAlignment="1">
      <alignment horizontal="center"/>
    </xf>
    <xf numFmtId="0" fontId="39" fillId="20" borderId="49" xfId="0" applyFont="1" applyFill="1" applyBorder="1" applyAlignment="1">
      <alignment horizontal="center" vertical="center"/>
    </xf>
    <xf numFmtId="0" fontId="39" fillId="20" borderId="49" xfId="0" applyFont="1" applyFill="1" applyBorder="1" applyAlignment="1" applyProtection="1">
      <alignment horizontal="center" vertical="center"/>
      <protection hidden="1"/>
    </xf>
    <xf numFmtId="3" fontId="0" fillId="23" borderId="59" xfId="0" applyNumberFormat="1" applyFill="1" applyBorder="1" applyAlignment="1">
      <alignment horizontal="left"/>
    </xf>
    <xf numFmtId="3" fontId="0" fillId="23" borderId="60" xfId="0" applyNumberFormat="1" applyFill="1" applyBorder="1" applyAlignment="1">
      <alignment horizontal="left"/>
    </xf>
    <xf numFmtId="3" fontId="0" fillId="23" borderId="61" xfId="0" applyNumberFormat="1" applyFill="1" applyBorder="1" applyAlignment="1">
      <alignment horizontal="left"/>
    </xf>
    <xf numFmtId="0" fontId="0" fillId="0" borderId="62" xfId="0" applyBorder="1"/>
    <xf numFmtId="0" fontId="0" fillId="0" borderId="63" xfId="0" applyBorder="1"/>
    <xf numFmtId="0" fontId="0" fillId="0" borderId="41" xfId="0" applyBorder="1"/>
    <xf numFmtId="0" fontId="0" fillId="6" borderId="41" xfId="0" applyFill="1" applyBorder="1"/>
    <xf numFmtId="0" fontId="2" fillId="6" borderId="41" xfId="0" applyFont="1" applyFill="1" applyBorder="1"/>
    <xf numFmtId="0" fontId="0" fillId="6" borderId="64" xfId="0" applyFill="1" applyBorder="1"/>
    <xf numFmtId="0" fontId="3" fillId="6" borderId="65" xfId="0" applyFont="1" applyFill="1" applyBorder="1"/>
    <xf numFmtId="0" fontId="0" fillId="6" borderId="65" xfId="0" applyFill="1" applyBorder="1"/>
    <xf numFmtId="0" fontId="0" fillId="6" borderId="66" xfId="0" applyFill="1" applyBorder="1"/>
    <xf numFmtId="0" fontId="0" fillId="6" borderId="67" xfId="0" applyFill="1" applyBorder="1"/>
    <xf numFmtId="0" fontId="0" fillId="6" borderId="49" xfId="0" applyFill="1" applyBorder="1"/>
    <xf numFmtId="0" fontId="0" fillId="6" borderId="68" xfId="0" applyFill="1" applyBorder="1"/>
    <xf numFmtId="0" fontId="2" fillId="6" borderId="68" xfId="0" applyFont="1" applyFill="1" applyBorder="1"/>
    <xf numFmtId="0" fontId="0" fillId="0" borderId="67" xfId="0" applyBorder="1"/>
    <xf numFmtId="0" fontId="0" fillId="0" borderId="49" xfId="0" applyBorder="1"/>
    <xf numFmtId="0" fontId="0" fillId="0" borderId="68" xfId="0" applyBorder="1"/>
    <xf numFmtId="0" fontId="37" fillId="6" borderId="67" xfId="0" applyFont="1" applyFill="1" applyBorder="1" applyAlignment="1">
      <alignment horizontal="left" indent="2"/>
    </xf>
    <xf numFmtId="9" fontId="0" fillId="0" borderId="49" xfId="0" applyNumberFormat="1" applyBorder="1"/>
    <xf numFmtId="9" fontId="0" fillId="6" borderId="49" xfId="0" applyNumberFormat="1" applyFill="1" applyBorder="1"/>
    <xf numFmtId="0" fontId="37" fillId="6" borderId="49" xfId="0" applyFont="1" applyFill="1" applyBorder="1" applyAlignment="1">
      <alignment horizontal="left" indent="2"/>
    </xf>
    <xf numFmtId="3" fontId="37" fillId="6" borderId="49" xfId="0" applyNumberFormat="1" applyFont="1" applyFill="1" applyBorder="1"/>
    <xf numFmtId="0" fontId="40" fillId="20" borderId="69" xfId="0" applyFont="1" applyFill="1" applyBorder="1"/>
    <xf numFmtId="0" fontId="41" fillId="20" borderId="70" xfId="0" applyFont="1" applyFill="1" applyBorder="1"/>
    <xf numFmtId="0" fontId="40" fillId="20" borderId="70" xfId="0" applyFont="1" applyFill="1" applyBorder="1"/>
    <xf numFmtId="0" fontId="40" fillId="12" borderId="70" xfId="0" applyFont="1" applyFill="1" applyBorder="1" applyAlignment="1">
      <alignment horizontal="center"/>
    </xf>
    <xf numFmtId="0" fontId="41" fillId="20" borderId="70" xfId="0" applyFont="1" applyFill="1" applyBorder="1" applyAlignment="1">
      <alignment horizontal="center"/>
    </xf>
    <xf numFmtId="0" fontId="40" fillId="15" borderId="69" xfId="0" applyFont="1" applyFill="1" applyBorder="1"/>
    <xf numFmtId="0" fontId="41" fillId="15" borderId="70" xfId="0" applyFont="1" applyFill="1" applyBorder="1"/>
    <xf numFmtId="0" fontId="40" fillId="15" borderId="70" xfId="0" applyFont="1" applyFill="1" applyBorder="1"/>
    <xf numFmtId="17" fontId="41" fillId="15" borderId="70" xfId="0" applyNumberFormat="1" applyFont="1" applyFill="1" applyBorder="1" applyAlignment="1">
      <alignment horizontal="center"/>
    </xf>
    <xf numFmtId="17" fontId="41" fillId="15" borderId="71" xfId="0" applyNumberFormat="1" applyFont="1" applyFill="1" applyBorder="1" applyAlignment="1">
      <alignment horizontal="center"/>
    </xf>
    <xf numFmtId="3" fontId="40" fillId="12" borderId="70" xfId="0" applyNumberFormat="1" applyFont="1" applyFill="1" applyBorder="1" applyAlignment="1">
      <alignment horizontal="center"/>
    </xf>
    <xf numFmtId="3" fontId="40" fillId="20" borderId="70" xfId="0" applyNumberFormat="1" applyFont="1" applyFill="1" applyBorder="1"/>
    <xf numFmtId="3" fontId="40" fillId="20" borderId="71" xfId="0" applyNumberFormat="1" applyFont="1" applyFill="1" applyBorder="1"/>
    <xf numFmtId="3" fontId="40" fillId="12" borderId="70" xfId="0" applyNumberFormat="1" applyFont="1" applyFill="1" applyBorder="1"/>
    <xf numFmtId="3" fontId="40" fillId="15" borderId="70" xfId="0" applyNumberFormat="1" applyFont="1" applyFill="1" applyBorder="1"/>
    <xf numFmtId="0" fontId="41" fillId="15" borderId="69" xfId="0" applyFont="1" applyFill="1" applyBorder="1"/>
    <xf numFmtId="0" fontId="0" fillId="15" borderId="70" xfId="0" applyFill="1" applyBorder="1"/>
    <xf numFmtId="0" fontId="39" fillId="15" borderId="71" xfId="0" applyFont="1" applyFill="1" applyBorder="1" applyAlignment="1">
      <alignment horizontal="center"/>
    </xf>
    <xf numFmtId="3" fontId="0" fillId="6" borderId="72" xfId="0" applyNumberFormat="1" applyFill="1" applyBorder="1"/>
    <xf numFmtId="0" fontId="0" fillId="15" borderId="68" xfId="0" applyFill="1" applyBorder="1"/>
    <xf numFmtId="3" fontId="8" fillId="20" borderId="68" xfId="0" applyNumberFormat="1" applyFont="1" applyFill="1" applyBorder="1"/>
    <xf numFmtId="3" fontId="8" fillId="15" borderId="72" xfId="0" applyNumberFormat="1" applyFont="1" applyFill="1" applyBorder="1"/>
    <xf numFmtId="0" fontId="39" fillId="20" borderId="68" xfId="0" applyFont="1" applyFill="1" applyBorder="1" applyAlignment="1">
      <alignment horizontal="center"/>
    </xf>
    <xf numFmtId="3" fontId="0" fillId="26" borderId="40" xfId="0" applyNumberFormat="1" applyFill="1" applyBorder="1"/>
    <xf numFmtId="0" fontId="0" fillId="26" borderId="40" xfId="0" applyFill="1" applyBorder="1"/>
    <xf numFmtId="0" fontId="38" fillId="6" borderId="0" xfId="0" applyFont="1" applyFill="1" applyAlignment="1">
      <alignment horizontal="right"/>
    </xf>
    <xf numFmtId="3" fontId="0" fillId="10" borderId="74" xfId="0" applyNumberFormat="1" applyFill="1" applyBorder="1"/>
    <xf numFmtId="3" fontId="0" fillId="10" borderId="75" xfId="0" applyNumberFormat="1" applyFill="1" applyBorder="1"/>
    <xf numFmtId="3" fontId="44" fillId="10" borderId="76" xfId="0" applyNumberFormat="1" applyFont="1" applyFill="1" applyBorder="1" applyAlignment="1">
      <alignment vertical="center"/>
    </xf>
    <xf numFmtId="3" fontId="44" fillId="10" borderId="74" xfId="0" applyNumberFormat="1" applyFont="1" applyFill="1" applyBorder="1"/>
    <xf numFmtId="3" fontId="44" fillId="10" borderId="54" xfId="0" applyNumberFormat="1" applyFont="1" applyFill="1" applyBorder="1" applyAlignment="1">
      <alignment vertical="center"/>
    </xf>
    <xf numFmtId="3" fontId="44" fillId="10" borderId="53" xfId="0" applyNumberFormat="1" applyFont="1" applyFill="1" applyBorder="1" applyAlignment="1">
      <alignment vertical="center"/>
    </xf>
    <xf numFmtId="3" fontId="44" fillId="10" borderId="52" xfId="0" applyNumberFormat="1" applyFont="1" applyFill="1" applyBorder="1"/>
    <xf numFmtId="0" fontId="0" fillId="6" borderId="77" xfId="0" applyFill="1" applyBorder="1"/>
    <xf numFmtId="3" fontId="37" fillId="6" borderId="78" xfId="0" applyNumberFormat="1" applyFont="1" applyFill="1" applyBorder="1"/>
    <xf numFmtId="0" fontId="0" fillId="6" borderId="79" xfId="0" applyFill="1" applyBorder="1"/>
    <xf numFmtId="0" fontId="0" fillId="6" borderId="80" xfId="0" applyFill="1" applyBorder="1"/>
    <xf numFmtId="0" fontId="45" fillId="6" borderId="0" xfId="3" applyFill="1" applyAlignment="1"/>
    <xf numFmtId="0" fontId="44" fillId="0" borderId="0" xfId="0" applyFont="1" applyAlignment="1">
      <alignment horizontal="left" indent="1"/>
    </xf>
    <xf numFmtId="0" fontId="44" fillId="0" borderId="0" xfId="0" applyFont="1"/>
    <xf numFmtId="3" fontId="44" fillId="0" borderId="0" xfId="0" applyNumberFormat="1" applyFont="1" applyAlignment="1">
      <alignment horizontal="center"/>
    </xf>
    <xf numFmtId="0" fontId="44" fillId="0" borderId="0" xfId="0" applyFont="1" applyAlignment="1">
      <alignment horizontal="left" indent="3"/>
    </xf>
    <xf numFmtId="0" fontId="44" fillId="0" borderId="0" xfId="0" applyFont="1" applyAlignment="1">
      <alignment horizontal="center"/>
    </xf>
    <xf numFmtId="0" fontId="44" fillId="6" borderId="0" xfId="0" applyFont="1" applyFill="1"/>
    <xf numFmtId="3" fontId="44" fillId="6" borderId="0" xfId="0" applyNumberFormat="1" applyFont="1" applyFill="1" applyAlignment="1">
      <alignment horizontal="center"/>
    </xf>
    <xf numFmtId="0" fontId="46" fillId="6" borderId="0" xfId="0" applyFont="1" applyFill="1"/>
    <xf numFmtId="0" fontId="44" fillId="6" borderId="0" xfId="0" applyFont="1" applyFill="1" applyAlignment="1">
      <alignment horizontal="center"/>
    </xf>
    <xf numFmtId="0" fontId="44" fillId="6" borderId="0" xfId="0" applyFont="1" applyFill="1" applyAlignment="1">
      <alignment horizontal="left" indent="1"/>
    </xf>
    <xf numFmtId="0" fontId="44" fillId="6" borderId="0" xfId="0" applyFont="1" applyFill="1" applyAlignment="1">
      <alignment horizontal="left" indent="3"/>
    </xf>
    <xf numFmtId="0" fontId="46" fillId="6" borderId="0" xfId="0" applyFont="1" applyFill="1" applyAlignment="1">
      <alignment horizontal="left"/>
    </xf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0" borderId="81" xfId="0" applyBorder="1"/>
    <xf numFmtId="3" fontId="38" fillId="6" borderId="0" xfId="0" applyNumberFormat="1" applyFont="1" applyFill="1" applyAlignment="1">
      <alignment horizontal="center"/>
    </xf>
    <xf numFmtId="10" fontId="38" fillId="6" borderId="0" xfId="0" applyNumberFormat="1" applyFont="1" applyFill="1" applyAlignment="1">
      <alignment horizontal="center"/>
    </xf>
    <xf numFmtId="0" fontId="36" fillId="6" borderId="0" xfId="0" applyFont="1" applyFill="1" applyAlignment="1">
      <alignment horizontal="left" indent="3"/>
    </xf>
    <xf numFmtId="0" fontId="37" fillId="6" borderId="0" xfId="0" applyFont="1" applyFill="1" applyAlignment="1">
      <alignment horizontal="left" indent="5"/>
    </xf>
    <xf numFmtId="3" fontId="38" fillId="10" borderId="53" xfId="0" applyNumberFormat="1" applyFont="1" applyFill="1" applyBorder="1"/>
    <xf numFmtId="3" fontId="40" fillId="20" borderId="0" xfId="0" applyNumberFormat="1" applyFont="1" applyFill="1" applyAlignment="1">
      <alignment horizontal="center"/>
    </xf>
    <xf numFmtId="3" fontId="40" fillId="15" borderId="0" xfId="0" applyNumberFormat="1" applyFont="1" applyFill="1" applyAlignment="1">
      <alignment horizontal="center"/>
    </xf>
    <xf numFmtId="0" fontId="40" fillId="6" borderId="0" xfId="0" applyFont="1" applyFill="1"/>
    <xf numFmtId="0" fontId="41" fillId="6" borderId="0" xfId="0" applyFont="1" applyFill="1"/>
    <xf numFmtId="0" fontId="37" fillId="6" borderId="0" xfId="0" applyFont="1" applyFill="1" applyAlignment="1">
      <alignment horizontal="center"/>
    </xf>
    <xf numFmtId="3" fontId="47" fillId="15" borderId="0" xfId="0" applyNumberFormat="1" applyFont="1" applyFill="1" applyAlignment="1">
      <alignment horizontal="center"/>
    </xf>
    <xf numFmtId="9" fontId="38" fillId="6" borderId="0" xfId="0" applyNumberFormat="1" applyFont="1" applyFill="1" applyAlignment="1">
      <alignment horizontal="center"/>
    </xf>
    <xf numFmtId="3" fontId="38" fillId="6" borderId="8" xfId="0" applyNumberFormat="1" applyFont="1" applyFill="1" applyBorder="1" applyAlignment="1">
      <alignment horizontal="center"/>
    </xf>
    <xf numFmtId="0" fontId="38" fillId="6" borderId="0" xfId="0" applyFont="1" applyFill="1" applyAlignment="1">
      <alignment horizontal="center"/>
    </xf>
    <xf numFmtId="0" fontId="8" fillId="6" borderId="0" xfId="0" applyFont="1" applyFill="1" applyAlignment="1">
      <alignment vertical="center"/>
    </xf>
    <xf numFmtId="0" fontId="39" fillId="6" borderId="0" xfId="0" applyFont="1" applyFill="1" applyAlignment="1">
      <alignment vertical="center"/>
    </xf>
    <xf numFmtId="3" fontId="8" fillId="6" borderId="0" xfId="0" applyNumberFormat="1" applyFont="1" applyFill="1"/>
    <xf numFmtId="0" fontId="48" fillId="6" borderId="0" xfId="0" applyFont="1" applyFill="1" applyAlignment="1">
      <alignment horizontal="center"/>
    </xf>
    <xf numFmtId="3" fontId="40" fillId="6" borderId="0" xfId="0" applyNumberFormat="1" applyFont="1" applyFill="1"/>
    <xf numFmtId="0" fontId="38" fillId="0" borderId="0" xfId="0" applyFont="1"/>
    <xf numFmtId="0" fontId="38" fillId="0" borderId="0" xfId="0" applyFont="1" applyAlignment="1">
      <alignment horizontal="left" indent="1"/>
    </xf>
    <xf numFmtId="0" fontId="38" fillId="0" borderId="0" xfId="0" applyFont="1" applyAlignment="1">
      <alignment horizontal="left" indent="2"/>
    </xf>
    <xf numFmtId="0" fontId="48" fillId="0" borderId="0" xfId="0" applyFont="1"/>
    <xf numFmtId="0" fontId="8" fillId="6" borderId="0" xfId="0" applyFont="1" applyFill="1"/>
    <xf numFmtId="0" fontId="39" fillId="6" borderId="0" xfId="0" applyFont="1" applyFill="1"/>
    <xf numFmtId="0" fontId="8" fillId="6" borderId="0" xfId="0" applyFont="1" applyFill="1" applyAlignment="1">
      <alignment horizontal="center"/>
    </xf>
    <xf numFmtId="0" fontId="8" fillId="6" borderId="0" xfId="0" applyFont="1" applyFill="1" applyAlignment="1">
      <alignment horizontal="left" indent="1"/>
    </xf>
    <xf numFmtId="3" fontId="8" fillId="6" borderId="0" xfId="0" applyNumberFormat="1" applyFont="1" applyFill="1" applyAlignment="1">
      <alignment horizontal="center"/>
    </xf>
    <xf numFmtId="1" fontId="38" fillId="6" borderId="82" xfId="0" applyNumberFormat="1" applyFont="1" applyFill="1" applyBorder="1" applyAlignment="1">
      <alignment horizontal="center"/>
    </xf>
    <xf numFmtId="1" fontId="38" fillId="6" borderId="8" xfId="0" applyNumberFormat="1" applyFont="1" applyFill="1" applyBorder="1" applyAlignment="1">
      <alignment horizontal="center"/>
    </xf>
    <xf numFmtId="3" fontId="38" fillId="0" borderId="0" xfId="0" applyNumberFormat="1" applyFont="1" applyAlignment="1">
      <alignment horizontal="center"/>
    </xf>
    <xf numFmtId="3" fontId="44" fillId="15" borderId="0" xfId="0" applyNumberFormat="1" applyFont="1" applyFill="1" applyAlignment="1">
      <alignment horizontal="center"/>
    </xf>
    <xf numFmtId="0" fontId="39" fillId="6" borderId="0" xfId="0" applyFont="1" applyFill="1" applyAlignment="1">
      <alignment horizontal="left" indent="2"/>
    </xf>
    <xf numFmtId="3" fontId="8" fillId="6" borderId="0" xfId="0" applyNumberFormat="1" applyFont="1" applyFill="1" applyAlignment="1">
      <alignment horizontal="right"/>
    </xf>
    <xf numFmtId="0" fontId="8" fillId="6" borderId="0" xfId="0" applyFont="1" applyFill="1" applyAlignment="1">
      <alignment horizontal="right"/>
    </xf>
    <xf numFmtId="10" fontId="38" fillId="0" borderId="0" xfId="0" applyNumberFormat="1" applyFont="1" applyAlignment="1">
      <alignment horizontal="center"/>
    </xf>
    <xf numFmtId="0" fontId="38" fillId="6" borderId="0" xfId="0" applyFont="1" applyFill="1"/>
    <xf numFmtId="0" fontId="48" fillId="6" borderId="0" xfId="0" applyFont="1" applyFill="1"/>
    <xf numFmtId="0" fontId="38" fillId="6" borderId="0" xfId="0" applyFont="1" applyFill="1" applyAlignment="1">
      <alignment horizontal="left" indent="1"/>
    </xf>
    <xf numFmtId="0" fontId="38" fillId="6" borderId="0" xfId="0" applyFont="1" applyFill="1" applyAlignment="1">
      <alignment horizontal="left" indent="3"/>
    </xf>
    <xf numFmtId="4" fontId="38" fillId="6" borderId="0" xfId="0" applyNumberFormat="1" applyFont="1" applyFill="1"/>
    <xf numFmtId="0" fontId="48" fillId="6" borderId="0" xfId="0" applyFont="1" applyFill="1" applyAlignment="1">
      <alignment horizontal="left"/>
    </xf>
    <xf numFmtId="0" fontId="38" fillId="0" borderId="0" xfId="0" applyFont="1" applyAlignment="1">
      <alignment horizontal="left" indent="3"/>
    </xf>
    <xf numFmtId="0" fontId="38" fillId="0" borderId="0" xfId="0" applyFont="1" applyAlignment="1">
      <alignment horizontal="center"/>
    </xf>
    <xf numFmtId="0" fontId="38" fillId="0" borderId="8" xfId="0" applyFont="1" applyBorder="1" applyAlignment="1">
      <alignment horizontal="left" indent="2"/>
    </xf>
    <xf numFmtId="0" fontId="0" fillId="0" borderId="8" xfId="0" applyBorder="1"/>
    <xf numFmtId="0" fontId="0" fillId="6" borderId="8" xfId="0" applyFill="1" applyBorder="1"/>
    <xf numFmtId="0" fontId="38" fillId="0" borderId="8" xfId="0" applyFont="1" applyBorder="1" applyAlignment="1">
      <alignment horizontal="left" indent="1"/>
    </xf>
    <xf numFmtId="3" fontId="49" fillId="0" borderId="0" xfId="0" applyNumberFormat="1" applyFont="1" applyAlignment="1">
      <alignment horizontal="center"/>
    </xf>
    <xf numFmtId="3" fontId="49" fillId="0" borderId="8" xfId="0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3" fontId="49" fillId="6" borderId="0" xfId="0" applyNumberFormat="1" applyFont="1" applyFill="1" applyAlignment="1">
      <alignment horizontal="center"/>
    </xf>
    <xf numFmtId="3" fontId="49" fillId="0" borderId="0" xfId="0" applyNumberFormat="1" applyFont="1"/>
    <xf numFmtId="0" fontId="49" fillId="6" borderId="0" xfId="0" applyFont="1" applyFill="1" applyAlignment="1">
      <alignment horizontal="center"/>
    </xf>
    <xf numFmtId="3" fontId="49" fillId="6" borderId="0" xfId="0" applyNumberFormat="1" applyFont="1" applyFill="1"/>
    <xf numFmtId="3" fontId="49" fillId="6" borderId="0" xfId="0" applyNumberFormat="1" applyFont="1" applyFill="1" applyAlignment="1">
      <alignment vertical="center"/>
    </xf>
    <xf numFmtId="3" fontId="49" fillId="6" borderId="0" xfId="0" applyNumberFormat="1" applyFont="1" applyFill="1" applyAlignment="1">
      <alignment horizontal="center" vertical="center"/>
    </xf>
    <xf numFmtId="3" fontId="44" fillId="10" borderId="76" xfId="0" applyNumberFormat="1" applyFont="1" applyFill="1" applyBorder="1" applyAlignment="1">
      <alignment horizontal="center" vertical="center"/>
    </xf>
    <xf numFmtId="3" fontId="44" fillId="10" borderId="74" xfId="0" applyNumberFormat="1" applyFont="1" applyFill="1" applyBorder="1" applyAlignment="1">
      <alignment horizontal="center"/>
    </xf>
    <xf numFmtId="3" fontId="42" fillId="10" borderId="53" xfId="0" applyNumberFormat="1" applyFont="1" applyFill="1" applyBorder="1" applyAlignment="1">
      <alignment horizontal="center"/>
    </xf>
    <xf numFmtId="3" fontId="0" fillId="10" borderId="74" xfId="0" applyNumberFormat="1" applyFill="1" applyBorder="1" applyAlignment="1">
      <alignment horizontal="center"/>
    </xf>
    <xf numFmtId="3" fontId="8" fillId="20" borderId="0" xfId="0" applyNumberFormat="1" applyFont="1" applyFill="1" applyAlignment="1">
      <alignment horizontal="center" vertical="center"/>
    </xf>
    <xf numFmtId="3" fontId="8" fillId="15" borderId="0" xfId="0" applyNumberFormat="1" applyFont="1" applyFill="1" applyAlignment="1">
      <alignment horizontal="center" vertical="center"/>
    </xf>
    <xf numFmtId="3" fontId="8" fillId="6" borderId="0" xfId="0" applyNumberFormat="1" applyFont="1" applyFill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3" fontId="37" fillId="6" borderId="0" xfId="0" applyNumberFormat="1" applyFont="1" applyFill="1" applyAlignment="1">
      <alignment horizontal="center" vertical="center"/>
    </xf>
    <xf numFmtId="3" fontId="38" fillId="6" borderId="0" xfId="0" applyNumberFormat="1" applyFont="1" applyFill="1" applyAlignment="1">
      <alignment horizontal="center" vertical="center"/>
    </xf>
    <xf numFmtId="0" fontId="49" fillId="0" borderId="0" xfId="0" applyFont="1"/>
    <xf numFmtId="3" fontId="49" fillId="0" borderId="0" xfId="0" applyNumberFormat="1" applyFont="1" applyAlignment="1">
      <alignment horizontal="right"/>
    </xf>
    <xf numFmtId="0" fontId="38" fillId="6" borderId="8" xfId="0" applyFont="1" applyFill="1" applyBorder="1"/>
    <xf numFmtId="3" fontId="49" fillId="6" borderId="8" xfId="0" applyNumberFormat="1" applyFont="1" applyFill="1" applyBorder="1" applyAlignment="1">
      <alignment horizontal="center"/>
    </xf>
    <xf numFmtId="0" fontId="49" fillId="6" borderId="0" xfId="0" applyFont="1" applyFill="1"/>
    <xf numFmtId="3" fontId="49" fillId="6" borderId="0" xfId="0" applyNumberFormat="1" applyFont="1" applyFill="1" applyAlignment="1">
      <alignment horizontal="right"/>
    </xf>
    <xf numFmtId="1" fontId="49" fillId="6" borderId="0" xfId="0" applyNumberFormat="1" applyFont="1" applyFill="1" applyAlignment="1">
      <alignment vertical="center"/>
    </xf>
    <xf numFmtId="3" fontId="0" fillId="6" borderId="0" xfId="0" applyNumberFormat="1" applyFill="1" applyAlignment="1">
      <alignment vertical="center"/>
    </xf>
    <xf numFmtId="3" fontId="44" fillId="0" borderId="55" xfId="0" applyNumberFormat="1" applyFont="1" applyBorder="1"/>
    <xf numFmtId="3" fontId="38" fillId="0" borderId="55" xfId="0" applyNumberFormat="1" applyFont="1" applyBorder="1"/>
    <xf numFmtId="3" fontId="40" fillId="6" borderId="0" xfId="0" applyNumberFormat="1" applyFont="1" applyFill="1" applyAlignment="1">
      <alignment horizontal="center"/>
    </xf>
    <xf numFmtId="3" fontId="44" fillId="10" borderId="74" xfId="0" applyNumberFormat="1" applyFont="1" applyFill="1" applyBorder="1" applyAlignment="1">
      <alignment vertical="center"/>
    </xf>
    <xf numFmtId="1" fontId="38" fillId="6" borderId="0" xfId="0" applyNumberFormat="1" applyFont="1" applyFill="1"/>
    <xf numFmtId="3" fontId="49" fillId="6" borderId="8" xfId="0" applyNumberFormat="1" applyFont="1" applyFill="1" applyBorder="1"/>
    <xf numFmtId="3" fontId="49" fillId="6" borderId="0" xfId="0" applyNumberFormat="1" applyFont="1" applyFill="1" applyAlignment="1">
      <alignment horizontal="right" vertical="center"/>
    </xf>
    <xf numFmtId="3" fontId="38" fillId="6" borderId="0" xfId="0" applyNumberFormat="1" applyFont="1" applyFill="1" applyAlignment="1">
      <alignment horizontal="right" vertical="center"/>
    </xf>
    <xf numFmtId="0" fontId="37" fillId="6" borderId="8" xfId="0" applyFont="1" applyFill="1" applyBorder="1" applyAlignment="1">
      <alignment horizontal="left" indent="2"/>
    </xf>
    <xf numFmtId="3" fontId="44" fillId="0" borderId="0" xfId="0" applyNumberFormat="1" applyFont="1"/>
    <xf numFmtId="0" fontId="1" fillId="27" borderId="87" xfId="9" applyBorder="1"/>
    <xf numFmtId="43" fontId="0" fillId="0" borderId="88" xfId="5" applyFont="1" applyBorder="1"/>
    <xf numFmtId="0" fontId="0" fillId="0" borderId="88" xfId="6" applyNumberFormat="1" applyFont="1" applyBorder="1" applyAlignment="1">
      <alignment horizontal="center"/>
    </xf>
    <xf numFmtId="1" fontId="0" fillId="0" borderId="88" xfId="7" applyNumberFormat="1" applyFont="1" applyBorder="1"/>
    <xf numFmtId="0" fontId="0" fillId="0" borderId="0" xfId="0" applyAlignment="1">
      <alignment horizontal="left"/>
    </xf>
    <xf numFmtId="0" fontId="45" fillId="0" borderId="0" xfId="3" applyBorder="1"/>
    <xf numFmtId="0" fontId="45" fillId="0" borderId="0" xfId="3" applyBorder="1" applyAlignment="1">
      <alignment horizontal="left"/>
    </xf>
    <xf numFmtId="0" fontId="0" fillId="20" borderId="89" xfId="0" applyFill="1" applyBorder="1"/>
    <xf numFmtId="0" fontId="8" fillId="20" borderId="89" xfId="0" applyFont="1" applyFill="1" applyBorder="1" applyAlignment="1">
      <alignment horizontal="center"/>
    </xf>
    <xf numFmtId="0" fontId="8" fillId="20" borderId="60" xfId="0" applyFont="1" applyFill="1" applyBorder="1" applyAlignment="1">
      <alignment horizontal="center"/>
    </xf>
    <xf numFmtId="3" fontId="0" fillId="15" borderId="0" xfId="0" applyNumberFormat="1" applyFill="1" applyAlignment="1">
      <alignment horizontal="center"/>
    </xf>
    <xf numFmtId="1" fontId="38" fillId="6" borderId="0" xfId="0" applyNumberFormat="1" applyFont="1" applyFill="1" applyAlignment="1">
      <alignment horizontal="center"/>
    </xf>
    <xf numFmtId="3" fontId="49" fillId="15" borderId="0" xfId="0" applyNumberFormat="1" applyFont="1" applyFill="1" applyAlignment="1">
      <alignment horizontal="center"/>
    </xf>
    <xf numFmtId="3" fontId="50" fillId="0" borderId="0" xfId="0" applyNumberFormat="1" applyFont="1" applyAlignment="1">
      <alignment horizontal="center"/>
    </xf>
    <xf numFmtId="3" fontId="37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0" fontId="8" fillId="15" borderId="0" xfId="0" applyFont="1" applyFill="1" applyAlignment="1">
      <alignment horizontal="center"/>
    </xf>
    <xf numFmtId="3" fontId="49" fillId="0" borderId="55" xfId="0" applyNumberFormat="1" applyFont="1" applyBorder="1" applyAlignment="1">
      <alignment horizontal="center"/>
    </xf>
    <xf numFmtId="3" fontId="37" fillId="0" borderId="55" xfId="0" applyNumberFormat="1" applyFont="1" applyBorder="1" applyAlignment="1">
      <alignment horizontal="center"/>
    </xf>
    <xf numFmtId="3" fontId="38" fillId="0" borderId="55" xfId="0" applyNumberFormat="1" applyFont="1" applyBorder="1" applyAlignment="1">
      <alignment horizontal="center"/>
    </xf>
    <xf numFmtId="3" fontId="0" fillId="6" borderId="0" xfId="0" applyNumberFormat="1" applyFill="1" applyAlignment="1">
      <alignment horizontal="center" vertical="center"/>
    </xf>
    <xf numFmtId="0" fontId="36" fillId="6" borderId="0" xfId="0" applyFont="1" applyFill="1" applyAlignment="1">
      <alignment horizontal="left"/>
    </xf>
    <xf numFmtId="0" fontId="39" fillId="20" borderId="0" xfId="0" applyFont="1" applyFill="1" applyAlignment="1">
      <alignment horizontal="center"/>
    </xf>
    <xf numFmtId="0" fontId="0" fillId="0" borderId="8" xfId="0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57" xfId="0" applyNumberFormat="1" applyBorder="1" applyAlignment="1">
      <alignment horizontal="center"/>
    </xf>
    <xf numFmtId="0" fontId="0" fillId="0" borderId="57" xfId="0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8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39" fillId="20" borderId="9" xfId="0" applyFont="1" applyFill="1" applyBorder="1" applyAlignment="1">
      <alignment horizontal="center"/>
    </xf>
    <xf numFmtId="0" fontId="39" fillId="20" borderId="11" xfId="0" applyFont="1" applyFill="1" applyBorder="1" applyAlignment="1">
      <alignment horizontal="center"/>
    </xf>
    <xf numFmtId="0" fontId="39" fillId="20" borderId="10" xfId="0" applyFont="1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39" fillId="15" borderId="0" xfId="0" applyFont="1" applyFill="1" applyAlignment="1">
      <alignment horizontal="center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9" fontId="0" fillId="6" borderId="26" xfId="1" applyFont="1" applyFill="1" applyBorder="1" applyAlignment="1">
      <alignment horizontal="center"/>
    </xf>
    <xf numFmtId="0" fontId="0" fillId="25" borderId="0" xfId="0" applyFill="1" applyAlignment="1">
      <alignment horizontal="center"/>
    </xf>
    <xf numFmtId="0" fontId="39" fillId="20" borderId="58" xfId="0" applyFont="1" applyFill="1" applyBorder="1" applyAlignment="1">
      <alignment horizontal="center"/>
    </xf>
    <xf numFmtId="1" fontId="0" fillId="6" borderId="26" xfId="1" applyNumberFormat="1" applyFont="1" applyFill="1" applyBorder="1" applyAlignment="1">
      <alignment horizontal="center"/>
    </xf>
    <xf numFmtId="0" fontId="2" fillId="25" borderId="58" xfId="0" applyFont="1" applyFill="1" applyBorder="1" applyAlignment="1">
      <alignment horizontal="center"/>
    </xf>
    <xf numFmtId="3" fontId="0" fillId="6" borderId="26" xfId="1" applyNumberFormat="1" applyFont="1" applyFill="1" applyBorder="1" applyAlignment="1">
      <alignment horizontal="center"/>
    </xf>
    <xf numFmtId="0" fontId="0" fillId="0" borderId="73" xfId="0" applyBorder="1" applyAlignment="1">
      <alignment horizontal="center"/>
    </xf>
    <xf numFmtId="0" fontId="14" fillId="7" borderId="27" xfId="0" applyFont="1" applyFill="1" applyBorder="1" applyAlignment="1">
      <alignment horizontal="center" vertical="center" wrapText="1"/>
    </xf>
    <xf numFmtId="0" fontId="14" fillId="7" borderId="28" xfId="0" applyFont="1" applyFill="1" applyBorder="1" applyAlignment="1">
      <alignment horizontal="center" vertical="center" wrapText="1"/>
    </xf>
    <xf numFmtId="0" fontId="14" fillId="7" borderId="29" xfId="0" applyFont="1" applyFill="1" applyBorder="1" applyAlignment="1">
      <alignment horizontal="center" vertical="center" wrapText="1"/>
    </xf>
    <xf numFmtId="0" fontId="14" fillId="7" borderId="32" xfId="0" applyFont="1" applyFill="1" applyBorder="1" applyAlignment="1">
      <alignment horizontal="center" vertical="center" wrapText="1"/>
    </xf>
    <xf numFmtId="0" fontId="14" fillId="7" borderId="33" xfId="0" applyFont="1" applyFill="1" applyBorder="1" applyAlignment="1">
      <alignment horizontal="center" vertical="center" wrapText="1"/>
    </xf>
    <xf numFmtId="0" fontId="14" fillId="7" borderId="30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7" borderId="31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9" fontId="16" fillId="0" borderId="35" xfId="1" applyFont="1" applyBorder="1" applyAlignment="1">
      <alignment horizontal="center" vertical="center"/>
    </xf>
    <xf numFmtId="9" fontId="16" fillId="0" borderId="37" xfId="1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7" borderId="38" xfId="0" applyFont="1" applyFill="1" applyBorder="1" applyAlignment="1">
      <alignment horizontal="center" vertical="center"/>
    </xf>
    <xf numFmtId="0" fontId="17" fillId="20" borderId="25" xfId="0" applyFont="1" applyFill="1" applyBorder="1" applyAlignment="1">
      <alignment horizontal="center" vertical="center" wrapText="1"/>
    </xf>
    <xf numFmtId="0" fontId="27" fillId="3" borderId="46" xfId="0" applyFont="1" applyFill="1" applyBorder="1" applyAlignment="1">
      <alignment horizontal="left" vertical="center"/>
    </xf>
    <xf numFmtId="0" fontId="27" fillId="3" borderId="48" xfId="0" applyFont="1" applyFill="1" applyBorder="1" applyAlignment="1">
      <alignment horizontal="left" vertical="center"/>
    </xf>
    <xf numFmtId="0" fontId="29" fillId="6" borderId="0" xfId="0" applyFont="1" applyFill="1" applyAlignment="1">
      <alignment horizontal="center" vertical="center"/>
    </xf>
    <xf numFmtId="0" fontId="27" fillId="3" borderId="47" xfId="0" applyFont="1" applyFill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1" fillId="7" borderId="21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left" vertical="center"/>
    </xf>
    <xf numFmtId="0" fontId="33" fillId="6" borderId="0" xfId="0" applyFont="1" applyFill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5" fillId="2" borderId="0" xfId="0" applyFont="1" applyFill="1" applyAlignment="1">
      <alignment horizontal="center"/>
    </xf>
    <xf numFmtId="0" fontId="52" fillId="0" borderId="84" xfId="8" applyBorder="1" applyAlignment="1">
      <alignment horizontal="center"/>
    </xf>
    <xf numFmtId="0" fontId="52" fillId="0" borderId="85" xfId="8" applyBorder="1" applyAlignment="1">
      <alignment horizontal="center"/>
    </xf>
    <xf numFmtId="0" fontId="52" fillId="0" borderId="86" xfId="8" applyBorder="1" applyAlignment="1">
      <alignment horizontal="center"/>
    </xf>
    <xf numFmtId="0" fontId="13" fillId="6" borderId="0" xfId="0" applyFont="1" applyFill="1" applyBorder="1" applyAlignment="1">
      <alignment horizontal="right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/>
    <xf numFmtId="0" fontId="53" fillId="20" borderId="0" xfId="0" applyFont="1" applyFill="1"/>
    <xf numFmtId="0" fontId="53" fillId="6" borderId="0" xfId="0" applyFont="1" applyFill="1"/>
    <xf numFmtId="0" fontId="4" fillId="0" borderId="0" xfId="0" applyFont="1"/>
    <xf numFmtId="0" fontId="45" fillId="0" borderId="0" xfId="3" applyAlignment="1">
      <alignment horizontal="left"/>
    </xf>
    <xf numFmtId="0" fontId="0" fillId="3" borderId="14" xfId="0" applyFill="1" applyBorder="1" applyAlignment="1">
      <alignment horizontal="left"/>
    </xf>
  </cellXfs>
  <cellStyles count="10">
    <cellStyle name="40% - Accent1" xfId="9" builtinId="31"/>
    <cellStyle name="Comma" xfId="5" builtinId="3"/>
    <cellStyle name="Comma [0]" xfId="6" builtinId="6"/>
    <cellStyle name="Currency" xfId="2" builtinId="4"/>
    <cellStyle name="Currency [0]" xfId="7" builtinId="7"/>
    <cellStyle name="Heading 3" xfId="8" builtinId="18"/>
    <cellStyle name="Hyperlink" xfId="3" builtinId="8"/>
    <cellStyle name="Normal" xfId="0" builtinId="0"/>
    <cellStyle name="Percent" xfId="1" builtinId="5"/>
    <cellStyle name="Percent with Decimal" xfId="4" xr:uid="{9957850C-3C8C-4026-B687-437DA6FDF5AE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" formatCode="#,##0"/>
      <fill>
        <patternFill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>
          <fgColor rgb="FF000000"/>
          <bgColor rgb="FFFFFFFF"/>
        </patternFill>
      </fill>
      <alignment horizontal="righ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24997711111789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2" defaultPivotStyle="PivotStyleLight16"/>
  <colors>
    <mruColors>
      <color rgb="FFD460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2023'!$B$44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2023'!$E$44:$I$44</c:f>
              <c:numCache>
                <c:formatCode>#,##0</c:formatCode>
                <c:ptCount val="5"/>
                <c:pt idx="0">
                  <c:v>54409</c:v>
                </c:pt>
                <c:pt idx="1">
                  <c:v>54409</c:v>
                </c:pt>
                <c:pt idx="2">
                  <c:v>54409</c:v>
                </c:pt>
                <c:pt idx="3">
                  <c:v>54409</c:v>
                </c:pt>
                <c:pt idx="4">
                  <c:v>54409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F-41C1-A1F0-01419F3AB6B7}"/>
            </c:ext>
          </c:extLst>
        </c:ser>
        <c:ser>
          <c:idx val="1"/>
          <c:order val="1"/>
          <c:tx>
            <c:strRef>
              <c:f>'Statements Summary 2023'!$B$56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2023'!$E$56:$I$56</c:f>
              <c:numCache>
                <c:formatCode>#,##0</c:formatCode>
                <c:ptCount val="5"/>
                <c:pt idx="0">
                  <c:v>41832</c:v>
                </c:pt>
                <c:pt idx="1">
                  <c:v>41832</c:v>
                </c:pt>
                <c:pt idx="2">
                  <c:v>39065</c:v>
                </c:pt>
                <c:pt idx="3">
                  <c:v>39065</c:v>
                </c:pt>
                <c:pt idx="4">
                  <c:v>39065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F-41C1-A1F0-01419F3AB6B7}"/>
            </c:ext>
          </c:extLst>
        </c:ser>
        <c:ser>
          <c:idx val="2"/>
          <c:order val="2"/>
          <c:tx>
            <c:strRef>
              <c:f>'Statements Summary 2023'!$B$63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2023'!$E$43:$I$43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2023'!$E$63:$I$63</c:f>
              <c:numCache>
                <c:formatCode>#,##0</c:formatCode>
                <c:ptCount val="5"/>
                <c:pt idx="0">
                  <c:v>33465.599999999999</c:v>
                </c:pt>
                <c:pt idx="1">
                  <c:v>33465.599999999999</c:v>
                </c:pt>
                <c:pt idx="2">
                  <c:v>30870.799999999999</c:v>
                </c:pt>
                <c:pt idx="3">
                  <c:v>31603.200000000001</c:v>
                </c:pt>
                <c:pt idx="4">
                  <c:v>31612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F-41C1-A1F0-01419F3AB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2023'!$B$44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2023'!$K$44:$V$44</c:f>
              <c:numCache>
                <c:formatCode>#,##0</c:formatCode>
                <c:ptCount val="12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56338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4-4AAB-905F-61474D627CE8}"/>
            </c:ext>
          </c:extLst>
        </c:ser>
        <c:ser>
          <c:idx val="1"/>
          <c:order val="1"/>
          <c:tx>
            <c:strRef>
              <c:f>'Statements Summary 2023'!$B$56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2023'!$K$56:$V$56</c:f>
              <c:numCache>
                <c:formatCode>#,##0</c:formatCode>
                <c:ptCount val="12"/>
                <c:pt idx="0">
                  <c:v>18470</c:v>
                </c:pt>
                <c:pt idx="1">
                  <c:v>18470</c:v>
                </c:pt>
                <c:pt idx="2">
                  <c:v>36262</c:v>
                </c:pt>
                <c:pt idx="3">
                  <c:v>39946</c:v>
                </c:pt>
                <c:pt idx="4">
                  <c:v>40993</c:v>
                </c:pt>
                <c:pt idx="5">
                  <c:v>43761</c:v>
                </c:pt>
                <c:pt idx="6">
                  <c:v>50144</c:v>
                </c:pt>
                <c:pt idx="7">
                  <c:v>50113</c:v>
                </c:pt>
                <c:pt idx="8">
                  <c:v>49125</c:v>
                </c:pt>
                <c:pt idx="9">
                  <c:v>41559</c:v>
                </c:pt>
                <c:pt idx="10">
                  <c:v>41462</c:v>
                </c:pt>
                <c:pt idx="11">
                  <c:v>41832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4-4AAB-905F-61474D627CE8}"/>
            </c:ext>
          </c:extLst>
        </c:ser>
        <c:ser>
          <c:idx val="2"/>
          <c:order val="2"/>
          <c:tx>
            <c:strRef>
              <c:f>'Statements Summary 2023'!$B$63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2023'!$K$43:$V$43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2023'!$K$63:$V$63</c:f>
              <c:numCache>
                <c:formatCode>#,##0</c:formatCode>
                <c:ptCount val="12"/>
                <c:pt idx="0">
                  <c:v>14776</c:v>
                </c:pt>
                <c:pt idx="1">
                  <c:v>14776</c:v>
                </c:pt>
                <c:pt idx="2">
                  <c:v>29009.599999999999</c:v>
                </c:pt>
                <c:pt idx="3">
                  <c:v>31956.799999999999</c:v>
                </c:pt>
                <c:pt idx="4">
                  <c:v>32794.400000000001</c:v>
                </c:pt>
                <c:pt idx="5">
                  <c:v>35008.800000000003</c:v>
                </c:pt>
                <c:pt idx="6">
                  <c:v>40115.199999999997</c:v>
                </c:pt>
                <c:pt idx="7">
                  <c:v>40090.400000000001</c:v>
                </c:pt>
                <c:pt idx="8">
                  <c:v>39300</c:v>
                </c:pt>
                <c:pt idx="9">
                  <c:v>33247.199999999997</c:v>
                </c:pt>
                <c:pt idx="10">
                  <c:v>33169.599999999999</c:v>
                </c:pt>
                <c:pt idx="11">
                  <c:v>33465.599999999999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34-4AAB-905F-61474D627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23102.6</c:v>
                </c:pt>
                <c:pt idx="1">
                  <c:v>23102.6</c:v>
                </c:pt>
                <c:pt idx="2">
                  <c:v>43959.8</c:v>
                </c:pt>
                <c:pt idx="3">
                  <c:v>44642.2</c:v>
                </c:pt>
                <c:pt idx="4">
                  <c:v>44651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5-436D-B9EC-7CC844A9F589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5-436D-B9EC-7CC844A9F589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-3300</c:v>
                </c:pt>
                <c:pt idx="1">
                  <c:v>-3300</c:v>
                </c:pt>
                <c:pt idx="2">
                  <c:v>-3300</c:v>
                </c:pt>
                <c:pt idx="3">
                  <c:v>-3300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5-436D-B9EC-7CC844A9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23102.6</c:v>
                </c:pt>
                <c:pt idx="1">
                  <c:v>23102.6</c:v>
                </c:pt>
                <c:pt idx="2">
                  <c:v>43959.8</c:v>
                </c:pt>
                <c:pt idx="3">
                  <c:v>44642.2</c:v>
                </c:pt>
                <c:pt idx="4">
                  <c:v>44651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55-436D-B9EC-7CC844A9F589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42905.200000000004</c:v>
                </c:pt>
                <c:pt idx="1">
                  <c:v>42905.200000000004</c:v>
                </c:pt>
                <c:pt idx="2">
                  <c:v>84619.6</c:v>
                </c:pt>
                <c:pt idx="3">
                  <c:v>85984.4</c:v>
                </c:pt>
                <c:pt idx="4">
                  <c:v>89302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55-436D-B9EC-7CC844A9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2023'!$K$8:$V$8</c:f>
              <c:numCache>
                <c:formatCode>#,##0</c:formatCode>
                <c:ptCount val="12"/>
                <c:pt idx="0">
                  <c:v>-2847</c:v>
                </c:pt>
                <c:pt idx="1">
                  <c:v>-2187</c:v>
                </c:pt>
                <c:pt idx="2">
                  <c:v>12706.599999999999</c:v>
                </c:pt>
                <c:pt idx="3">
                  <c:v>16313.800000000003</c:v>
                </c:pt>
                <c:pt idx="4">
                  <c:v>17811.400000000001</c:v>
                </c:pt>
                <c:pt idx="5">
                  <c:v>20685.800000000003</c:v>
                </c:pt>
                <c:pt idx="6">
                  <c:v>26452.199999999997</c:v>
                </c:pt>
                <c:pt idx="7">
                  <c:v>27087.4</c:v>
                </c:pt>
                <c:pt idx="8">
                  <c:v>26957</c:v>
                </c:pt>
                <c:pt idx="9">
                  <c:v>21564.199999999997</c:v>
                </c:pt>
                <c:pt idx="10">
                  <c:v>22146.6</c:v>
                </c:pt>
                <c:pt idx="11">
                  <c:v>23102.6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F-4AD1-80AC-1E69F404F42C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2023'!$K$11:$V$11</c:f>
              <c:numCache>
                <c:formatCode>#,##0</c:formatCode>
                <c:ptCount val="12"/>
                <c:pt idx="0">
                  <c:v>150000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F-4AD1-80AC-1E69F404F42C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2023'!$K$15:$V$15</c:f>
              <c:numCache>
                <c:formatCode>#,##0</c:formatCode>
                <c:ptCount val="12"/>
                <c:pt idx="0">
                  <c:v>0</c:v>
                </c:pt>
                <c:pt idx="1">
                  <c:v>-3300</c:v>
                </c:pt>
                <c:pt idx="2">
                  <c:v>-3300</c:v>
                </c:pt>
                <c:pt idx="3">
                  <c:v>-3300</c:v>
                </c:pt>
                <c:pt idx="4">
                  <c:v>-3300</c:v>
                </c:pt>
                <c:pt idx="5">
                  <c:v>-3300</c:v>
                </c:pt>
                <c:pt idx="6">
                  <c:v>-3300</c:v>
                </c:pt>
                <c:pt idx="7">
                  <c:v>-3300</c:v>
                </c:pt>
                <c:pt idx="8">
                  <c:v>-3300</c:v>
                </c:pt>
                <c:pt idx="9">
                  <c:v>-3300</c:v>
                </c:pt>
                <c:pt idx="10">
                  <c:v>-3300</c:v>
                </c:pt>
                <c:pt idx="11">
                  <c:v>-3300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3F-4AD1-80AC-1E69F404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2023'!$K$16:$V$16</c:f>
              <c:numCache>
                <c:formatCode>#,##0</c:formatCode>
                <c:ptCount val="12"/>
                <c:pt idx="0">
                  <c:v>150000</c:v>
                </c:pt>
                <c:pt idx="1">
                  <c:v>-2187</c:v>
                </c:pt>
                <c:pt idx="2">
                  <c:v>12706.599999999999</c:v>
                </c:pt>
                <c:pt idx="3">
                  <c:v>16313.800000000003</c:v>
                </c:pt>
                <c:pt idx="4">
                  <c:v>17811.400000000001</c:v>
                </c:pt>
                <c:pt idx="5">
                  <c:v>20685.800000000003</c:v>
                </c:pt>
                <c:pt idx="6">
                  <c:v>26452.199999999997</c:v>
                </c:pt>
                <c:pt idx="7">
                  <c:v>27087.4</c:v>
                </c:pt>
                <c:pt idx="8">
                  <c:v>26957</c:v>
                </c:pt>
                <c:pt idx="9">
                  <c:v>21564.199999999997</c:v>
                </c:pt>
                <c:pt idx="10">
                  <c:v>22146.6</c:v>
                </c:pt>
                <c:pt idx="11">
                  <c:v>23102.6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3F-4AD1-80AC-1E69F404F42C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2023'!$K$17:$V$17</c:f>
              <c:numCache>
                <c:formatCode>#,##0</c:formatCode>
                <c:ptCount val="12"/>
                <c:pt idx="0">
                  <c:v>-5694</c:v>
                </c:pt>
                <c:pt idx="1">
                  <c:v>-7674</c:v>
                </c:pt>
                <c:pt idx="2">
                  <c:v>22113.199999999997</c:v>
                </c:pt>
                <c:pt idx="3">
                  <c:v>29327.600000000006</c:v>
                </c:pt>
                <c:pt idx="4">
                  <c:v>32322.799999999996</c:v>
                </c:pt>
                <c:pt idx="5">
                  <c:v>38071.600000000006</c:v>
                </c:pt>
                <c:pt idx="6">
                  <c:v>49604.399999999994</c:v>
                </c:pt>
                <c:pt idx="7">
                  <c:v>50874.799999999996</c:v>
                </c:pt>
                <c:pt idx="8">
                  <c:v>50614</c:v>
                </c:pt>
                <c:pt idx="9">
                  <c:v>39828.399999999994</c:v>
                </c:pt>
                <c:pt idx="10">
                  <c:v>40993.200000000004</c:v>
                </c:pt>
                <c:pt idx="11">
                  <c:v>42905.200000000004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3F-4AD1-80AC-1E69F404F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2023'!$B$86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2023'!$K$85:$V$85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2023'!$K$86:$V$86</c:f>
              <c:numCache>
                <c:formatCode>#,##0</c:formatCode>
                <c:ptCount val="12"/>
                <c:pt idx="0">
                  <c:v>-2847</c:v>
                </c:pt>
                <c:pt idx="1">
                  <c:v>-5487</c:v>
                </c:pt>
                <c:pt idx="2">
                  <c:v>9406.5999999999985</c:v>
                </c:pt>
                <c:pt idx="3">
                  <c:v>13013.800000000003</c:v>
                </c:pt>
                <c:pt idx="4">
                  <c:v>14511.400000000001</c:v>
                </c:pt>
                <c:pt idx="5">
                  <c:v>17385.800000000003</c:v>
                </c:pt>
                <c:pt idx="6">
                  <c:v>23152.199999999997</c:v>
                </c:pt>
                <c:pt idx="7">
                  <c:v>23787.4</c:v>
                </c:pt>
                <c:pt idx="8">
                  <c:v>23657</c:v>
                </c:pt>
                <c:pt idx="9">
                  <c:v>18264.199999999997</c:v>
                </c:pt>
                <c:pt idx="10">
                  <c:v>18846.599999999999</c:v>
                </c:pt>
                <c:pt idx="11">
                  <c:v>19802.599999999999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C-4F68-99DB-1225325C85C7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2023'!$K$85:$V$85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2023'!$K$89:$V$89</c:f>
              <c:numCache>
                <c:formatCode>#,##0</c:formatCode>
                <c:ptCount val="12"/>
                <c:pt idx="1">
                  <c:v>-3694</c:v>
                </c:pt>
                <c:pt idx="2">
                  <c:v>-7252.4000000000005</c:v>
                </c:pt>
                <c:pt idx="3">
                  <c:v>-7989.2000000000007</c:v>
                </c:pt>
                <c:pt idx="4">
                  <c:v>-8198.6</c:v>
                </c:pt>
                <c:pt idx="5">
                  <c:v>-8752.2000000000007</c:v>
                </c:pt>
                <c:pt idx="6">
                  <c:v>-10028.800000000001</c:v>
                </c:pt>
                <c:pt idx="7">
                  <c:v>-10022.6</c:v>
                </c:pt>
                <c:pt idx="8">
                  <c:v>-9825</c:v>
                </c:pt>
                <c:pt idx="9">
                  <c:v>-8311.8000000000011</c:v>
                </c:pt>
                <c:pt idx="10">
                  <c:v>-8292.4</c:v>
                </c:pt>
                <c:pt idx="11">
                  <c:v>-8366.4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C-4F68-99DB-1225325C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71135"/>
        <c:axId val="9127725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2023'!$K$88:$V$88</c:f>
              <c:numCache>
                <c:formatCode>#,##0</c:formatCode>
                <c:ptCount val="12"/>
                <c:pt idx="0">
                  <c:v>148864</c:v>
                </c:pt>
                <c:pt idx="1">
                  <c:v>147935</c:v>
                </c:pt>
                <c:pt idx="2">
                  <c:v>164539.6</c:v>
                </c:pt>
                <c:pt idx="3">
                  <c:v>169857.8</c:v>
                </c:pt>
                <c:pt idx="4">
                  <c:v>173066.4</c:v>
                </c:pt>
                <c:pt idx="5">
                  <c:v>177651.8</c:v>
                </c:pt>
                <c:pt idx="6">
                  <c:v>185129.2</c:v>
                </c:pt>
                <c:pt idx="7">
                  <c:v>187475.4</c:v>
                </c:pt>
                <c:pt idx="8">
                  <c:v>189056</c:v>
                </c:pt>
                <c:pt idx="9">
                  <c:v>185374.2</c:v>
                </c:pt>
                <c:pt idx="10">
                  <c:v>187667.6</c:v>
                </c:pt>
                <c:pt idx="11">
                  <c:v>190334.6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C-4F68-99DB-1225325C85C7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2023'!$K$92:$V$92</c:f>
              <c:numCache>
                <c:formatCode>#,##0</c:formatCode>
                <c:ptCount val="12"/>
                <c:pt idx="0">
                  <c:v>-4830</c:v>
                </c:pt>
                <c:pt idx="1">
                  <c:v>-2459</c:v>
                </c:pt>
                <c:pt idx="2">
                  <c:v>13887.200000000012</c:v>
                </c:pt>
                <c:pt idx="3">
                  <c:v>21768.599999999977</c:v>
                </c:pt>
                <c:pt idx="4">
                  <c:v>28067.799999999988</c:v>
                </c:pt>
                <c:pt idx="5">
                  <c:v>35399.599999999977</c:v>
                </c:pt>
                <c:pt idx="6">
                  <c:v>44900.400000000023</c:v>
                </c:pt>
                <c:pt idx="7">
                  <c:v>50552.799999999988</c:v>
                </c:pt>
                <c:pt idx="8">
                  <c:v>55631</c:v>
                </c:pt>
                <c:pt idx="9">
                  <c:v>56762.400000000009</c:v>
                </c:pt>
                <c:pt idx="10">
                  <c:v>62375.200000000012</c:v>
                </c:pt>
                <c:pt idx="11">
                  <c:v>68268.200000000012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5C-4F68-99DB-1225325C85C7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2023'!$K$93:$V$93</c:f>
              <c:numCache>
                <c:formatCode>#,##0</c:formatCode>
                <c:ptCount val="12"/>
                <c:pt idx="0">
                  <c:v>-2847</c:v>
                </c:pt>
                <c:pt idx="1">
                  <c:v>-5487</c:v>
                </c:pt>
                <c:pt idx="2">
                  <c:v>9406.5999999999985</c:v>
                </c:pt>
                <c:pt idx="3">
                  <c:v>13013.800000000003</c:v>
                </c:pt>
                <c:pt idx="4">
                  <c:v>14511.400000000001</c:v>
                </c:pt>
                <c:pt idx="5">
                  <c:v>17385.800000000003</c:v>
                </c:pt>
                <c:pt idx="6">
                  <c:v>23152.199999999997</c:v>
                </c:pt>
                <c:pt idx="7">
                  <c:v>23787.4</c:v>
                </c:pt>
                <c:pt idx="8">
                  <c:v>23657</c:v>
                </c:pt>
                <c:pt idx="9">
                  <c:v>18264.199999999997</c:v>
                </c:pt>
                <c:pt idx="10">
                  <c:v>18846.599999999999</c:v>
                </c:pt>
                <c:pt idx="11">
                  <c:v>19802.599999999999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5C-4F68-99DB-1225325C8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71135"/>
        <c:axId val="912772575"/>
      </c:lineChart>
      <c:catAx>
        <c:axId val="912771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2575"/>
        <c:crosses val="autoZero"/>
        <c:auto val="1"/>
        <c:lblAlgn val="ctr"/>
        <c:lblOffset val="100"/>
        <c:noMultiLvlLbl val="0"/>
      </c:catAx>
      <c:valAx>
        <c:axId val="91277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1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2023'!$B$86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19802.599999999999</c:v>
                </c:pt>
                <c:pt idx="1">
                  <c:v>395096.2</c:v>
                </c:pt>
                <c:pt idx="2">
                  <c:v>850182.80000000016</c:v>
                </c:pt>
                <c:pt idx="3">
                  <c:v>1310974.6000000001</c:v>
                </c:pt>
                <c:pt idx="4">
                  <c:v>1811317.4000000001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4-4576-85A4-AE9A296A7F3E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-8366.4</c:v>
                </c:pt>
                <c:pt idx="1">
                  <c:v>-8366.4</c:v>
                </c:pt>
                <c:pt idx="2">
                  <c:v>-8194.2000000000007</c:v>
                </c:pt>
                <c:pt idx="3">
                  <c:v>-7461.8</c:v>
                </c:pt>
                <c:pt idx="4">
                  <c:v>-7453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B4-4576-85A4-AE9A296A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190334.6</c:v>
                </c:pt>
                <c:pt idx="1">
                  <c:v>583428.19999999995</c:v>
                </c:pt>
                <c:pt idx="2">
                  <c:v>1059663.8000000003</c:v>
                </c:pt>
                <c:pt idx="3">
                  <c:v>1541992.6</c:v>
                </c:pt>
                <c:pt idx="4">
                  <c:v>2063717.4000000001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4-4576-85A4-AE9A296A7F3E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68268.200000000012</c:v>
                </c:pt>
                <c:pt idx="1">
                  <c:v>500961.79999999993</c:v>
                </c:pt>
                <c:pt idx="2">
                  <c:v>969269.60000000033</c:v>
                </c:pt>
                <c:pt idx="3">
                  <c:v>1533030.8</c:v>
                </c:pt>
                <c:pt idx="4">
                  <c:v>2056264.4000000001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B4-4576-85A4-AE9A296A7F3E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19802.599999999999</c:v>
                </c:pt>
                <c:pt idx="1">
                  <c:v>395096.2</c:v>
                </c:pt>
                <c:pt idx="2">
                  <c:v>850182.80000000016</c:v>
                </c:pt>
                <c:pt idx="3">
                  <c:v>1310974.6000000001</c:v>
                </c:pt>
                <c:pt idx="4">
                  <c:v>1811317.4000000001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B4-4576-85A4-AE9A296A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2023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0014491140377"/>
          <c:y val="0.18903257906153997"/>
          <c:w val="0.77824102147914775"/>
          <c:h val="0.755530388633610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'IS 2023'!$C$34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2023'!$F$34:$Q$34</c:f>
              <c:numCache>
                <c:formatCode>#,##0</c:formatCode>
                <c:ptCount val="12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56338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A-4D31-B213-4BACD2299807}"/>
            </c:ext>
          </c:extLst>
        </c:ser>
        <c:ser>
          <c:idx val="1"/>
          <c:order val="1"/>
          <c:tx>
            <c:strRef>
              <c:f>'IS 2023'!$C$35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2023'!$F$35:$Q$35</c:f>
              <c:numCache>
                <c:formatCode>#,##0</c:formatCode>
                <c:ptCount val="12"/>
                <c:pt idx="0">
                  <c:v>-3334</c:v>
                </c:pt>
                <c:pt idx="1">
                  <c:v>-3334</c:v>
                </c:pt>
                <c:pt idx="2">
                  <c:v>-3334</c:v>
                </c:pt>
                <c:pt idx="3">
                  <c:v>-3334</c:v>
                </c:pt>
                <c:pt idx="4">
                  <c:v>-3334</c:v>
                </c:pt>
                <c:pt idx="5">
                  <c:v>-3334</c:v>
                </c:pt>
                <c:pt idx="6">
                  <c:v>-3334</c:v>
                </c:pt>
                <c:pt idx="7">
                  <c:v>-3334</c:v>
                </c:pt>
                <c:pt idx="8">
                  <c:v>-3334</c:v>
                </c:pt>
                <c:pt idx="9">
                  <c:v>-3334</c:v>
                </c:pt>
                <c:pt idx="10">
                  <c:v>-3334</c:v>
                </c:pt>
                <c:pt idx="11">
                  <c:v>-3334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DA-4D31-B213-4BACD2299807}"/>
            </c:ext>
          </c:extLst>
        </c:ser>
        <c:ser>
          <c:idx val="2"/>
          <c:order val="2"/>
          <c:tx>
            <c:strRef>
              <c:f>'IS 2023'!$C$67</c:f>
              <c:strCache>
                <c:ptCount val="1"/>
                <c:pt idx="0">
                  <c:v>Total Fixed Expenses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2023'!$F$67:$Q$67</c:f>
              <c:numCache>
                <c:formatCode>#,##0</c:formatCode>
                <c:ptCount val="12"/>
                <c:pt idx="0">
                  <c:v>-7800</c:v>
                </c:pt>
                <c:pt idx="1">
                  <c:v>-7800</c:v>
                </c:pt>
                <c:pt idx="2">
                  <c:v>-7800</c:v>
                </c:pt>
                <c:pt idx="3">
                  <c:v>-7800</c:v>
                </c:pt>
                <c:pt idx="4">
                  <c:v>-7800</c:v>
                </c:pt>
                <c:pt idx="5">
                  <c:v>-7800</c:v>
                </c:pt>
                <c:pt idx="6">
                  <c:v>-7800</c:v>
                </c:pt>
                <c:pt idx="7">
                  <c:v>-7800</c:v>
                </c:pt>
                <c:pt idx="8">
                  <c:v>-7800</c:v>
                </c:pt>
                <c:pt idx="9">
                  <c:v>-7800</c:v>
                </c:pt>
                <c:pt idx="10">
                  <c:v>-7800</c:v>
                </c:pt>
                <c:pt idx="11">
                  <c:v>-7800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DA-4D31-B213-4BACD2299807}"/>
            </c:ext>
          </c:extLst>
        </c:ser>
        <c:ser>
          <c:idx val="3"/>
          <c:order val="3"/>
          <c:tx>
            <c:strRef>
              <c:f>'IS 2023'!$C$74</c:f>
              <c:strCache>
                <c:ptCount val="1"/>
                <c:pt idx="0">
                  <c:v>Tax Expense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2023'!$F$6:$Q$6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2023'!$F$74:$Q$74</c:f>
              <c:numCache>
                <c:formatCode>#,##0</c:formatCode>
                <c:ptCount val="12"/>
                <c:pt idx="0">
                  <c:v>-3694</c:v>
                </c:pt>
                <c:pt idx="1">
                  <c:v>-3694</c:v>
                </c:pt>
                <c:pt idx="2">
                  <c:v>-7252.4000000000005</c:v>
                </c:pt>
                <c:pt idx="3">
                  <c:v>-7989.2000000000007</c:v>
                </c:pt>
                <c:pt idx="4">
                  <c:v>-8198.6</c:v>
                </c:pt>
                <c:pt idx="5">
                  <c:v>-8752.2000000000007</c:v>
                </c:pt>
                <c:pt idx="6">
                  <c:v>-10028.800000000001</c:v>
                </c:pt>
                <c:pt idx="7">
                  <c:v>-10022.6</c:v>
                </c:pt>
                <c:pt idx="8">
                  <c:v>-9825</c:v>
                </c:pt>
                <c:pt idx="9">
                  <c:v>-8311.8000000000011</c:v>
                </c:pt>
                <c:pt idx="10">
                  <c:v>-8292.4</c:v>
                </c:pt>
                <c:pt idx="11">
                  <c:v>-8366.4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DA-4D31-B213-4BACD2299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5542895"/>
        <c:axId val="1485552975"/>
      </c:barChart>
      <c:catAx>
        <c:axId val="1485542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552975"/>
        <c:crosses val="autoZero"/>
        <c:auto val="0"/>
        <c:lblAlgn val="ctr"/>
        <c:lblOffset val="100"/>
        <c:noMultiLvlLbl val="0"/>
      </c:catAx>
      <c:valAx>
        <c:axId val="1485552975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5542895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2024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2024'!$C$34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2024'!$F$34:$Q$34</c:f>
              <c:numCache>
                <c:formatCode>#,##0</c:formatCode>
                <c:ptCount val="12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55538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B4-453D-8C0B-9D32EAB40384}"/>
            </c:ext>
          </c:extLst>
        </c:ser>
        <c:ser>
          <c:idx val="1"/>
          <c:order val="1"/>
          <c:tx>
            <c:strRef>
              <c:f>'IS 2024'!$C$35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2024'!$F$35:$Q$35</c:f>
              <c:numCache>
                <c:formatCode>#,##0</c:formatCode>
                <c:ptCount val="12"/>
                <c:pt idx="0">
                  <c:v>-3334</c:v>
                </c:pt>
                <c:pt idx="1">
                  <c:v>-3334</c:v>
                </c:pt>
                <c:pt idx="2">
                  <c:v>-3334</c:v>
                </c:pt>
                <c:pt idx="3">
                  <c:v>-3334</c:v>
                </c:pt>
                <c:pt idx="4">
                  <c:v>-3334</c:v>
                </c:pt>
                <c:pt idx="5">
                  <c:v>-3334</c:v>
                </c:pt>
                <c:pt idx="6">
                  <c:v>-3334</c:v>
                </c:pt>
                <c:pt idx="7">
                  <c:v>-3334</c:v>
                </c:pt>
                <c:pt idx="8">
                  <c:v>-3334</c:v>
                </c:pt>
                <c:pt idx="9">
                  <c:v>-3334</c:v>
                </c:pt>
                <c:pt idx="10">
                  <c:v>-3334</c:v>
                </c:pt>
                <c:pt idx="11">
                  <c:v>-3334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B4-453D-8C0B-9D32EAB40384}"/>
            </c:ext>
          </c:extLst>
        </c:ser>
        <c:ser>
          <c:idx val="2"/>
          <c:order val="2"/>
          <c:tx>
            <c:strRef>
              <c:f>'IS 2024'!$C$67</c:f>
              <c:strCache>
                <c:ptCount val="1"/>
                <c:pt idx="0">
                  <c:v>Total Fixed Expenses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2024'!$F$67:$Q$67</c:f>
              <c:numCache>
                <c:formatCode>#,##0</c:formatCode>
                <c:ptCount val="12"/>
                <c:pt idx="0">
                  <c:v>-7800</c:v>
                </c:pt>
                <c:pt idx="1">
                  <c:v>-7800</c:v>
                </c:pt>
                <c:pt idx="2">
                  <c:v>-7800</c:v>
                </c:pt>
                <c:pt idx="3">
                  <c:v>-7800</c:v>
                </c:pt>
                <c:pt idx="4">
                  <c:v>-7800</c:v>
                </c:pt>
                <c:pt idx="5">
                  <c:v>-7800</c:v>
                </c:pt>
                <c:pt idx="6">
                  <c:v>-7800</c:v>
                </c:pt>
                <c:pt idx="7">
                  <c:v>-7800</c:v>
                </c:pt>
                <c:pt idx="8">
                  <c:v>-7800</c:v>
                </c:pt>
                <c:pt idx="9">
                  <c:v>-7800</c:v>
                </c:pt>
                <c:pt idx="10">
                  <c:v>-7800</c:v>
                </c:pt>
                <c:pt idx="11">
                  <c:v>-7800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B4-453D-8C0B-9D32EAB40384}"/>
            </c:ext>
          </c:extLst>
        </c:ser>
        <c:ser>
          <c:idx val="3"/>
          <c:order val="3"/>
          <c:tx>
            <c:strRef>
              <c:f>'IS 2024'!$C$74</c:f>
              <c:strCache>
                <c:ptCount val="1"/>
                <c:pt idx="0">
                  <c:v>Tax Expense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2024'!$F$6:$Q$6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2024'!$F$74:$Q$74</c:f>
              <c:numCache>
                <c:formatCode>#,##0</c:formatCode>
                <c:ptCount val="12"/>
                <c:pt idx="0">
                  <c:v>-3694</c:v>
                </c:pt>
                <c:pt idx="1">
                  <c:v>-3694</c:v>
                </c:pt>
                <c:pt idx="2">
                  <c:v>-7252.4000000000005</c:v>
                </c:pt>
                <c:pt idx="3">
                  <c:v>-7989.2000000000007</c:v>
                </c:pt>
                <c:pt idx="4">
                  <c:v>-8198.6</c:v>
                </c:pt>
                <c:pt idx="5">
                  <c:v>-8592.2000000000007</c:v>
                </c:pt>
                <c:pt idx="6">
                  <c:v>-10028.800000000001</c:v>
                </c:pt>
                <c:pt idx="7">
                  <c:v>-10022.6</c:v>
                </c:pt>
                <c:pt idx="8">
                  <c:v>-9825</c:v>
                </c:pt>
                <c:pt idx="9">
                  <c:v>-8311.8000000000011</c:v>
                </c:pt>
                <c:pt idx="10">
                  <c:v>-8292.4</c:v>
                </c:pt>
                <c:pt idx="11">
                  <c:v>-8366.4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B4-453D-8C0B-9D32EAB40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4036015"/>
        <c:axId val="1384028335"/>
      </c:barChart>
      <c:catAx>
        <c:axId val="1384036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28335"/>
        <c:crosses val="autoZero"/>
        <c:auto val="1"/>
        <c:lblAlgn val="ctr"/>
        <c:lblOffset val="100"/>
        <c:noMultiLvlLbl val="0"/>
      </c:catAx>
      <c:valAx>
        <c:axId val="1384028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36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2025</a:t>
            </a:r>
            <a:r>
              <a:rPr lang="en-GB" baseline="0"/>
              <a:t> Summary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2025'!$C$34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2025'!$F$34:$Q$34</c:f>
              <c:numCache>
                <c:formatCode>#,##0</c:formatCode>
                <c:ptCount val="12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55538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F-492E-AC75-CC2591AE5A01}"/>
            </c:ext>
          </c:extLst>
        </c:ser>
        <c:ser>
          <c:idx val="1"/>
          <c:order val="1"/>
          <c:tx>
            <c:strRef>
              <c:f>'IS 2025'!$C$35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2025'!$F$35:$Q$35</c:f>
              <c:numCache>
                <c:formatCode>#,##0</c:formatCode>
                <c:ptCount val="12"/>
                <c:pt idx="0">
                  <c:v>-2545</c:v>
                </c:pt>
                <c:pt idx="1">
                  <c:v>-2545</c:v>
                </c:pt>
                <c:pt idx="2">
                  <c:v>-2545</c:v>
                </c:pt>
                <c:pt idx="3">
                  <c:v>-2545</c:v>
                </c:pt>
                <c:pt idx="4">
                  <c:v>-2545</c:v>
                </c:pt>
                <c:pt idx="5">
                  <c:v>-2545</c:v>
                </c:pt>
                <c:pt idx="6">
                  <c:v>-2545</c:v>
                </c:pt>
                <c:pt idx="7">
                  <c:v>-2545</c:v>
                </c:pt>
                <c:pt idx="8">
                  <c:v>-2545</c:v>
                </c:pt>
                <c:pt idx="9">
                  <c:v>-2545</c:v>
                </c:pt>
                <c:pt idx="10">
                  <c:v>-2545</c:v>
                </c:pt>
                <c:pt idx="11">
                  <c:v>-2545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F-492E-AC75-CC2591AE5A01}"/>
            </c:ext>
          </c:extLst>
        </c:ser>
        <c:ser>
          <c:idx val="2"/>
          <c:order val="2"/>
          <c:tx>
            <c:strRef>
              <c:f>'IS 2025'!$C$75</c:f>
              <c:strCache>
                <c:ptCount val="1"/>
                <c:pt idx="0">
                  <c:v>Total Fixed Expenses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2025'!$F$75:$Q$75</c:f>
              <c:numCache>
                <c:formatCode>#,##0</c:formatCode>
                <c:ptCount val="12"/>
                <c:pt idx="0">
                  <c:v>-7250</c:v>
                </c:pt>
                <c:pt idx="1">
                  <c:v>-7250</c:v>
                </c:pt>
                <c:pt idx="2">
                  <c:v>-7250</c:v>
                </c:pt>
                <c:pt idx="3">
                  <c:v>-7250</c:v>
                </c:pt>
                <c:pt idx="4">
                  <c:v>-7250</c:v>
                </c:pt>
                <c:pt idx="5">
                  <c:v>-7250</c:v>
                </c:pt>
                <c:pt idx="6">
                  <c:v>-7250</c:v>
                </c:pt>
                <c:pt idx="7">
                  <c:v>-7250</c:v>
                </c:pt>
                <c:pt idx="8">
                  <c:v>-7250</c:v>
                </c:pt>
                <c:pt idx="9">
                  <c:v>-7250</c:v>
                </c:pt>
                <c:pt idx="10">
                  <c:v>-7250</c:v>
                </c:pt>
                <c:pt idx="11">
                  <c:v>-7250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5F-492E-AC75-CC2591AE5A01}"/>
            </c:ext>
          </c:extLst>
        </c:ser>
        <c:ser>
          <c:idx val="3"/>
          <c:order val="3"/>
          <c:tx>
            <c:strRef>
              <c:f>'IS 2025'!$C$81</c:f>
              <c:strCache>
                <c:ptCount val="1"/>
                <c:pt idx="0">
                  <c:v>Tax Expense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2025'!$F$81:$Q$81</c:f>
              <c:numCache>
                <c:formatCode>0</c:formatCode>
                <c:ptCount val="12"/>
                <c:pt idx="0">
                  <c:v>-2769.6000000000004</c:v>
                </c:pt>
                <c:pt idx="1">
                  <c:v>-2769.6000000000004</c:v>
                </c:pt>
                <c:pt idx="2">
                  <c:v>-6328</c:v>
                </c:pt>
                <c:pt idx="3">
                  <c:v>-7777</c:v>
                </c:pt>
                <c:pt idx="4">
                  <c:v>-7986.4000000000005</c:v>
                </c:pt>
                <c:pt idx="5">
                  <c:v>-8380</c:v>
                </c:pt>
                <c:pt idx="6">
                  <c:v>-9816.6</c:v>
                </c:pt>
                <c:pt idx="7">
                  <c:v>-9810.4</c:v>
                </c:pt>
                <c:pt idx="8">
                  <c:v>-9612.8000000000011</c:v>
                </c:pt>
                <c:pt idx="9">
                  <c:v>-8099.6</c:v>
                </c:pt>
                <c:pt idx="10">
                  <c:v>-8080.2000000000007</c:v>
                </c:pt>
                <c:pt idx="11">
                  <c:v>-8194.2000000000007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5F-492E-AC75-CC2591AE5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4016815"/>
        <c:axId val="1384012015"/>
      </c:barChart>
      <c:catAx>
        <c:axId val="138401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12015"/>
        <c:crosses val="autoZero"/>
        <c:auto val="1"/>
        <c:lblAlgn val="ctr"/>
        <c:lblOffset val="100"/>
        <c:noMultiLvlLbl val="0"/>
      </c:catAx>
      <c:valAx>
        <c:axId val="1384012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168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/>
              <a:t>AC 7kW @ 45p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Calculations!$B$43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Calculations!$C$54:$G$54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Calculations!$C$43:$G$43</c:f>
              <c:numCache>
                <c:formatCode>#,##0</c:formatCode>
                <c:ptCount val="5"/>
                <c:pt idx="0">
                  <c:v>11663.333333333334</c:v>
                </c:pt>
                <c:pt idx="1">
                  <c:v>12160</c:v>
                </c:pt>
                <c:pt idx="2">
                  <c:v>12160</c:v>
                </c:pt>
                <c:pt idx="3">
                  <c:v>12160</c:v>
                </c:pt>
                <c:pt idx="4">
                  <c:v>12036.25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7F-4AD9-BBD3-208F9890C738}"/>
            </c:ext>
          </c:extLst>
        </c:ser>
        <c:ser>
          <c:idx val="1"/>
          <c:order val="1"/>
          <c:tx>
            <c:strRef>
              <c:f>Calculations!$B$44</c:f>
              <c:strCache>
                <c:ptCount val="1"/>
                <c:pt idx="0">
                  <c:v>Max Traffic 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Calculations!$C$54:$G$54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Calculations!$C$44:$G$44</c:f>
              <c:numCache>
                <c:formatCode>#,##0</c:formatCode>
                <c:ptCount val="5"/>
                <c:pt idx="0">
                  <c:v>15000</c:v>
                </c:pt>
                <c:pt idx="1">
                  <c:v>15000</c:v>
                </c:pt>
                <c:pt idx="2">
                  <c:v>15000</c:v>
                </c:pt>
                <c:pt idx="3">
                  <c:v>15000</c:v>
                </c:pt>
                <c:pt idx="4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7F-4AD9-BBD3-208F9890C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1225794639"/>
        <c:axId val="1225784559"/>
      </c:barChart>
      <c:lineChart>
        <c:grouping val="standard"/>
        <c:varyColors val="0"/>
        <c:ser>
          <c:idx val="2"/>
          <c:order val="2"/>
          <c:tx>
            <c:strRef>
              <c:f>Calculations!$B$45</c:f>
              <c:strCache>
                <c:ptCount val="1"/>
                <c:pt idx="0">
                  <c:v>Percentage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Calculations!$C$45:$G$45</c:f>
              <c:numCache>
                <c:formatCode>0.00%</c:formatCode>
                <c:ptCount val="5"/>
                <c:pt idx="0" formatCode="0%">
                  <c:v>0.77755555555555567</c:v>
                </c:pt>
                <c:pt idx="1">
                  <c:v>0.81066666666666676</c:v>
                </c:pt>
                <c:pt idx="2">
                  <c:v>0.81066666666666676</c:v>
                </c:pt>
                <c:pt idx="3">
                  <c:v>0.81066666666666676</c:v>
                </c:pt>
                <c:pt idx="4">
                  <c:v>0.80241666666666667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7F-4AD9-BBD3-208F9890C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102735"/>
        <c:axId val="1384066735"/>
      </c:lineChart>
      <c:catAx>
        <c:axId val="12257946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784559"/>
        <c:crosses val="autoZero"/>
        <c:auto val="1"/>
        <c:lblAlgn val="ctr"/>
        <c:lblOffset val="100"/>
        <c:noMultiLvlLbl val="0"/>
      </c:catAx>
      <c:valAx>
        <c:axId val="1225784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5794639"/>
        <c:crosses val="autoZero"/>
        <c:crossBetween val="between"/>
      </c:valAx>
      <c:valAx>
        <c:axId val="1384066735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102735"/>
        <c:crosses val="max"/>
        <c:crossBetween val="between"/>
      </c:valAx>
      <c:catAx>
        <c:axId val="1384102735"/>
        <c:scaling>
          <c:orientation val="minMax"/>
        </c:scaling>
        <c:delete val="1"/>
        <c:axPos val="b"/>
        <c:majorTickMark val="out"/>
        <c:minorTickMark val="none"/>
        <c:tickLblPos val="nextTo"/>
        <c:crossAx val="138406673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>
                <a:latin typeface="+mj-lt"/>
              </a:rPr>
              <a:t>Fast AC 43kW DC 50kW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Calculations!$B$47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Calculations!$C$54:$G$54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Calculations!$C$47:$G$47</c:f>
              <c:numCache>
                <c:formatCode>#,##0</c:formatCode>
                <c:ptCount val="5"/>
                <c:pt idx="0">
                  <c:v>18373</c:v>
                </c:pt>
                <c:pt idx="1">
                  <c:v>18373</c:v>
                </c:pt>
                <c:pt idx="2">
                  <c:v>18373</c:v>
                </c:pt>
                <c:pt idx="3">
                  <c:v>18373</c:v>
                </c:pt>
                <c:pt idx="4">
                  <c:v>19498.833333333332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F-42F6-9FFA-A65DCB6F5368}"/>
            </c:ext>
          </c:extLst>
        </c:ser>
        <c:ser>
          <c:idx val="1"/>
          <c:order val="1"/>
          <c:tx>
            <c:strRef>
              <c:f>Calculations!$B$48</c:f>
              <c:strCache>
                <c:ptCount val="1"/>
                <c:pt idx="0">
                  <c:v>Max Traffic 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Calculations!$C$54:$G$54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Calculations!$C$48:$G$48</c:f>
              <c:numCache>
                <c:formatCode>#,##0</c:formatCode>
                <c:ptCount val="5"/>
                <c:pt idx="0">
                  <c:v>20266.666666666668</c:v>
                </c:pt>
                <c:pt idx="1">
                  <c:v>20266.666666666668</c:v>
                </c:pt>
                <c:pt idx="2">
                  <c:v>20266.666666666668</c:v>
                </c:pt>
                <c:pt idx="3">
                  <c:v>20266.666666666668</c:v>
                </c:pt>
                <c:pt idx="4">
                  <c:v>20916.666666666668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F-42F6-9FFA-A65DCB6F5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1328553695"/>
        <c:axId val="1328528255"/>
      </c:barChart>
      <c:lineChart>
        <c:grouping val="standard"/>
        <c:varyColors val="0"/>
        <c:ser>
          <c:idx val="2"/>
          <c:order val="2"/>
          <c:tx>
            <c:strRef>
              <c:f>Calculations!$B$49</c:f>
              <c:strCache>
                <c:ptCount val="1"/>
                <c:pt idx="0">
                  <c:v>Percentage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Calculations!$C$49:$G$49</c:f>
              <c:numCache>
                <c:formatCode>0.00%</c:formatCode>
                <c:ptCount val="5"/>
                <c:pt idx="0">
                  <c:v>0.8897656349206351</c:v>
                </c:pt>
                <c:pt idx="1">
                  <c:v>0.8897656349206351</c:v>
                </c:pt>
                <c:pt idx="2">
                  <c:v>0.8897656349206351</c:v>
                </c:pt>
                <c:pt idx="3">
                  <c:v>0.8897656349206351</c:v>
                </c:pt>
                <c:pt idx="4">
                  <c:v>0.91963412698412716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0F-42F6-9FFA-A65DCB6F5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072495"/>
        <c:axId val="1384068175"/>
      </c:lineChart>
      <c:catAx>
        <c:axId val="1328553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528255"/>
        <c:crosses val="autoZero"/>
        <c:auto val="1"/>
        <c:lblAlgn val="ctr"/>
        <c:lblOffset val="100"/>
        <c:noMultiLvlLbl val="0"/>
      </c:catAx>
      <c:valAx>
        <c:axId val="1328528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553695"/>
        <c:crosses val="autoZero"/>
        <c:crossBetween val="between"/>
      </c:valAx>
      <c:valAx>
        <c:axId val="1384068175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72495"/>
        <c:crosses val="max"/>
        <c:crossBetween val="between"/>
      </c:valAx>
      <c:catAx>
        <c:axId val="1384072495"/>
        <c:scaling>
          <c:orientation val="minMax"/>
        </c:scaling>
        <c:delete val="1"/>
        <c:axPos val="b"/>
        <c:majorTickMark val="out"/>
        <c:minorTickMark val="none"/>
        <c:tickLblPos val="nextTo"/>
        <c:crossAx val="13840681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/>
              <a:t>Superfast DC 150+kW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Calculations!$B$51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Calculations!$C$54:$G$54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Calculations!$C$51:$G$51</c:f>
              <c:numCache>
                <c:formatCode>#,##0</c:formatCode>
                <c:ptCount val="5"/>
                <c:pt idx="0">
                  <c:v>18896.599999999999</c:v>
                </c:pt>
                <c:pt idx="1">
                  <c:v>18896.599999999999</c:v>
                </c:pt>
                <c:pt idx="2">
                  <c:v>18896.599999999999</c:v>
                </c:pt>
                <c:pt idx="3">
                  <c:v>18896.599999999999</c:v>
                </c:pt>
                <c:pt idx="4">
                  <c:v>20320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5-44C3-8280-BE633A7D5F9C}"/>
            </c:ext>
          </c:extLst>
        </c:ser>
        <c:ser>
          <c:idx val="1"/>
          <c:order val="1"/>
          <c:tx>
            <c:strRef>
              <c:f>Calculations!$B$52</c:f>
              <c:strCache>
                <c:ptCount val="1"/>
                <c:pt idx="0">
                  <c:v>Max Traffic 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Calculations!$C$54:$G$54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Calculations!$C$52:$G$52</c:f>
              <c:numCache>
                <c:formatCode>#,##0</c:formatCode>
                <c:ptCount val="5"/>
                <c:pt idx="0">
                  <c:v>22333.333333333332</c:v>
                </c:pt>
                <c:pt idx="1">
                  <c:v>23666.666666666668</c:v>
                </c:pt>
                <c:pt idx="2">
                  <c:v>23666.666666666668</c:v>
                </c:pt>
                <c:pt idx="3">
                  <c:v>23666.666666666668</c:v>
                </c:pt>
                <c:pt idx="4">
                  <c:v>23333.333333333332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95-44C3-8280-BE633A7D5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1328494175"/>
        <c:axId val="1328500415"/>
      </c:barChart>
      <c:lineChart>
        <c:grouping val="standard"/>
        <c:varyColors val="0"/>
        <c:ser>
          <c:idx val="2"/>
          <c:order val="2"/>
          <c:tx>
            <c:strRef>
              <c:f>Calculations!$B$53</c:f>
              <c:strCache>
                <c:ptCount val="1"/>
                <c:pt idx="0">
                  <c:v>Percentage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Calculations!$C$53:$G$53</c:f>
              <c:numCache>
                <c:formatCode>0.00%</c:formatCode>
                <c:ptCount val="5"/>
                <c:pt idx="0">
                  <c:v>0.82747999999999999</c:v>
                </c:pt>
                <c:pt idx="1">
                  <c:v>0.79167199999999993</c:v>
                </c:pt>
                <c:pt idx="2">
                  <c:v>0.79167199999999993</c:v>
                </c:pt>
                <c:pt idx="3">
                  <c:v>0.79167199999999993</c:v>
                </c:pt>
                <c:pt idx="4">
                  <c:v>0.85755999999999999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95-44C3-8280-BE633A7D5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059535"/>
        <c:axId val="1384075855"/>
      </c:lineChart>
      <c:catAx>
        <c:axId val="1328494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500415"/>
        <c:crosses val="autoZero"/>
        <c:auto val="1"/>
        <c:lblAlgn val="ctr"/>
        <c:lblOffset val="100"/>
        <c:noMultiLvlLbl val="0"/>
      </c:catAx>
      <c:valAx>
        <c:axId val="1328500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8494175"/>
        <c:crosses val="autoZero"/>
        <c:crossBetween val="between"/>
      </c:valAx>
      <c:valAx>
        <c:axId val="1384075855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59535"/>
        <c:crosses val="max"/>
        <c:crossBetween val="between"/>
      </c:valAx>
      <c:catAx>
        <c:axId val="1384059535"/>
        <c:scaling>
          <c:orientation val="minMax"/>
        </c:scaling>
        <c:delete val="1"/>
        <c:axPos val="b"/>
        <c:majorTickMark val="out"/>
        <c:minorTickMark val="none"/>
        <c:tickLblPos val="nextTo"/>
        <c:crossAx val="138407585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Assumption Visitor Numbers For Area Projects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Calculations!$C$57</c:f>
              <c:strCache>
                <c:ptCount val="1"/>
                <c:pt idx="0">
                  <c:v>Richmond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Calculations!$B$58:$B$67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Calculations!$C$58:$C$67</c:f>
              <c:numCache>
                <c:formatCode>0</c:formatCode>
                <c:ptCount val="10"/>
                <c:pt idx="0">
                  <c:v>11379</c:v>
                </c:pt>
                <c:pt idx="1">
                  <c:v>52263</c:v>
                </c:pt>
                <c:pt idx="2">
                  <c:v>100028</c:v>
                </c:pt>
                <c:pt idx="3">
                  <c:v>125840</c:v>
                </c:pt>
                <c:pt idx="4">
                  <c:v>139634</c:v>
                </c:pt>
                <c:pt idx="5">
                  <c:v>148781</c:v>
                </c:pt>
                <c:pt idx="6">
                  <c:v>154272</c:v>
                </c:pt>
                <c:pt idx="7">
                  <c:v>158650</c:v>
                </c:pt>
                <c:pt idx="8">
                  <c:v>163168</c:v>
                </c:pt>
                <c:pt idx="9">
                  <c:v>165913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C1-4634-B05F-3EA24F35D3DE}"/>
            </c:ext>
          </c:extLst>
        </c:ser>
        <c:ser>
          <c:idx val="1"/>
          <c:order val="1"/>
          <c:tx>
            <c:strRef>
              <c:f>Calculations!$D$57</c:f>
              <c:strCache>
                <c:ptCount val="1"/>
                <c:pt idx="0">
                  <c:v>Windsor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Calculations!$B$58:$B$67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Calculations!$D$58:$D$67</c:f>
              <c:numCache>
                <c:formatCode>0</c:formatCode>
                <c:ptCount val="10"/>
                <c:pt idx="0">
                  <c:v>-31480</c:v>
                </c:pt>
                <c:pt idx="1">
                  <c:v>-4562</c:v>
                </c:pt>
                <c:pt idx="2">
                  <c:v>26968</c:v>
                </c:pt>
                <c:pt idx="3">
                  <c:v>44467</c:v>
                </c:pt>
                <c:pt idx="4">
                  <c:v>53956</c:v>
                </c:pt>
                <c:pt idx="5">
                  <c:v>60295</c:v>
                </c:pt>
                <c:pt idx="6">
                  <c:v>64120</c:v>
                </c:pt>
                <c:pt idx="7">
                  <c:v>67181</c:v>
                </c:pt>
                <c:pt idx="8">
                  <c:v>70339</c:v>
                </c:pt>
                <c:pt idx="9">
                  <c:v>72262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C1-4634-B05F-3EA24F35D3DE}"/>
            </c:ext>
          </c:extLst>
        </c:ser>
        <c:ser>
          <c:idx val="2"/>
          <c:order val="2"/>
          <c:tx>
            <c:strRef>
              <c:f>Calculations!$E$57</c:f>
              <c:strCache>
                <c:ptCount val="1"/>
                <c:pt idx="0">
                  <c:v>Redhill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Calculations!$B$58:$B$67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Calculations!$E$58:$E$67</c:f>
              <c:numCache>
                <c:formatCode>0</c:formatCode>
                <c:ptCount val="10"/>
                <c:pt idx="0">
                  <c:v>28389</c:v>
                </c:pt>
                <c:pt idx="1">
                  <c:v>35863</c:v>
                </c:pt>
                <c:pt idx="2">
                  <c:v>44565</c:v>
                </c:pt>
                <c:pt idx="3">
                  <c:v>49318</c:v>
                </c:pt>
                <c:pt idx="4">
                  <c:v>51894</c:v>
                </c:pt>
                <c:pt idx="5">
                  <c:v>53615</c:v>
                </c:pt>
                <c:pt idx="6">
                  <c:v>54653</c:v>
                </c:pt>
                <c:pt idx="7">
                  <c:v>55484</c:v>
                </c:pt>
                <c:pt idx="8">
                  <c:v>56341</c:v>
                </c:pt>
                <c:pt idx="9">
                  <c:v>56863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C1-4634-B05F-3EA24F35D3DE}"/>
            </c:ext>
          </c:extLst>
        </c:ser>
        <c:ser>
          <c:idx val="3"/>
          <c:order val="3"/>
          <c:tx>
            <c:strRef>
              <c:f>Calculations!$F$57</c:f>
              <c:strCache>
                <c:ptCount val="1"/>
                <c:pt idx="0">
                  <c:v>Guildford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  <a:round/>
              </a:ln>
              <a:effectLst/>
            </c:spPr>
          </c:marker>
          <c:cat>
            <c:numRef>
              <c:f>Calculations!$B$58:$B$67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Calculations!$F$58:$F$67</c:f>
              <c:numCache>
                <c:formatCode>0</c:formatCode>
                <c:ptCount val="10"/>
                <c:pt idx="0">
                  <c:v>14846</c:v>
                </c:pt>
                <c:pt idx="1">
                  <c:v>19173</c:v>
                </c:pt>
                <c:pt idx="2">
                  <c:v>24191</c:v>
                </c:pt>
                <c:pt idx="3">
                  <c:v>26712</c:v>
                </c:pt>
                <c:pt idx="4">
                  <c:v>28006</c:v>
                </c:pt>
                <c:pt idx="5">
                  <c:v>28848</c:v>
                </c:pt>
                <c:pt idx="6">
                  <c:v>29346</c:v>
                </c:pt>
                <c:pt idx="7">
                  <c:v>29740</c:v>
                </c:pt>
                <c:pt idx="8">
                  <c:v>30146</c:v>
                </c:pt>
                <c:pt idx="9">
                  <c:v>30392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C1-4634-B05F-3EA24F35D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423359"/>
        <c:axId val="766447839"/>
      </c:lineChart>
      <c:catAx>
        <c:axId val="766423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447839"/>
        <c:crosses val="autoZero"/>
        <c:auto val="1"/>
        <c:lblAlgn val="ctr"/>
        <c:lblOffset val="100"/>
        <c:noMultiLvlLbl val="0"/>
      </c:catAx>
      <c:valAx>
        <c:axId val="766447839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42335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Cash Flow Available To Capital Providers / Cash Flow Available to Equity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CFACP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'CF 2024'!$G$4:$R$4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'CF 2024'!$G$76:$R$76</c:f>
              <c:numCache>
                <c:formatCode>#,##0</c:formatCode>
                <c:ptCount val="12"/>
                <c:pt idx="0">
                  <c:v>-2847</c:v>
                </c:pt>
                <c:pt idx="1">
                  <c:v>-2187</c:v>
                </c:pt>
                <c:pt idx="2">
                  <c:v>12706.599999999999</c:v>
                </c:pt>
                <c:pt idx="3">
                  <c:v>16313.800000000003</c:v>
                </c:pt>
                <c:pt idx="4">
                  <c:v>17811.400000000001</c:v>
                </c:pt>
                <c:pt idx="5">
                  <c:v>19885.800000000003</c:v>
                </c:pt>
                <c:pt idx="6">
                  <c:v>26452.199999999997</c:v>
                </c:pt>
                <c:pt idx="7">
                  <c:v>27087.4</c:v>
                </c:pt>
                <c:pt idx="8">
                  <c:v>26957</c:v>
                </c:pt>
                <c:pt idx="9">
                  <c:v>21564.199999999997</c:v>
                </c:pt>
                <c:pt idx="10">
                  <c:v>22146.6</c:v>
                </c:pt>
                <c:pt idx="11">
                  <c:v>23102.6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A-4A86-A159-11DC9D190E2E}"/>
            </c:ext>
          </c:extLst>
        </c:ser>
        <c:ser>
          <c:idx val="1"/>
          <c:order val="1"/>
          <c:tx>
            <c:v>CFAE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'CF 2024'!$G$4:$R$4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'CF 2024'!$G$77:$R$77</c:f>
              <c:numCache>
                <c:formatCode>#,##0</c:formatCode>
                <c:ptCount val="12"/>
                <c:pt idx="0">
                  <c:v>12813</c:v>
                </c:pt>
                <c:pt idx="1">
                  <c:v>13143</c:v>
                </c:pt>
                <c:pt idx="2">
                  <c:v>27706.6</c:v>
                </c:pt>
                <c:pt idx="3">
                  <c:v>30983.8</c:v>
                </c:pt>
                <c:pt idx="4">
                  <c:v>32151.4</c:v>
                </c:pt>
                <c:pt idx="5">
                  <c:v>34055.800000000003</c:v>
                </c:pt>
                <c:pt idx="6">
                  <c:v>40132.199999999997</c:v>
                </c:pt>
                <c:pt idx="7">
                  <c:v>40437.4</c:v>
                </c:pt>
                <c:pt idx="8">
                  <c:v>39977</c:v>
                </c:pt>
                <c:pt idx="9">
                  <c:v>34254.199999999997</c:v>
                </c:pt>
                <c:pt idx="10">
                  <c:v>34506.6</c:v>
                </c:pt>
                <c:pt idx="11">
                  <c:v>35132.6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A-4A86-A159-11DC9D190E2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55339039"/>
        <c:axId val="1655317439"/>
      </c:lineChart>
      <c:dateAx>
        <c:axId val="165533903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5317439"/>
        <c:crosses val="autoZero"/>
        <c:auto val="1"/>
        <c:lblOffset val="100"/>
        <c:baseTimeUnit val="months"/>
      </c:dateAx>
      <c:valAx>
        <c:axId val="165531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5339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2023</a:t>
            </a:r>
            <a:r>
              <a:rPr lang="en-GB" baseline="0"/>
              <a:t> Summary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2023'!$C$34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2023'!$F$34:$Q$34</c:f>
              <c:numCache>
                <c:formatCode>#,##0</c:formatCode>
                <c:ptCount val="12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56338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8-4CFA-906E-13B347AB2E3F}"/>
            </c:ext>
          </c:extLst>
        </c:ser>
        <c:ser>
          <c:idx val="1"/>
          <c:order val="1"/>
          <c:tx>
            <c:strRef>
              <c:f>'IS 2023'!$C$35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2023'!$F$35:$Q$35</c:f>
              <c:numCache>
                <c:formatCode>#,##0</c:formatCode>
                <c:ptCount val="12"/>
                <c:pt idx="0">
                  <c:v>-3334</c:v>
                </c:pt>
                <c:pt idx="1">
                  <c:v>-3334</c:v>
                </c:pt>
                <c:pt idx="2">
                  <c:v>-3334</c:v>
                </c:pt>
                <c:pt idx="3">
                  <c:v>-3334</c:v>
                </c:pt>
                <c:pt idx="4">
                  <c:v>-3334</c:v>
                </c:pt>
                <c:pt idx="5">
                  <c:v>-3334</c:v>
                </c:pt>
                <c:pt idx="6">
                  <c:v>-3334</c:v>
                </c:pt>
                <c:pt idx="7">
                  <c:v>-3334</c:v>
                </c:pt>
                <c:pt idx="8">
                  <c:v>-3334</c:v>
                </c:pt>
                <c:pt idx="9">
                  <c:v>-3334</c:v>
                </c:pt>
                <c:pt idx="10">
                  <c:v>-3334</c:v>
                </c:pt>
                <c:pt idx="11">
                  <c:v>-3334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8-4CFA-906E-13B347AB2E3F}"/>
            </c:ext>
          </c:extLst>
        </c:ser>
        <c:ser>
          <c:idx val="2"/>
          <c:order val="2"/>
          <c:tx>
            <c:strRef>
              <c:f>'IS 2023'!$C$67</c:f>
              <c:strCache>
                <c:ptCount val="1"/>
                <c:pt idx="0">
                  <c:v>Total Fixed Expenses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2023'!$F$67:$Q$67</c:f>
              <c:numCache>
                <c:formatCode>#,##0</c:formatCode>
                <c:ptCount val="12"/>
                <c:pt idx="0">
                  <c:v>-7800</c:v>
                </c:pt>
                <c:pt idx="1">
                  <c:v>-7800</c:v>
                </c:pt>
                <c:pt idx="2">
                  <c:v>-7800</c:v>
                </c:pt>
                <c:pt idx="3">
                  <c:v>-7800</c:v>
                </c:pt>
                <c:pt idx="4">
                  <c:v>-7800</c:v>
                </c:pt>
                <c:pt idx="5">
                  <c:v>-7800</c:v>
                </c:pt>
                <c:pt idx="6">
                  <c:v>-7800</c:v>
                </c:pt>
                <c:pt idx="7">
                  <c:v>-7800</c:v>
                </c:pt>
                <c:pt idx="8">
                  <c:v>-7800</c:v>
                </c:pt>
                <c:pt idx="9">
                  <c:v>-7800</c:v>
                </c:pt>
                <c:pt idx="10">
                  <c:v>-7800</c:v>
                </c:pt>
                <c:pt idx="11">
                  <c:v>-7800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8-4CFA-906E-13B347AB2E3F}"/>
            </c:ext>
          </c:extLst>
        </c:ser>
        <c:ser>
          <c:idx val="3"/>
          <c:order val="3"/>
          <c:tx>
            <c:strRef>
              <c:f>'IS 2023'!$C$74</c:f>
              <c:strCache>
                <c:ptCount val="1"/>
                <c:pt idx="0">
                  <c:v>Tax Expense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2023'!$F$74:$Q$74</c:f>
              <c:numCache>
                <c:formatCode>#,##0</c:formatCode>
                <c:ptCount val="12"/>
                <c:pt idx="0">
                  <c:v>-3694</c:v>
                </c:pt>
                <c:pt idx="1">
                  <c:v>-3694</c:v>
                </c:pt>
                <c:pt idx="2">
                  <c:v>-7252.4000000000005</c:v>
                </c:pt>
                <c:pt idx="3">
                  <c:v>-7989.2000000000007</c:v>
                </c:pt>
                <c:pt idx="4">
                  <c:v>-8198.6</c:v>
                </c:pt>
                <c:pt idx="5">
                  <c:v>-8752.2000000000007</c:v>
                </c:pt>
                <c:pt idx="6">
                  <c:v>-10028.800000000001</c:v>
                </c:pt>
                <c:pt idx="7">
                  <c:v>-10022.6</c:v>
                </c:pt>
                <c:pt idx="8">
                  <c:v>-9825</c:v>
                </c:pt>
                <c:pt idx="9">
                  <c:v>-8311.8000000000011</c:v>
                </c:pt>
                <c:pt idx="10">
                  <c:v>-8292.4</c:v>
                </c:pt>
                <c:pt idx="11">
                  <c:v>-8366.4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58-4CFA-906E-13B347AB2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4016815"/>
        <c:axId val="1384012015"/>
      </c:barChart>
      <c:catAx>
        <c:axId val="138401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12015"/>
        <c:crosses val="autoZero"/>
        <c:auto val="1"/>
        <c:lblAlgn val="ctr"/>
        <c:lblOffset val="100"/>
        <c:noMultiLvlLbl val="0"/>
      </c:catAx>
      <c:valAx>
        <c:axId val="1384012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168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2024</a:t>
            </a:r>
            <a:r>
              <a:rPr lang="en-GB" baseline="0"/>
              <a:t> Summary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2024'!$C$34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2024'!$F$34:$Q$34</c:f>
              <c:numCache>
                <c:formatCode>#,##0</c:formatCode>
                <c:ptCount val="12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55538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A-4F9D-B215-18CC69043BE7}"/>
            </c:ext>
          </c:extLst>
        </c:ser>
        <c:ser>
          <c:idx val="1"/>
          <c:order val="1"/>
          <c:tx>
            <c:strRef>
              <c:f>'IS 2024'!$C$35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2024'!$F$35:$Q$35</c:f>
              <c:numCache>
                <c:formatCode>#,##0</c:formatCode>
                <c:ptCount val="12"/>
                <c:pt idx="0">
                  <c:v>-3334</c:v>
                </c:pt>
                <c:pt idx="1">
                  <c:v>-3334</c:v>
                </c:pt>
                <c:pt idx="2">
                  <c:v>-3334</c:v>
                </c:pt>
                <c:pt idx="3">
                  <c:v>-3334</c:v>
                </c:pt>
                <c:pt idx="4">
                  <c:v>-3334</c:v>
                </c:pt>
                <c:pt idx="5">
                  <c:v>-3334</c:v>
                </c:pt>
                <c:pt idx="6">
                  <c:v>-3334</c:v>
                </c:pt>
                <c:pt idx="7">
                  <c:v>-3334</c:v>
                </c:pt>
                <c:pt idx="8">
                  <c:v>-3334</c:v>
                </c:pt>
                <c:pt idx="9">
                  <c:v>-3334</c:v>
                </c:pt>
                <c:pt idx="10">
                  <c:v>-3334</c:v>
                </c:pt>
                <c:pt idx="11">
                  <c:v>-3334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AA-4F9D-B215-18CC69043BE7}"/>
            </c:ext>
          </c:extLst>
        </c:ser>
        <c:ser>
          <c:idx val="2"/>
          <c:order val="2"/>
          <c:tx>
            <c:strRef>
              <c:f>'IS 2024'!$C$67</c:f>
              <c:strCache>
                <c:ptCount val="1"/>
                <c:pt idx="0">
                  <c:v>Total Fixed Expenses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2024'!$F$67:$Q$67</c:f>
              <c:numCache>
                <c:formatCode>#,##0</c:formatCode>
                <c:ptCount val="12"/>
                <c:pt idx="0">
                  <c:v>-7800</c:v>
                </c:pt>
                <c:pt idx="1">
                  <c:v>-7800</c:v>
                </c:pt>
                <c:pt idx="2">
                  <c:v>-7800</c:v>
                </c:pt>
                <c:pt idx="3">
                  <c:v>-7800</c:v>
                </c:pt>
                <c:pt idx="4">
                  <c:v>-7800</c:v>
                </c:pt>
                <c:pt idx="5">
                  <c:v>-7800</c:v>
                </c:pt>
                <c:pt idx="6">
                  <c:v>-7800</c:v>
                </c:pt>
                <c:pt idx="7">
                  <c:v>-7800</c:v>
                </c:pt>
                <c:pt idx="8">
                  <c:v>-7800</c:v>
                </c:pt>
                <c:pt idx="9">
                  <c:v>-7800</c:v>
                </c:pt>
                <c:pt idx="10">
                  <c:v>-7800</c:v>
                </c:pt>
                <c:pt idx="11">
                  <c:v>-7800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AA-4F9D-B215-18CC69043BE7}"/>
            </c:ext>
          </c:extLst>
        </c:ser>
        <c:ser>
          <c:idx val="3"/>
          <c:order val="3"/>
          <c:tx>
            <c:strRef>
              <c:f>'IS 2024'!$C$74</c:f>
              <c:strCache>
                <c:ptCount val="1"/>
                <c:pt idx="0">
                  <c:v>Tax Expense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2024'!$F$74:$Q$74</c:f>
              <c:numCache>
                <c:formatCode>#,##0</c:formatCode>
                <c:ptCount val="12"/>
                <c:pt idx="0">
                  <c:v>-3694</c:v>
                </c:pt>
                <c:pt idx="1">
                  <c:v>-3694</c:v>
                </c:pt>
                <c:pt idx="2">
                  <c:v>-7252.4000000000005</c:v>
                </c:pt>
                <c:pt idx="3">
                  <c:v>-7989.2000000000007</c:v>
                </c:pt>
                <c:pt idx="4">
                  <c:v>-8198.6</c:v>
                </c:pt>
                <c:pt idx="5">
                  <c:v>-8592.2000000000007</c:v>
                </c:pt>
                <c:pt idx="6">
                  <c:v>-10028.800000000001</c:v>
                </c:pt>
                <c:pt idx="7">
                  <c:v>-10022.6</c:v>
                </c:pt>
                <c:pt idx="8">
                  <c:v>-9825</c:v>
                </c:pt>
                <c:pt idx="9">
                  <c:v>-8311.8000000000011</c:v>
                </c:pt>
                <c:pt idx="10">
                  <c:v>-8292.4</c:v>
                </c:pt>
                <c:pt idx="11">
                  <c:v>-8366.4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AA-4F9D-B215-18CC69043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4016815"/>
        <c:axId val="1384012015"/>
      </c:barChart>
      <c:catAx>
        <c:axId val="138401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12015"/>
        <c:crosses val="autoZero"/>
        <c:auto val="1"/>
        <c:lblAlgn val="ctr"/>
        <c:lblOffset val="100"/>
        <c:noMultiLvlLbl val="0"/>
      </c:catAx>
      <c:valAx>
        <c:axId val="1384012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168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2026</a:t>
            </a:r>
            <a:r>
              <a:rPr lang="en-GB" baseline="0"/>
              <a:t> Summary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2026'!$C$34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2026'!$F$34:$Q$34</c:f>
              <c:numCache>
                <c:formatCode>#,##0</c:formatCode>
                <c:ptCount val="12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55538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8-48B1-90E7-015F1746F203}"/>
            </c:ext>
          </c:extLst>
        </c:ser>
        <c:ser>
          <c:idx val="1"/>
          <c:order val="1"/>
          <c:tx>
            <c:strRef>
              <c:f>'IS 2026'!$C$35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2026'!$F$35:$Q$35</c:f>
              <c:numCache>
                <c:formatCode>#,##0</c:formatCode>
                <c:ptCount val="12"/>
                <c:pt idx="0">
                  <c:v>-2545</c:v>
                </c:pt>
                <c:pt idx="1">
                  <c:v>-2545</c:v>
                </c:pt>
                <c:pt idx="2">
                  <c:v>-2545</c:v>
                </c:pt>
                <c:pt idx="3">
                  <c:v>-2545</c:v>
                </c:pt>
                <c:pt idx="4">
                  <c:v>-2545</c:v>
                </c:pt>
                <c:pt idx="5">
                  <c:v>-2545</c:v>
                </c:pt>
                <c:pt idx="6">
                  <c:v>-2545</c:v>
                </c:pt>
                <c:pt idx="7">
                  <c:v>-2545</c:v>
                </c:pt>
                <c:pt idx="8">
                  <c:v>-2545</c:v>
                </c:pt>
                <c:pt idx="9">
                  <c:v>-2545</c:v>
                </c:pt>
                <c:pt idx="10">
                  <c:v>-2545</c:v>
                </c:pt>
                <c:pt idx="11">
                  <c:v>-2545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08-48B1-90E7-015F1746F203}"/>
            </c:ext>
          </c:extLst>
        </c:ser>
        <c:ser>
          <c:idx val="2"/>
          <c:order val="2"/>
          <c:tx>
            <c:strRef>
              <c:f>'IS 2026'!$C$76</c:f>
              <c:strCache>
                <c:ptCount val="1"/>
                <c:pt idx="0">
                  <c:v>Total Fixed Expenses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2026'!$F$76:$Q$76</c:f>
              <c:numCache>
                <c:formatCode>#,##0</c:formatCode>
                <c:ptCount val="12"/>
                <c:pt idx="0">
                  <c:v>-7250</c:v>
                </c:pt>
                <c:pt idx="1">
                  <c:v>-7250</c:v>
                </c:pt>
                <c:pt idx="2">
                  <c:v>-7250</c:v>
                </c:pt>
                <c:pt idx="3">
                  <c:v>-7250</c:v>
                </c:pt>
                <c:pt idx="4">
                  <c:v>-7250</c:v>
                </c:pt>
                <c:pt idx="5">
                  <c:v>-7250</c:v>
                </c:pt>
                <c:pt idx="6">
                  <c:v>-7250</c:v>
                </c:pt>
                <c:pt idx="7">
                  <c:v>-7250</c:v>
                </c:pt>
                <c:pt idx="8">
                  <c:v>-7250</c:v>
                </c:pt>
                <c:pt idx="9">
                  <c:v>-7250</c:v>
                </c:pt>
                <c:pt idx="10">
                  <c:v>-7250</c:v>
                </c:pt>
                <c:pt idx="11">
                  <c:v>-7250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08-48B1-90E7-015F1746F203}"/>
            </c:ext>
          </c:extLst>
        </c:ser>
        <c:ser>
          <c:idx val="3"/>
          <c:order val="3"/>
          <c:tx>
            <c:strRef>
              <c:f>'IS 2026'!$C$82</c:f>
              <c:strCache>
                <c:ptCount val="1"/>
                <c:pt idx="0">
                  <c:v>Tax Expense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2026'!$F$82:$Q$82</c:f>
              <c:numCache>
                <c:formatCode>#,##0</c:formatCode>
                <c:ptCount val="12"/>
                <c:pt idx="0">
                  <c:v>-2758.4</c:v>
                </c:pt>
                <c:pt idx="1">
                  <c:v>-2758.4</c:v>
                </c:pt>
                <c:pt idx="2">
                  <c:v>-6316.8</c:v>
                </c:pt>
                <c:pt idx="3">
                  <c:v>-7084.6</c:v>
                </c:pt>
                <c:pt idx="4">
                  <c:v>-7294</c:v>
                </c:pt>
                <c:pt idx="5">
                  <c:v>-7687.6</c:v>
                </c:pt>
                <c:pt idx="6">
                  <c:v>-9124.2000000000007</c:v>
                </c:pt>
                <c:pt idx="7">
                  <c:v>-9118</c:v>
                </c:pt>
                <c:pt idx="8">
                  <c:v>-8920.4</c:v>
                </c:pt>
                <c:pt idx="9">
                  <c:v>-7407.2000000000007</c:v>
                </c:pt>
                <c:pt idx="10">
                  <c:v>-7387.8</c:v>
                </c:pt>
                <c:pt idx="11">
                  <c:v>-7461.8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08-48B1-90E7-015F1746F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4016815"/>
        <c:axId val="1384012015"/>
      </c:barChart>
      <c:catAx>
        <c:axId val="138401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12015"/>
        <c:crosses val="autoZero"/>
        <c:auto val="1"/>
        <c:lblAlgn val="ctr"/>
        <c:lblOffset val="100"/>
        <c:noMultiLvlLbl val="0"/>
      </c:catAx>
      <c:valAx>
        <c:axId val="1384012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168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2027</a:t>
            </a:r>
            <a:r>
              <a:rPr lang="en-GB" baseline="0"/>
              <a:t> Summary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'IS 2027'!$C$34</c:f>
              <c:strCache>
                <c:ptCount val="1"/>
                <c:pt idx="0">
                  <c:v>Total 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2027'!$F$34:$Q$34</c:f>
              <c:numCache>
                <c:formatCode>#,##0</c:formatCode>
                <c:ptCount val="12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55538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9-4555-A838-0EBE3805470B}"/>
            </c:ext>
          </c:extLst>
        </c:ser>
        <c:ser>
          <c:idx val="1"/>
          <c:order val="1"/>
          <c:tx>
            <c:strRef>
              <c:f>'IS 2027'!$C$35</c:f>
              <c:strCache>
                <c:ptCount val="1"/>
                <c:pt idx="0">
                  <c:v>Total COGS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2027'!$F$35:$Q$35</c:f>
              <c:numCache>
                <c:formatCode>#,##0</c:formatCode>
                <c:ptCount val="12"/>
                <c:pt idx="0">
                  <c:v>-2545</c:v>
                </c:pt>
                <c:pt idx="1">
                  <c:v>-2545</c:v>
                </c:pt>
                <c:pt idx="2">
                  <c:v>-2545</c:v>
                </c:pt>
                <c:pt idx="3">
                  <c:v>-2545</c:v>
                </c:pt>
                <c:pt idx="4">
                  <c:v>-2545</c:v>
                </c:pt>
                <c:pt idx="5">
                  <c:v>-2545</c:v>
                </c:pt>
                <c:pt idx="6">
                  <c:v>-2545</c:v>
                </c:pt>
                <c:pt idx="7">
                  <c:v>-2545</c:v>
                </c:pt>
                <c:pt idx="8">
                  <c:v>-2545</c:v>
                </c:pt>
                <c:pt idx="9">
                  <c:v>-2545</c:v>
                </c:pt>
                <c:pt idx="10">
                  <c:v>-2545</c:v>
                </c:pt>
                <c:pt idx="11">
                  <c:v>-2545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9-4555-A838-0EBE3805470B}"/>
            </c:ext>
          </c:extLst>
        </c:ser>
        <c:ser>
          <c:idx val="2"/>
          <c:order val="2"/>
          <c:tx>
            <c:strRef>
              <c:f>'IS 2027'!$C$75</c:f>
              <c:strCache>
                <c:ptCount val="1"/>
                <c:pt idx="0">
                  <c:v>Total Fixed Expenses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2027'!$F$75:$Q$75</c:f>
              <c:numCache>
                <c:formatCode>#,##0</c:formatCode>
                <c:ptCount val="12"/>
                <c:pt idx="0">
                  <c:v>-7250</c:v>
                </c:pt>
                <c:pt idx="1">
                  <c:v>-7250</c:v>
                </c:pt>
                <c:pt idx="2">
                  <c:v>-7250</c:v>
                </c:pt>
                <c:pt idx="3">
                  <c:v>-7250</c:v>
                </c:pt>
                <c:pt idx="4">
                  <c:v>-7250</c:v>
                </c:pt>
                <c:pt idx="5">
                  <c:v>-7250</c:v>
                </c:pt>
                <c:pt idx="6">
                  <c:v>-7250</c:v>
                </c:pt>
                <c:pt idx="7">
                  <c:v>-7250</c:v>
                </c:pt>
                <c:pt idx="8">
                  <c:v>-7250</c:v>
                </c:pt>
                <c:pt idx="9">
                  <c:v>-7250</c:v>
                </c:pt>
                <c:pt idx="10">
                  <c:v>-7250</c:v>
                </c:pt>
                <c:pt idx="11">
                  <c:v>-7250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F9-4555-A838-0EBE3805470B}"/>
            </c:ext>
          </c:extLst>
        </c:ser>
        <c:ser>
          <c:idx val="3"/>
          <c:order val="3"/>
          <c:tx>
            <c:strRef>
              <c:f>'IS 2027'!$C$81</c:f>
              <c:strCache>
                <c:ptCount val="1"/>
                <c:pt idx="0">
                  <c:v>Tax Expense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'IS 2025'!$F$6:$Q$6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'IS 2027'!$F$81:$Q$81</c:f>
              <c:numCache>
                <c:formatCode>#,##0</c:formatCode>
                <c:ptCount val="12"/>
                <c:pt idx="0">
                  <c:v>-2789.4</c:v>
                </c:pt>
                <c:pt idx="1">
                  <c:v>-2789.4</c:v>
                </c:pt>
                <c:pt idx="2">
                  <c:v>-6347.8</c:v>
                </c:pt>
                <c:pt idx="3">
                  <c:v>-7084.6</c:v>
                </c:pt>
                <c:pt idx="4">
                  <c:v>-7294</c:v>
                </c:pt>
                <c:pt idx="5">
                  <c:v>-7687.6</c:v>
                </c:pt>
                <c:pt idx="6">
                  <c:v>-9124.2000000000007</c:v>
                </c:pt>
                <c:pt idx="7">
                  <c:v>-9109.2000000000007</c:v>
                </c:pt>
                <c:pt idx="8">
                  <c:v>-8911.6</c:v>
                </c:pt>
                <c:pt idx="9">
                  <c:v>-7398.4000000000005</c:v>
                </c:pt>
                <c:pt idx="10">
                  <c:v>-7379</c:v>
                </c:pt>
                <c:pt idx="11">
                  <c:v>-7453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F9-4555-A838-0EBE38054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4016815"/>
        <c:axId val="1384012015"/>
      </c:barChart>
      <c:catAx>
        <c:axId val="138401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12015"/>
        <c:crosses val="autoZero"/>
        <c:auto val="1"/>
        <c:lblAlgn val="ctr"/>
        <c:lblOffset val="100"/>
        <c:noMultiLvlLbl val="0"/>
      </c:catAx>
      <c:valAx>
        <c:axId val="1384012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01681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2024'!$B$44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2024'!$E$43:$I$43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2024'!$E$44:$I$44</c:f>
              <c:numCache>
                <c:formatCode>#,##0</c:formatCode>
                <c:ptCount val="5"/>
                <c:pt idx="0">
                  <c:v>54409</c:v>
                </c:pt>
                <c:pt idx="1">
                  <c:v>54409</c:v>
                </c:pt>
                <c:pt idx="2">
                  <c:v>54409</c:v>
                </c:pt>
                <c:pt idx="3">
                  <c:v>54409</c:v>
                </c:pt>
                <c:pt idx="4">
                  <c:v>54409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2A-4F2A-9271-472F962DB847}"/>
            </c:ext>
          </c:extLst>
        </c:ser>
        <c:ser>
          <c:idx val="1"/>
          <c:order val="1"/>
          <c:tx>
            <c:strRef>
              <c:f>'Statements Summary 2024'!$B$56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2024'!$E$43:$I$43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2024'!$E$56:$I$56</c:f>
              <c:numCache>
                <c:formatCode>#,##0</c:formatCode>
                <c:ptCount val="5"/>
                <c:pt idx="0">
                  <c:v>41832</c:v>
                </c:pt>
                <c:pt idx="1">
                  <c:v>41832</c:v>
                </c:pt>
                <c:pt idx="2">
                  <c:v>39065</c:v>
                </c:pt>
                <c:pt idx="3">
                  <c:v>39065</c:v>
                </c:pt>
                <c:pt idx="4">
                  <c:v>39065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A-4F2A-9271-472F962DB847}"/>
            </c:ext>
          </c:extLst>
        </c:ser>
        <c:ser>
          <c:idx val="2"/>
          <c:order val="2"/>
          <c:tx>
            <c:strRef>
              <c:f>'Statements Summary 2024'!$B$63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2024'!$E$43:$I$43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2024'!$E$63:$I$63</c:f>
              <c:numCache>
                <c:formatCode>#,##0</c:formatCode>
                <c:ptCount val="5"/>
                <c:pt idx="0">
                  <c:v>33465.599999999999</c:v>
                </c:pt>
                <c:pt idx="1">
                  <c:v>33465.599999999999</c:v>
                </c:pt>
                <c:pt idx="2">
                  <c:v>30870.799999999999</c:v>
                </c:pt>
                <c:pt idx="3">
                  <c:v>31603.200000000001</c:v>
                </c:pt>
                <c:pt idx="4">
                  <c:v>31612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2A-4F2A-9271-472F962DB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2024'!$B$44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2024'!$K$43:$V$43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2024'!$K$44:$V$44</c:f>
              <c:numCache>
                <c:formatCode>#,##0</c:formatCode>
                <c:ptCount val="12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55538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7-4A6D-B199-78FC8EF8617B}"/>
            </c:ext>
          </c:extLst>
        </c:ser>
        <c:ser>
          <c:idx val="1"/>
          <c:order val="1"/>
          <c:tx>
            <c:strRef>
              <c:f>'Statements Summary 2024'!$B$56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2024'!$K$43:$V$43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2024'!$K$56:$V$56</c:f>
              <c:numCache>
                <c:formatCode>#,##0</c:formatCode>
                <c:ptCount val="12"/>
                <c:pt idx="0">
                  <c:v>18470</c:v>
                </c:pt>
                <c:pt idx="1">
                  <c:v>18470</c:v>
                </c:pt>
                <c:pt idx="2">
                  <c:v>36262</c:v>
                </c:pt>
                <c:pt idx="3">
                  <c:v>39946</c:v>
                </c:pt>
                <c:pt idx="4">
                  <c:v>40993</c:v>
                </c:pt>
                <c:pt idx="5">
                  <c:v>42961</c:v>
                </c:pt>
                <c:pt idx="6">
                  <c:v>50144</c:v>
                </c:pt>
                <c:pt idx="7">
                  <c:v>50113</c:v>
                </c:pt>
                <c:pt idx="8">
                  <c:v>49125</c:v>
                </c:pt>
                <c:pt idx="9">
                  <c:v>41559</c:v>
                </c:pt>
                <c:pt idx="10">
                  <c:v>41462</c:v>
                </c:pt>
                <c:pt idx="11">
                  <c:v>41832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7-4A6D-B199-78FC8EF8617B}"/>
            </c:ext>
          </c:extLst>
        </c:ser>
        <c:ser>
          <c:idx val="2"/>
          <c:order val="2"/>
          <c:tx>
            <c:strRef>
              <c:f>'Statements Summary 2024'!$B$63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2024'!$K$43:$V$43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2024'!$K$63:$V$63</c:f>
              <c:numCache>
                <c:formatCode>#,##0</c:formatCode>
                <c:ptCount val="12"/>
                <c:pt idx="0">
                  <c:v>14776</c:v>
                </c:pt>
                <c:pt idx="1">
                  <c:v>14776</c:v>
                </c:pt>
                <c:pt idx="2">
                  <c:v>29009.599999999999</c:v>
                </c:pt>
                <c:pt idx="3">
                  <c:v>31956.799999999999</c:v>
                </c:pt>
                <c:pt idx="4">
                  <c:v>32794.400000000001</c:v>
                </c:pt>
                <c:pt idx="5">
                  <c:v>34368.800000000003</c:v>
                </c:pt>
                <c:pt idx="6">
                  <c:v>40115.199999999997</c:v>
                </c:pt>
                <c:pt idx="7">
                  <c:v>40090.400000000001</c:v>
                </c:pt>
                <c:pt idx="8">
                  <c:v>39300</c:v>
                </c:pt>
                <c:pt idx="9">
                  <c:v>33247.199999999997</c:v>
                </c:pt>
                <c:pt idx="10">
                  <c:v>33169.599999999999</c:v>
                </c:pt>
                <c:pt idx="11">
                  <c:v>33465.599999999999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67-4A6D-B199-78FC8EF86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23102.6</c:v>
                </c:pt>
                <c:pt idx="1">
                  <c:v>23102.6</c:v>
                </c:pt>
                <c:pt idx="2">
                  <c:v>43959.8</c:v>
                </c:pt>
                <c:pt idx="3">
                  <c:v>44642.2</c:v>
                </c:pt>
                <c:pt idx="4">
                  <c:v>44651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2-4A03-952F-673C721080F4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2-4A03-952F-673C721080F4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-3300</c:v>
                </c:pt>
                <c:pt idx="1">
                  <c:v>-3300</c:v>
                </c:pt>
                <c:pt idx="2">
                  <c:v>-3300</c:v>
                </c:pt>
                <c:pt idx="3">
                  <c:v>-3300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2-4A03-952F-673C7210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23102.6</c:v>
                </c:pt>
                <c:pt idx="1">
                  <c:v>23102.6</c:v>
                </c:pt>
                <c:pt idx="2">
                  <c:v>43959.8</c:v>
                </c:pt>
                <c:pt idx="3">
                  <c:v>44642.2</c:v>
                </c:pt>
                <c:pt idx="4">
                  <c:v>44651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32-4A03-952F-673C721080F4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42905.200000000004</c:v>
                </c:pt>
                <c:pt idx="1">
                  <c:v>42905.200000000004</c:v>
                </c:pt>
                <c:pt idx="2">
                  <c:v>84619.6</c:v>
                </c:pt>
                <c:pt idx="3">
                  <c:v>85984.4</c:v>
                </c:pt>
                <c:pt idx="4">
                  <c:v>89302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32-4A03-952F-673C7210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2024'!$K$8:$V$8</c:f>
              <c:numCache>
                <c:formatCode>#,##0</c:formatCode>
                <c:ptCount val="12"/>
                <c:pt idx="0">
                  <c:v>-2847</c:v>
                </c:pt>
                <c:pt idx="1">
                  <c:v>-2187</c:v>
                </c:pt>
                <c:pt idx="2">
                  <c:v>12706.599999999999</c:v>
                </c:pt>
                <c:pt idx="3">
                  <c:v>16313.800000000003</c:v>
                </c:pt>
                <c:pt idx="4">
                  <c:v>17811.400000000001</c:v>
                </c:pt>
                <c:pt idx="5">
                  <c:v>19885.800000000003</c:v>
                </c:pt>
                <c:pt idx="6">
                  <c:v>26452.199999999997</c:v>
                </c:pt>
                <c:pt idx="7">
                  <c:v>27087.4</c:v>
                </c:pt>
                <c:pt idx="8">
                  <c:v>26957</c:v>
                </c:pt>
                <c:pt idx="9">
                  <c:v>21564.199999999997</c:v>
                </c:pt>
                <c:pt idx="10">
                  <c:v>22146.6</c:v>
                </c:pt>
                <c:pt idx="11">
                  <c:v>23102.6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1-46A9-9663-4C44FC9624FC}"/>
            </c:ext>
          </c:extLst>
        </c:ser>
        <c:ser>
          <c:idx val="1"/>
          <c:order val="1"/>
          <c:tx>
            <c:strRef>
              <c:f>'Statements Summary 2024'!$B$11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1-46A9-9663-4C44FC9624FC}"/>
            </c:ext>
          </c:extLst>
        </c:ser>
        <c:ser>
          <c:idx val="2"/>
          <c:order val="2"/>
          <c:tx>
            <c:strRef>
              <c:f>'Statements Summary 2024'!$B$15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2024'!$K$15:$V$15</c:f>
              <c:numCache>
                <c:formatCode>#,##0</c:formatCode>
                <c:ptCount val="12"/>
                <c:pt idx="0">
                  <c:v>0</c:v>
                </c:pt>
                <c:pt idx="1">
                  <c:v>-3300</c:v>
                </c:pt>
                <c:pt idx="2">
                  <c:v>-3300</c:v>
                </c:pt>
                <c:pt idx="3">
                  <c:v>-3300</c:v>
                </c:pt>
                <c:pt idx="4">
                  <c:v>-3300</c:v>
                </c:pt>
                <c:pt idx="5">
                  <c:v>-3300</c:v>
                </c:pt>
                <c:pt idx="6">
                  <c:v>-3300</c:v>
                </c:pt>
                <c:pt idx="7">
                  <c:v>-3300</c:v>
                </c:pt>
                <c:pt idx="8">
                  <c:v>-3300</c:v>
                </c:pt>
                <c:pt idx="9">
                  <c:v>-3300</c:v>
                </c:pt>
                <c:pt idx="10">
                  <c:v>-3300</c:v>
                </c:pt>
                <c:pt idx="11">
                  <c:v>-3300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1-46A9-9663-4C44FC96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2024'!$B$16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2024'!$K$16:$V$16</c:f>
              <c:numCache>
                <c:formatCode>#,##0</c:formatCode>
                <c:ptCount val="12"/>
                <c:pt idx="0">
                  <c:v>-2847</c:v>
                </c:pt>
                <c:pt idx="1">
                  <c:v>-2187</c:v>
                </c:pt>
                <c:pt idx="2">
                  <c:v>12706.599999999999</c:v>
                </c:pt>
                <c:pt idx="3">
                  <c:v>16313.800000000003</c:v>
                </c:pt>
                <c:pt idx="4">
                  <c:v>17811.400000000001</c:v>
                </c:pt>
                <c:pt idx="5">
                  <c:v>19885.800000000003</c:v>
                </c:pt>
                <c:pt idx="6">
                  <c:v>26452.199999999997</c:v>
                </c:pt>
                <c:pt idx="7">
                  <c:v>27087.4</c:v>
                </c:pt>
                <c:pt idx="8">
                  <c:v>26957</c:v>
                </c:pt>
                <c:pt idx="9">
                  <c:v>21564.199999999997</c:v>
                </c:pt>
                <c:pt idx="10">
                  <c:v>22146.6</c:v>
                </c:pt>
                <c:pt idx="11">
                  <c:v>23102.6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E1-46A9-9663-4C44FC9624FC}"/>
            </c:ext>
          </c:extLst>
        </c:ser>
        <c:ser>
          <c:idx val="4"/>
          <c:order val="4"/>
          <c:tx>
            <c:strRef>
              <c:f>'Statements Summary 2024'!$B$17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2024'!$K$17:$V$17</c:f>
              <c:numCache>
                <c:formatCode>#,##0</c:formatCode>
                <c:ptCount val="12"/>
                <c:pt idx="0">
                  <c:v>-8994</c:v>
                </c:pt>
                <c:pt idx="1">
                  <c:v>-7674</c:v>
                </c:pt>
                <c:pt idx="2">
                  <c:v>22113.199999999997</c:v>
                </c:pt>
                <c:pt idx="3">
                  <c:v>29327.600000000006</c:v>
                </c:pt>
                <c:pt idx="4">
                  <c:v>32322.799999999996</c:v>
                </c:pt>
                <c:pt idx="5">
                  <c:v>36471.600000000006</c:v>
                </c:pt>
                <c:pt idx="6">
                  <c:v>49604.399999999994</c:v>
                </c:pt>
                <c:pt idx="7">
                  <c:v>50874.799999999996</c:v>
                </c:pt>
                <c:pt idx="8">
                  <c:v>50614</c:v>
                </c:pt>
                <c:pt idx="9">
                  <c:v>39828.399999999994</c:v>
                </c:pt>
                <c:pt idx="10">
                  <c:v>40993.200000000004</c:v>
                </c:pt>
                <c:pt idx="11">
                  <c:v>42905.200000000004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E1-46A9-9663-4C44FC962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2024'!$B$87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19802.599999999999</c:v>
                </c:pt>
                <c:pt idx="1">
                  <c:v>395096.2</c:v>
                </c:pt>
                <c:pt idx="2">
                  <c:v>850182.80000000016</c:v>
                </c:pt>
                <c:pt idx="3">
                  <c:v>1310974.6000000001</c:v>
                </c:pt>
                <c:pt idx="4">
                  <c:v>1811317.4000000001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E-4D02-B4F4-134602C8C471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-8366.4</c:v>
                </c:pt>
                <c:pt idx="1">
                  <c:v>-8366.4</c:v>
                </c:pt>
                <c:pt idx="2">
                  <c:v>-8194.2000000000007</c:v>
                </c:pt>
                <c:pt idx="3">
                  <c:v>-7461.8</c:v>
                </c:pt>
                <c:pt idx="4">
                  <c:v>-7453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E-4D02-B4F4-134602C8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190334.6</c:v>
                </c:pt>
                <c:pt idx="1">
                  <c:v>583428.19999999995</c:v>
                </c:pt>
                <c:pt idx="2">
                  <c:v>1059663.8000000003</c:v>
                </c:pt>
                <c:pt idx="3">
                  <c:v>1541992.6</c:v>
                </c:pt>
                <c:pt idx="4">
                  <c:v>2063717.4000000001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BE-4D02-B4F4-134602C8C471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68268.200000000012</c:v>
                </c:pt>
                <c:pt idx="1">
                  <c:v>500961.79999999993</c:v>
                </c:pt>
                <c:pt idx="2">
                  <c:v>969269.60000000033</c:v>
                </c:pt>
                <c:pt idx="3">
                  <c:v>1533030.8</c:v>
                </c:pt>
                <c:pt idx="4">
                  <c:v>2056264.4000000001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E-4D02-B4F4-134602C8C471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19802.599999999999</c:v>
                </c:pt>
                <c:pt idx="1">
                  <c:v>395096.2</c:v>
                </c:pt>
                <c:pt idx="2">
                  <c:v>850182.80000000016</c:v>
                </c:pt>
                <c:pt idx="3">
                  <c:v>1310974.6000000001</c:v>
                </c:pt>
                <c:pt idx="4">
                  <c:v>1811317.4000000001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E-4D02-B4F4-134602C8C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2024'!$B$87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2024'!$K$86:$V$86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2024'!$K$87:$V$87</c:f>
              <c:numCache>
                <c:formatCode>#,##0</c:formatCode>
                <c:ptCount val="12"/>
                <c:pt idx="0">
                  <c:v>32615.599999999999</c:v>
                </c:pt>
                <c:pt idx="1">
                  <c:v>45758.6</c:v>
                </c:pt>
                <c:pt idx="2">
                  <c:v>73465.2</c:v>
                </c:pt>
                <c:pt idx="3">
                  <c:v>104449</c:v>
                </c:pt>
                <c:pt idx="4">
                  <c:v>136600.4</c:v>
                </c:pt>
                <c:pt idx="5">
                  <c:v>170656.2</c:v>
                </c:pt>
                <c:pt idx="6">
                  <c:v>210788.40000000002</c:v>
                </c:pt>
                <c:pt idx="7">
                  <c:v>251225.80000000002</c:v>
                </c:pt>
                <c:pt idx="8">
                  <c:v>291202.80000000005</c:v>
                </c:pt>
                <c:pt idx="9">
                  <c:v>325457.00000000006</c:v>
                </c:pt>
                <c:pt idx="10">
                  <c:v>359963.60000000003</c:v>
                </c:pt>
                <c:pt idx="11">
                  <c:v>395096.2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1-4C48-B4EE-F56C24335B42}"/>
            </c:ext>
          </c:extLst>
        </c:ser>
        <c:ser>
          <c:idx val="2"/>
          <c:order val="2"/>
          <c:tx>
            <c:strRef>
              <c:f>'Statements Summary 2024'!$B$90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2024'!$K$86:$V$86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2024'!$K$90:$V$90</c:f>
              <c:numCache>
                <c:formatCode>#,##0</c:formatCode>
                <c:ptCount val="12"/>
                <c:pt idx="1">
                  <c:v>-3694</c:v>
                </c:pt>
                <c:pt idx="2">
                  <c:v>-7252.4000000000005</c:v>
                </c:pt>
                <c:pt idx="3">
                  <c:v>-7989.2000000000007</c:v>
                </c:pt>
                <c:pt idx="4">
                  <c:v>-8198.6</c:v>
                </c:pt>
                <c:pt idx="5">
                  <c:v>-8592.2000000000007</c:v>
                </c:pt>
                <c:pt idx="6">
                  <c:v>-10028.800000000001</c:v>
                </c:pt>
                <c:pt idx="7">
                  <c:v>-10022.6</c:v>
                </c:pt>
                <c:pt idx="8">
                  <c:v>-9825</c:v>
                </c:pt>
                <c:pt idx="9">
                  <c:v>-8311.8000000000011</c:v>
                </c:pt>
                <c:pt idx="10">
                  <c:v>-8292.4</c:v>
                </c:pt>
                <c:pt idx="11">
                  <c:v>-8366.4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91-4C48-B4EE-F56C2433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2024'!$B$89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2024'!$K$89:$V$89</c:f>
              <c:numCache>
                <c:formatCode>#,##0</c:formatCode>
                <c:ptCount val="12"/>
                <c:pt idx="0">
                  <c:v>204597.6</c:v>
                </c:pt>
                <c:pt idx="1">
                  <c:v>219190.6</c:v>
                </c:pt>
                <c:pt idx="2">
                  <c:v>248347.2</c:v>
                </c:pt>
                <c:pt idx="3">
                  <c:v>280781</c:v>
                </c:pt>
                <c:pt idx="4">
                  <c:v>314382.40000000002</c:v>
                </c:pt>
                <c:pt idx="5">
                  <c:v>349888.2</c:v>
                </c:pt>
                <c:pt idx="6">
                  <c:v>391470.4</c:v>
                </c:pt>
                <c:pt idx="7">
                  <c:v>433357.80000000005</c:v>
                </c:pt>
                <c:pt idx="8">
                  <c:v>474784.80000000005</c:v>
                </c:pt>
                <c:pt idx="9">
                  <c:v>510489.00000000006</c:v>
                </c:pt>
                <c:pt idx="10">
                  <c:v>546445.60000000009</c:v>
                </c:pt>
                <c:pt idx="11">
                  <c:v>583428.19999999995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1-4C48-B4EE-F56C24335B42}"/>
            </c:ext>
          </c:extLst>
        </c:ser>
        <c:ser>
          <c:idx val="3"/>
          <c:order val="3"/>
          <c:tx>
            <c:strRef>
              <c:f>'Statements Summary 2024'!$B$93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2024'!$K$93:$V$93</c:f>
              <c:numCache>
                <c:formatCode>#,##0</c:formatCode>
                <c:ptCount val="12"/>
                <c:pt idx="0">
                  <c:v>90503.6</c:v>
                </c:pt>
                <c:pt idx="1">
                  <c:v>108396.6</c:v>
                </c:pt>
                <c:pt idx="2">
                  <c:v>137294.80000000002</c:v>
                </c:pt>
                <c:pt idx="3">
                  <c:v>172291.8</c:v>
                </c:pt>
                <c:pt idx="4">
                  <c:v>208983.80000000002</c:v>
                </c:pt>
                <c:pt idx="5">
                  <c:v>247396</c:v>
                </c:pt>
                <c:pt idx="6">
                  <c:v>290841.60000000003</c:v>
                </c:pt>
                <c:pt idx="7">
                  <c:v>336035.20000000007</c:v>
                </c:pt>
                <c:pt idx="8">
                  <c:v>380959.80000000005</c:v>
                </c:pt>
                <c:pt idx="9">
                  <c:v>421477.20000000007</c:v>
                </c:pt>
                <c:pt idx="10">
                  <c:v>460753.20000000007</c:v>
                </c:pt>
                <c:pt idx="11">
                  <c:v>500961.79999999993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1-4C48-B4EE-F56C24335B42}"/>
            </c:ext>
          </c:extLst>
        </c:ser>
        <c:ser>
          <c:idx val="4"/>
          <c:order val="4"/>
          <c:tx>
            <c:strRef>
              <c:f>'Statements Summary 2024'!$B$94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2024'!$K$94:$V$94</c:f>
              <c:numCache>
                <c:formatCode>#,##0</c:formatCode>
                <c:ptCount val="12"/>
                <c:pt idx="0">
                  <c:v>32615.599999999999</c:v>
                </c:pt>
                <c:pt idx="1">
                  <c:v>45758.6</c:v>
                </c:pt>
                <c:pt idx="2">
                  <c:v>73465.2</c:v>
                </c:pt>
                <c:pt idx="3">
                  <c:v>104449</c:v>
                </c:pt>
                <c:pt idx="4">
                  <c:v>136600.4</c:v>
                </c:pt>
                <c:pt idx="5">
                  <c:v>170656.2</c:v>
                </c:pt>
                <c:pt idx="6">
                  <c:v>210788.40000000002</c:v>
                </c:pt>
                <c:pt idx="7">
                  <c:v>251225.80000000002</c:v>
                </c:pt>
                <c:pt idx="8">
                  <c:v>291202.80000000005</c:v>
                </c:pt>
                <c:pt idx="9">
                  <c:v>325457.00000000006</c:v>
                </c:pt>
                <c:pt idx="10">
                  <c:v>359963.60000000003</c:v>
                </c:pt>
                <c:pt idx="11">
                  <c:v>395096.2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1-4C48-B4EE-F56C24335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2025'!$B$45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2025'!$E$45:$I$45</c:f>
              <c:numCache>
                <c:formatCode>#,##0</c:formatCode>
                <c:ptCount val="5"/>
                <c:pt idx="0">
                  <c:v>54409</c:v>
                </c:pt>
                <c:pt idx="1">
                  <c:v>54409</c:v>
                </c:pt>
                <c:pt idx="2">
                  <c:v>54409</c:v>
                </c:pt>
                <c:pt idx="3">
                  <c:v>54409</c:v>
                </c:pt>
                <c:pt idx="4">
                  <c:v>54409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5-4A71-B291-6E646D762A23}"/>
            </c:ext>
          </c:extLst>
        </c:ser>
        <c:ser>
          <c:idx val="1"/>
          <c:order val="1"/>
          <c:tx>
            <c:strRef>
              <c:f>'Statements Summary 2025'!$B$57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2025'!$E$57:$I$57</c:f>
              <c:numCache>
                <c:formatCode>#,##0</c:formatCode>
                <c:ptCount val="5"/>
                <c:pt idx="0">
                  <c:v>41832</c:v>
                </c:pt>
                <c:pt idx="1">
                  <c:v>41832</c:v>
                </c:pt>
                <c:pt idx="2">
                  <c:v>39065</c:v>
                </c:pt>
                <c:pt idx="3">
                  <c:v>39065</c:v>
                </c:pt>
                <c:pt idx="4">
                  <c:v>39065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5-4A71-B291-6E646D762A23}"/>
            </c:ext>
          </c:extLst>
        </c:ser>
        <c:ser>
          <c:idx val="2"/>
          <c:order val="2"/>
          <c:tx>
            <c:strRef>
              <c:f>'Statements Summary 2025'!$B$64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2025'!$E$44:$I$44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2025'!$E$64:$I$64</c:f>
              <c:numCache>
                <c:formatCode>#,##0</c:formatCode>
                <c:ptCount val="5"/>
                <c:pt idx="0">
                  <c:v>33465.599999999999</c:v>
                </c:pt>
                <c:pt idx="1">
                  <c:v>33465.599999999999</c:v>
                </c:pt>
                <c:pt idx="2">
                  <c:v>30870.799999999999</c:v>
                </c:pt>
                <c:pt idx="3">
                  <c:v>31603.200000000001</c:v>
                </c:pt>
                <c:pt idx="4">
                  <c:v>31612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95-4A71-B291-6E646D762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2025'!$B$45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2025'!$K$45:$V$45</c:f>
              <c:numCache>
                <c:formatCode>#,##0</c:formatCode>
                <c:ptCount val="12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55538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C-490A-B1DA-88F731D52EC8}"/>
            </c:ext>
          </c:extLst>
        </c:ser>
        <c:ser>
          <c:idx val="1"/>
          <c:order val="1"/>
          <c:tx>
            <c:strRef>
              <c:f>'Statements Summary 2025'!$B$57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2025'!$K$57:$V$57</c:f>
              <c:numCache>
                <c:formatCode>#,##0</c:formatCode>
                <c:ptCount val="12"/>
                <c:pt idx="0">
                  <c:v>15703</c:v>
                </c:pt>
                <c:pt idx="1">
                  <c:v>15703</c:v>
                </c:pt>
                <c:pt idx="2">
                  <c:v>33495</c:v>
                </c:pt>
                <c:pt idx="3">
                  <c:v>37179</c:v>
                </c:pt>
                <c:pt idx="4">
                  <c:v>38226</c:v>
                </c:pt>
                <c:pt idx="5">
                  <c:v>40194</c:v>
                </c:pt>
                <c:pt idx="6">
                  <c:v>47377</c:v>
                </c:pt>
                <c:pt idx="7">
                  <c:v>47346</c:v>
                </c:pt>
                <c:pt idx="8">
                  <c:v>46358</c:v>
                </c:pt>
                <c:pt idx="9">
                  <c:v>38792</c:v>
                </c:pt>
                <c:pt idx="10">
                  <c:v>38695</c:v>
                </c:pt>
                <c:pt idx="11">
                  <c:v>39065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C-490A-B1DA-88F731D52EC8}"/>
            </c:ext>
          </c:extLst>
        </c:ser>
        <c:ser>
          <c:idx val="2"/>
          <c:order val="2"/>
          <c:tx>
            <c:strRef>
              <c:f>'Statements Summary 2025'!$B$64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2025'!$K$44:$V$44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2025'!$K$64:$V$64</c:f>
              <c:numCache>
                <c:formatCode>#,##0</c:formatCode>
                <c:ptCount val="12"/>
                <c:pt idx="0">
                  <c:v>12933.4</c:v>
                </c:pt>
                <c:pt idx="1">
                  <c:v>12933.4</c:v>
                </c:pt>
                <c:pt idx="2">
                  <c:v>27167</c:v>
                </c:pt>
                <c:pt idx="3">
                  <c:v>29402</c:v>
                </c:pt>
                <c:pt idx="4">
                  <c:v>30239.599999999999</c:v>
                </c:pt>
                <c:pt idx="5">
                  <c:v>31814</c:v>
                </c:pt>
                <c:pt idx="6">
                  <c:v>37560.400000000001</c:v>
                </c:pt>
                <c:pt idx="7">
                  <c:v>37535.599999999999</c:v>
                </c:pt>
                <c:pt idx="8">
                  <c:v>36745.199999999997</c:v>
                </c:pt>
                <c:pt idx="9">
                  <c:v>30692.400000000001</c:v>
                </c:pt>
                <c:pt idx="10">
                  <c:v>30614.799999999999</c:v>
                </c:pt>
                <c:pt idx="11">
                  <c:v>30870.799999999999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C-490A-B1DA-88F731D52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23102.6</c:v>
                </c:pt>
                <c:pt idx="1">
                  <c:v>23102.6</c:v>
                </c:pt>
                <c:pt idx="2">
                  <c:v>43959.8</c:v>
                </c:pt>
                <c:pt idx="3">
                  <c:v>44642.2</c:v>
                </c:pt>
                <c:pt idx="4">
                  <c:v>44651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1-4891-A9E3-2C9B9FFCC8CA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1-4891-A9E3-2C9B9FFCC8CA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-3300</c:v>
                </c:pt>
                <c:pt idx="1">
                  <c:v>-3300</c:v>
                </c:pt>
                <c:pt idx="2">
                  <c:v>-3300</c:v>
                </c:pt>
                <c:pt idx="3">
                  <c:v>-3300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01-4891-A9E3-2C9B9FFC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23102.6</c:v>
                </c:pt>
                <c:pt idx="1">
                  <c:v>23102.6</c:v>
                </c:pt>
                <c:pt idx="2">
                  <c:v>43959.8</c:v>
                </c:pt>
                <c:pt idx="3">
                  <c:v>44642.2</c:v>
                </c:pt>
                <c:pt idx="4">
                  <c:v>44651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01-4891-A9E3-2C9B9FFCC8CA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42905.200000000004</c:v>
                </c:pt>
                <c:pt idx="1">
                  <c:v>42905.200000000004</c:v>
                </c:pt>
                <c:pt idx="2">
                  <c:v>84619.6</c:v>
                </c:pt>
                <c:pt idx="3">
                  <c:v>85984.4</c:v>
                </c:pt>
                <c:pt idx="4">
                  <c:v>89302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01-4891-A9E3-2C9B9FFCC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2025'!$K$8:$V$8</c:f>
              <c:numCache>
                <c:formatCode>#,##0</c:formatCode>
                <c:ptCount val="12"/>
                <c:pt idx="0">
                  <c:v>24207.4</c:v>
                </c:pt>
                <c:pt idx="1">
                  <c:v>24372.400000000001</c:v>
                </c:pt>
                <c:pt idx="2">
                  <c:v>38771</c:v>
                </c:pt>
                <c:pt idx="3">
                  <c:v>41171</c:v>
                </c:pt>
                <c:pt idx="4">
                  <c:v>42173.599999999999</c:v>
                </c:pt>
                <c:pt idx="5">
                  <c:v>43913</c:v>
                </c:pt>
                <c:pt idx="6">
                  <c:v>49824.4</c:v>
                </c:pt>
                <c:pt idx="7">
                  <c:v>49964.6</c:v>
                </c:pt>
                <c:pt idx="8">
                  <c:v>49339.199999999997</c:v>
                </c:pt>
                <c:pt idx="9">
                  <c:v>43451.4</c:v>
                </c:pt>
                <c:pt idx="10">
                  <c:v>43538.8</c:v>
                </c:pt>
                <c:pt idx="11">
                  <c:v>43959.8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8-4671-A121-BF78DA05D373}"/>
            </c:ext>
          </c:extLst>
        </c:ser>
        <c:ser>
          <c:idx val="1"/>
          <c:order val="1"/>
          <c:tx>
            <c:strRef>
              <c:f>'Statements Summary 2025'!$B$11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8-4671-A121-BF78DA05D373}"/>
            </c:ext>
          </c:extLst>
        </c:ser>
        <c:ser>
          <c:idx val="2"/>
          <c:order val="2"/>
          <c:tx>
            <c:strRef>
              <c:f>'Statements Summary 2025'!$B$15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2025'!$K$15:$V$15</c:f>
              <c:numCache>
                <c:formatCode>#,##0</c:formatCode>
                <c:ptCount val="12"/>
                <c:pt idx="0">
                  <c:v>0</c:v>
                </c:pt>
                <c:pt idx="1">
                  <c:v>-3300</c:v>
                </c:pt>
                <c:pt idx="2">
                  <c:v>-3300</c:v>
                </c:pt>
                <c:pt idx="3">
                  <c:v>-3300</c:v>
                </c:pt>
                <c:pt idx="4">
                  <c:v>-3300</c:v>
                </c:pt>
                <c:pt idx="5">
                  <c:v>-3300</c:v>
                </c:pt>
                <c:pt idx="6">
                  <c:v>-3300</c:v>
                </c:pt>
                <c:pt idx="7">
                  <c:v>-3300</c:v>
                </c:pt>
                <c:pt idx="8">
                  <c:v>-3300</c:v>
                </c:pt>
                <c:pt idx="9">
                  <c:v>-3300</c:v>
                </c:pt>
                <c:pt idx="10">
                  <c:v>-3300</c:v>
                </c:pt>
                <c:pt idx="11">
                  <c:v>-3300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E8-4671-A121-BF78DA05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2025'!$B$16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2025'!$K$16:$V$16</c:f>
              <c:numCache>
                <c:formatCode>#,##0</c:formatCode>
                <c:ptCount val="12"/>
                <c:pt idx="0">
                  <c:v>24207.4</c:v>
                </c:pt>
                <c:pt idx="1">
                  <c:v>24372.400000000001</c:v>
                </c:pt>
                <c:pt idx="2">
                  <c:v>38771</c:v>
                </c:pt>
                <c:pt idx="3">
                  <c:v>41171</c:v>
                </c:pt>
                <c:pt idx="4">
                  <c:v>42173.599999999999</c:v>
                </c:pt>
                <c:pt idx="5">
                  <c:v>43913</c:v>
                </c:pt>
                <c:pt idx="6">
                  <c:v>49824.4</c:v>
                </c:pt>
                <c:pt idx="7">
                  <c:v>49964.6</c:v>
                </c:pt>
                <c:pt idx="8">
                  <c:v>49339.199999999997</c:v>
                </c:pt>
                <c:pt idx="9">
                  <c:v>43451.4</c:v>
                </c:pt>
                <c:pt idx="10">
                  <c:v>43538.8</c:v>
                </c:pt>
                <c:pt idx="11">
                  <c:v>43959.8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8-4671-A121-BF78DA05D373}"/>
            </c:ext>
          </c:extLst>
        </c:ser>
        <c:ser>
          <c:idx val="4"/>
          <c:order val="4"/>
          <c:tx>
            <c:strRef>
              <c:f>'Statements Summary 2025'!$B$17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2025'!$K$17:$V$17</c:f>
              <c:numCache>
                <c:formatCode>#,##0</c:formatCode>
                <c:ptCount val="12"/>
                <c:pt idx="0">
                  <c:v>45114.8</c:v>
                </c:pt>
                <c:pt idx="1">
                  <c:v>45444.800000000003</c:v>
                </c:pt>
                <c:pt idx="2">
                  <c:v>74242</c:v>
                </c:pt>
                <c:pt idx="3">
                  <c:v>79042</c:v>
                </c:pt>
                <c:pt idx="4">
                  <c:v>81047.200000000012</c:v>
                </c:pt>
                <c:pt idx="5">
                  <c:v>84526</c:v>
                </c:pt>
                <c:pt idx="6">
                  <c:v>96348.799999999988</c:v>
                </c:pt>
                <c:pt idx="7">
                  <c:v>96629.200000000012</c:v>
                </c:pt>
                <c:pt idx="8">
                  <c:v>95378.4</c:v>
                </c:pt>
                <c:pt idx="9">
                  <c:v>83602.799999999988</c:v>
                </c:pt>
                <c:pt idx="10">
                  <c:v>83777.600000000006</c:v>
                </c:pt>
                <c:pt idx="11">
                  <c:v>84619.6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E8-4671-A121-BF78DA05D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2024'!$B$87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19802.599999999999</c:v>
                </c:pt>
                <c:pt idx="1">
                  <c:v>395096.2</c:v>
                </c:pt>
                <c:pt idx="2">
                  <c:v>850182.80000000016</c:v>
                </c:pt>
                <c:pt idx="3">
                  <c:v>1310974.6000000001</c:v>
                </c:pt>
                <c:pt idx="4">
                  <c:v>1811317.4000000001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D-4DDF-A5EB-AD1ED8647ADF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-8366.4</c:v>
                </c:pt>
                <c:pt idx="1">
                  <c:v>-8366.4</c:v>
                </c:pt>
                <c:pt idx="2">
                  <c:v>-8194.2000000000007</c:v>
                </c:pt>
                <c:pt idx="3">
                  <c:v>-7461.8</c:v>
                </c:pt>
                <c:pt idx="4">
                  <c:v>-7453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0D-4DDF-A5EB-AD1ED864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190334.6</c:v>
                </c:pt>
                <c:pt idx="1">
                  <c:v>583428.19999999995</c:v>
                </c:pt>
                <c:pt idx="2">
                  <c:v>1059663.8000000003</c:v>
                </c:pt>
                <c:pt idx="3">
                  <c:v>1541992.6</c:v>
                </c:pt>
                <c:pt idx="4">
                  <c:v>2063717.4000000001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0D-4DDF-A5EB-AD1ED8647ADF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68268.200000000012</c:v>
                </c:pt>
                <c:pt idx="1">
                  <c:v>500961.79999999993</c:v>
                </c:pt>
                <c:pt idx="2">
                  <c:v>969269.60000000033</c:v>
                </c:pt>
                <c:pt idx="3">
                  <c:v>1533030.8</c:v>
                </c:pt>
                <c:pt idx="4">
                  <c:v>2056264.4000000001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0D-4DDF-A5EB-AD1ED8647ADF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19802.599999999999</c:v>
                </c:pt>
                <c:pt idx="1">
                  <c:v>395096.2</c:v>
                </c:pt>
                <c:pt idx="2">
                  <c:v>850182.80000000016</c:v>
                </c:pt>
                <c:pt idx="3">
                  <c:v>1310974.6000000001</c:v>
                </c:pt>
                <c:pt idx="4">
                  <c:v>1811317.4000000001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0D-4DDF-A5EB-AD1ED864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2025'!$B$88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2024'!$K$86:$V$86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2025'!$K$88:$V$88</c:f>
              <c:numCache>
                <c:formatCode>#,##0</c:formatCode>
                <c:ptCount val="12"/>
                <c:pt idx="0">
                  <c:v>416003.60000000003</c:v>
                </c:pt>
                <c:pt idx="1">
                  <c:v>437076.00000000006</c:v>
                </c:pt>
                <c:pt idx="2">
                  <c:v>472547.00000000006</c:v>
                </c:pt>
                <c:pt idx="3">
                  <c:v>510418.00000000006</c:v>
                </c:pt>
                <c:pt idx="4">
                  <c:v>549291.60000000009</c:v>
                </c:pt>
                <c:pt idx="5">
                  <c:v>589904.60000000009</c:v>
                </c:pt>
                <c:pt idx="6">
                  <c:v>636429.00000000012</c:v>
                </c:pt>
                <c:pt idx="7">
                  <c:v>683093.60000000009</c:v>
                </c:pt>
                <c:pt idx="8">
                  <c:v>729132.8</c:v>
                </c:pt>
                <c:pt idx="9">
                  <c:v>769284.20000000007</c:v>
                </c:pt>
                <c:pt idx="10">
                  <c:v>809523.00000000012</c:v>
                </c:pt>
                <c:pt idx="11">
                  <c:v>850182.80000000016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4-4227-BB7D-EE0C0A9EAA1E}"/>
            </c:ext>
          </c:extLst>
        </c:ser>
        <c:ser>
          <c:idx val="2"/>
          <c:order val="2"/>
          <c:tx>
            <c:strRef>
              <c:f>'Statements Summary 2025'!$B$91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2024'!$K$86:$V$86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2025'!$K$91:$V$91</c:f>
              <c:numCache>
                <c:formatCode>#,##0</c:formatCode>
                <c:ptCount val="12"/>
                <c:pt idx="0">
                  <c:v>-2769.6000000000004</c:v>
                </c:pt>
                <c:pt idx="1">
                  <c:v>-2769.6000000000004</c:v>
                </c:pt>
                <c:pt idx="2">
                  <c:v>-6328</c:v>
                </c:pt>
                <c:pt idx="3">
                  <c:v>-7777</c:v>
                </c:pt>
                <c:pt idx="4">
                  <c:v>-7986.4000000000005</c:v>
                </c:pt>
                <c:pt idx="5">
                  <c:v>-8380</c:v>
                </c:pt>
                <c:pt idx="6">
                  <c:v>-9816.6</c:v>
                </c:pt>
                <c:pt idx="7">
                  <c:v>-9810.4</c:v>
                </c:pt>
                <c:pt idx="8">
                  <c:v>-9612.8000000000011</c:v>
                </c:pt>
                <c:pt idx="9">
                  <c:v>-8099.6</c:v>
                </c:pt>
                <c:pt idx="10">
                  <c:v>-8080.2000000000007</c:v>
                </c:pt>
                <c:pt idx="11">
                  <c:v>-8194.2000000000007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4-4227-BB7D-EE0C0A9E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2025'!$B$90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2025'!$K$90:$V$90</c:f>
              <c:numCache>
                <c:formatCode>#,##0</c:formatCode>
                <c:ptCount val="12"/>
                <c:pt idx="0">
                  <c:v>606185.60000000009</c:v>
                </c:pt>
                <c:pt idx="1">
                  <c:v>629108</c:v>
                </c:pt>
                <c:pt idx="2">
                  <c:v>666429</c:v>
                </c:pt>
                <c:pt idx="3">
                  <c:v>706011</c:v>
                </c:pt>
                <c:pt idx="4">
                  <c:v>746595.60000000009</c:v>
                </c:pt>
                <c:pt idx="5">
                  <c:v>788919.60000000009</c:v>
                </c:pt>
                <c:pt idx="6">
                  <c:v>837155.00000000012</c:v>
                </c:pt>
                <c:pt idx="7">
                  <c:v>885530.60000000009</c:v>
                </c:pt>
                <c:pt idx="8">
                  <c:v>933280.8</c:v>
                </c:pt>
                <c:pt idx="9">
                  <c:v>975143.20000000007</c:v>
                </c:pt>
                <c:pt idx="10">
                  <c:v>1017093.0000000001</c:v>
                </c:pt>
                <c:pt idx="11">
                  <c:v>1059663.8000000003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4-4227-BB7D-EE0C0A9EAA1E}"/>
            </c:ext>
          </c:extLst>
        </c:ser>
        <c:ser>
          <c:idx val="3"/>
          <c:order val="3"/>
          <c:tx>
            <c:strRef>
              <c:f>'Statements Summary 2025'!$B$94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2025'!$K$94:$V$94</c:f>
              <c:numCache>
                <c:formatCode>#,##0</c:formatCode>
                <c:ptCount val="12"/>
                <c:pt idx="0">
                  <c:v>448616.00000000012</c:v>
                </c:pt>
                <c:pt idx="1">
                  <c:v>478138.4</c:v>
                </c:pt>
                <c:pt idx="2">
                  <c:v>518501</c:v>
                </c:pt>
                <c:pt idx="3">
                  <c:v>563234</c:v>
                </c:pt>
                <c:pt idx="4">
                  <c:v>610209.20000000007</c:v>
                </c:pt>
                <c:pt idx="5">
                  <c:v>658739.60000000009</c:v>
                </c:pt>
                <c:pt idx="6">
                  <c:v>712138.40000000014</c:v>
                </c:pt>
                <c:pt idx="7">
                  <c:v>767120.20000000007</c:v>
                </c:pt>
                <c:pt idx="8">
                  <c:v>821668</c:v>
                </c:pt>
                <c:pt idx="9">
                  <c:v>871643.60000000009</c:v>
                </c:pt>
                <c:pt idx="10">
                  <c:v>920212.80000000016</c:v>
                </c:pt>
                <c:pt idx="11">
                  <c:v>969269.60000000033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4-4227-BB7D-EE0C0A9EAA1E}"/>
            </c:ext>
          </c:extLst>
        </c:ser>
        <c:ser>
          <c:idx val="4"/>
          <c:order val="4"/>
          <c:tx>
            <c:strRef>
              <c:f>'Statements Summary 2025'!$B$95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2025'!$K$95:$V$95</c:f>
              <c:numCache>
                <c:formatCode>#,##0</c:formatCode>
                <c:ptCount val="12"/>
                <c:pt idx="0">
                  <c:v>416003.60000000003</c:v>
                </c:pt>
                <c:pt idx="1">
                  <c:v>437076.00000000006</c:v>
                </c:pt>
                <c:pt idx="2">
                  <c:v>472547.00000000006</c:v>
                </c:pt>
                <c:pt idx="3">
                  <c:v>510418.00000000006</c:v>
                </c:pt>
                <c:pt idx="4">
                  <c:v>549291.60000000009</c:v>
                </c:pt>
                <c:pt idx="5">
                  <c:v>589904.60000000009</c:v>
                </c:pt>
                <c:pt idx="6">
                  <c:v>636429.00000000012</c:v>
                </c:pt>
                <c:pt idx="7">
                  <c:v>683093.60000000009</c:v>
                </c:pt>
                <c:pt idx="8">
                  <c:v>729132.8</c:v>
                </c:pt>
                <c:pt idx="9">
                  <c:v>769284.20000000007</c:v>
                </c:pt>
                <c:pt idx="10">
                  <c:v>809523.00000000012</c:v>
                </c:pt>
                <c:pt idx="11">
                  <c:v>850182.80000000016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4-4227-BB7D-EE0C0A9E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2026'!$B$45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2026'!$E$45:$I$45</c:f>
              <c:numCache>
                <c:formatCode>#,##0</c:formatCode>
                <c:ptCount val="5"/>
                <c:pt idx="0">
                  <c:v>54409</c:v>
                </c:pt>
                <c:pt idx="1">
                  <c:v>54409</c:v>
                </c:pt>
                <c:pt idx="2">
                  <c:v>54409</c:v>
                </c:pt>
                <c:pt idx="3">
                  <c:v>54409</c:v>
                </c:pt>
                <c:pt idx="4">
                  <c:v>54409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70-4CCA-B69E-D80880633BED}"/>
            </c:ext>
          </c:extLst>
        </c:ser>
        <c:ser>
          <c:idx val="1"/>
          <c:order val="1"/>
          <c:tx>
            <c:strRef>
              <c:f>'Statements Summary 2026'!$B$57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2026'!$E$57:$I$57</c:f>
              <c:numCache>
                <c:formatCode>#,##0</c:formatCode>
                <c:ptCount val="5"/>
                <c:pt idx="0">
                  <c:v>41832</c:v>
                </c:pt>
                <c:pt idx="1">
                  <c:v>41832</c:v>
                </c:pt>
                <c:pt idx="2">
                  <c:v>39065</c:v>
                </c:pt>
                <c:pt idx="3">
                  <c:v>39065</c:v>
                </c:pt>
                <c:pt idx="4">
                  <c:v>39065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70-4CCA-B69E-D80880633BED}"/>
            </c:ext>
          </c:extLst>
        </c:ser>
        <c:ser>
          <c:idx val="2"/>
          <c:order val="2"/>
          <c:tx>
            <c:strRef>
              <c:f>'Statements Summary 2026'!$B$64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2026'!$E$44:$I$44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2026'!$E$64:$I$64</c:f>
              <c:numCache>
                <c:formatCode>#,##0</c:formatCode>
                <c:ptCount val="5"/>
                <c:pt idx="0">
                  <c:v>33465.599999999999</c:v>
                </c:pt>
                <c:pt idx="1">
                  <c:v>33465.599999999999</c:v>
                </c:pt>
                <c:pt idx="2">
                  <c:v>30870.799999999999</c:v>
                </c:pt>
                <c:pt idx="3">
                  <c:v>31603.200000000001</c:v>
                </c:pt>
                <c:pt idx="4">
                  <c:v>31612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70-4CCA-B69E-D80880633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2026'!$B$45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2026'!$K$45:$V$45</c:f>
              <c:numCache>
                <c:formatCode>#,##0</c:formatCode>
                <c:ptCount val="12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55538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2-4079-B57A-253305099B26}"/>
            </c:ext>
          </c:extLst>
        </c:ser>
        <c:ser>
          <c:idx val="1"/>
          <c:order val="1"/>
          <c:tx>
            <c:strRef>
              <c:f>'Statements Summary 2026'!$B$57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2026'!$K$57:$V$57</c:f>
              <c:numCache>
                <c:formatCode>#,##0</c:formatCode>
                <c:ptCount val="12"/>
                <c:pt idx="0">
                  <c:v>15703</c:v>
                </c:pt>
                <c:pt idx="1">
                  <c:v>15703</c:v>
                </c:pt>
                <c:pt idx="2">
                  <c:v>33495</c:v>
                </c:pt>
                <c:pt idx="3">
                  <c:v>37179</c:v>
                </c:pt>
                <c:pt idx="4">
                  <c:v>38226</c:v>
                </c:pt>
                <c:pt idx="5">
                  <c:v>40194</c:v>
                </c:pt>
                <c:pt idx="6">
                  <c:v>47377</c:v>
                </c:pt>
                <c:pt idx="7">
                  <c:v>47346</c:v>
                </c:pt>
                <c:pt idx="8">
                  <c:v>46358</c:v>
                </c:pt>
                <c:pt idx="9">
                  <c:v>38792</c:v>
                </c:pt>
                <c:pt idx="10">
                  <c:v>38695</c:v>
                </c:pt>
                <c:pt idx="11">
                  <c:v>39065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2-4079-B57A-253305099B26}"/>
            </c:ext>
          </c:extLst>
        </c:ser>
        <c:ser>
          <c:idx val="2"/>
          <c:order val="2"/>
          <c:tx>
            <c:strRef>
              <c:f>'Statements Summary 2026'!$B$64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2026'!$K$44:$V$44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2026'!$K$64:$V$64</c:f>
              <c:numCache>
                <c:formatCode>#,##0</c:formatCode>
                <c:ptCount val="12"/>
                <c:pt idx="0">
                  <c:v>12944.6</c:v>
                </c:pt>
                <c:pt idx="1">
                  <c:v>12944.6</c:v>
                </c:pt>
                <c:pt idx="2">
                  <c:v>27178.2</c:v>
                </c:pt>
                <c:pt idx="3">
                  <c:v>30094.400000000001</c:v>
                </c:pt>
                <c:pt idx="4">
                  <c:v>30932</c:v>
                </c:pt>
                <c:pt idx="5">
                  <c:v>32506.400000000001</c:v>
                </c:pt>
                <c:pt idx="6">
                  <c:v>38252.800000000003</c:v>
                </c:pt>
                <c:pt idx="7">
                  <c:v>38228</c:v>
                </c:pt>
                <c:pt idx="8">
                  <c:v>37437.599999999999</c:v>
                </c:pt>
                <c:pt idx="9">
                  <c:v>31384.799999999999</c:v>
                </c:pt>
                <c:pt idx="10">
                  <c:v>31307.200000000001</c:v>
                </c:pt>
                <c:pt idx="11">
                  <c:v>31603.200000000001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2-4079-B57A-253305099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23102.6</c:v>
                </c:pt>
                <c:pt idx="1">
                  <c:v>23102.6</c:v>
                </c:pt>
                <c:pt idx="2">
                  <c:v>43959.8</c:v>
                </c:pt>
                <c:pt idx="3">
                  <c:v>44642.2</c:v>
                </c:pt>
                <c:pt idx="4">
                  <c:v>44651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F-4E1A-A13B-341EA18E40C5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F-4E1A-A13B-341EA18E40C5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-3300</c:v>
                </c:pt>
                <c:pt idx="1">
                  <c:v>-3300</c:v>
                </c:pt>
                <c:pt idx="2">
                  <c:v>-3300</c:v>
                </c:pt>
                <c:pt idx="3">
                  <c:v>-3300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5F-4E1A-A13B-341EA18E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23102.6</c:v>
                </c:pt>
                <c:pt idx="1">
                  <c:v>23102.6</c:v>
                </c:pt>
                <c:pt idx="2">
                  <c:v>43959.8</c:v>
                </c:pt>
                <c:pt idx="3">
                  <c:v>44642.2</c:v>
                </c:pt>
                <c:pt idx="4">
                  <c:v>44651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5F-4E1A-A13B-341EA18E40C5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42905.200000000004</c:v>
                </c:pt>
                <c:pt idx="1">
                  <c:v>42905.200000000004</c:v>
                </c:pt>
                <c:pt idx="2">
                  <c:v>84619.6</c:v>
                </c:pt>
                <c:pt idx="3">
                  <c:v>85984.4</c:v>
                </c:pt>
                <c:pt idx="4">
                  <c:v>89302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5F-4E1A-A13B-341EA18E4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2026'!$B$8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2026'!$K$8:$V$8</c:f>
              <c:numCache>
                <c:formatCode>#,##0</c:formatCode>
                <c:ptCount val="12"/>
                <c:pt idx="0">
                  <c:v>24168.6</c:v>
                </c:pt>
                <c:pt idx="1">
                  <c:v>24333.599999999999</c:v>
                </c:pt>
                <c:pt idx="2">
                  <c:v>38732.199999999997</c:v>
                </c:pt>
                <c:pt idx="3">
                  <c:v>41813.4</c:v>
                </c:pt>
                <c:pt idx="4">
                  <c:v>42816</c:v>
                </c:pt>
                <c:pt idx="5">
                  <c:v>44555.4</c:v>
                </c:pt>
                <c:pt idx="6">
                  <c:v>50466.8</c:v>
                </c:pt>
                <c:pt idx="7">
                  <c:v>50607</c:v>
                </c:pt>
                <c:pt idx="8">
                  <c:v>49981.599999999999</c:v>
                </c:pt>
                <c:pt idx="9">
                  <c:v>44093.8</c:v>
                </c:pt>
                <c:pt idx="10">
                  <c:v>44181.2</c:v>
                </c:pt>
                <c:pt idx="11">
                  <c:v>44642.2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8-4414-9CF6-6BAA6C240A1C}"/>
            </c:ext>
          </c:extLst>
        </c:ser>
        <c:ser>
          <c:idx val="1"/>
          <c:order val="1"/>
          <c:tx>
            <c:strRef>
              <c:f>'Statements Summary 2026'!$B$11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8-4414-9CF6-6BAA6C240A1C}"/>
            </c:ext>
          </c:extLst>
        </c:ser>
        <c:ser>
          <c:idx val="2"/>
          <c:order val="2"/>
          <c:tx>
            <c:strRef>
              <c:f>'Statements Summary 2026'!$B$15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2026'!$K$15:$V$15</c:f>
              <c:numCache>
                <c:formatCode>#,##0</c:formatCode>
                <c:ptCount val="12"/>
                <c:pt idx="0">
                  <c:v>0</c:v>
                </c:pt>
                <c:pt idx="1">
                  <c:v>-3300</c:v>
                </c:pt>
                <c:pt idx="2">
                  <c:v>-3300</c:v>
                </c:pt>
                <c:pt idx="3">
                  <c:v>-3300</c:v>
                </c:pt>
                <c:pt idx="4">
                  <c:v>-3300</c:v>
                </c:pt>
                <c:pt idx="5">
                  <c:v>-3300</c:v>
                </c:pt>
                <c:pt idx="6">
                  <c:v>-3300</c:v>
                </c:pt>
                <c:pt idx="7">
                  <c:v>-3300</c:v>
                </c:pt>
                <c:pt idx="8">
                  <c:v>-3300</c:v>
                </c:pt>
                <c:pt idx="9">
                  <c:v>-3300</c:v>
                </c:pt>
                <c:pt idx="10">
                  <c:v>-3300</c:v>
                </c:pt>
                <c:pt idx="11">
                  <c:v>-3300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68-4414-9CF6-6BAA6C24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2026'!$B$16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2026'!$K$16:$V$16</c:f>
              <c:numCache>
                <c:formatCode>#,##0</c:formatCode>
                <c:ptCount val="12"/>
                <c:pt idx="0">
                  <c:v>24168.6</c:v>
                </c:pt>
                <c:pt idx="1">
                  <c:v>24333.599999999999</c:v>
                </c:pt>
                <c:pt idx="2">
                  <c:v>38732.199999999997</c:v>
                </c:pt>
                <c:pt idx="3">
                  <c:v>41813.4</c:v>
                </c:pt>
                <c:pt idx="4">
                  <c:v>42816</c:v>
                </c:pt>
                <c:pt idx="5">
                  <c:v>44555.4</c:v>
                </c:pt>
                <c:pt idx="6">
                  <c:v>50466.8</c:v>
                </c:pt>
                <c:pt idx="7">
                  <c:v>50607</c:v>
                </c:pt>
                <c:pt idx="8">
                  <c:v>49981.599999999999</c:v>
                </c:pt>
                <c:pt idx="9">
                  <c:v>44093.8</c:v>
                </c:pt>
                <c:pt idx="10">
                  <c:v>44181.2</c:v>
                </c:pt>
                <c:pt idx="11">
                  <c:v>44642.2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68-4414-9CF6-6BAA6C240A1C}"/>
            </c:ext>
          </c:extLst>
        </c:ser>
        <c:ser>
          <c:idx val="4"/>
          <c:order val="4"/>
          <c:tx>
            <c:strRef>
              <c:f>'Statements Summary 2026'!$B$17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2026'!$K$17:$V$17</c:f>
              <c:numCache>
                <c:formatCode>#,##0</c:formatCode>
                <c:ptCount val="12"/>
                <c:pt idx="0">
                  <c:v>45037.2</c:v>
                </c:pt>
                <c:pt idx="1">
                  <c:v>45367.199999999997</c:v>
                </c:pt>
                <c:pt idx="2">
                  <c:v>74164.399999999994</c:v>
                </c:pt>
                <c:pt idx="3">
                  <c:v>80326.799999999988</c:v>
                </c:pt>
                <c:pt idx="4">
                  <c:v>82332</c:v>
                </c:pt>
                <c:pt idx="5">
                  <c:v>85810.799999999988</c:v>
                </c:pt>
                <c:pt idx="6">
                  <c:v>97633.600000000006</c:v>
                </c:pt>
                <c:pt idx="7">
                  <c:v>97914</c:v>
                </c:pt>
                <c:pt idx="8">
                  <c:v>96663.200000000012</c:v>
                </c:pt>
                <c:pt idx="9">
                  <c:v>84887.6</c:v>
                </c:pt>
                <c:pt idx="10">
                  <c:v>85062.399999999994</c:v>
                </c:pt>
                <c:pt idx="11">
                  <c:v>85984.4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68-4414-9CF6-6BAA6C24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2024'!$B$87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19802.599999999999</c:v>
                </c:pt>
                <c:pt idx="1">
                  <c:v>395096.2</c:v>
                </c:pt>
                <c:pt idx="2">
                  <c:v>850182.80000000016</c:v>
                </c:pt>
                <c:pt idx="3">
                  <c:v>1310974.6000000001</c:v>
                </c:pt>
                <c:pt idx="4">
                  <c:v>1811317.4000000001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C-4AB4-84DF-EC15E6365F18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-8366.4</c:v>
                </c:pt>
                <c:pt idx="1">
                  <c:v>-8366.4</c:v>
                </c:pt>
                <c:pt idx="2">
                  <c:v>-8194.2000000000007</c:v>
                </c:pt>
                <c:pt idx="3">
                  <c:v>-7461.8</c:v>
                </c:pt>
                <c:pt idx="4">
                  <c:v>-7453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C-4AB4-84DF-EC15E636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190334.6</c:v>
                </c:pt>
                <c:pt idx="1">
                  <c:v>583428.19999999995</c:v>
                </c:pt>
                <c:pt idx="2">
                  <c:v>1059663.8000000003</c:v>
                </c:pt>
                <c:pt idx="3">
                  <c:v>1541992.6</c:v>
                </c:pt>
                <c:pt idx="4">
                  <c:v>2063717.4000000001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DC-4AB4-84DF-EC15E6365F18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68268.200000000012</c:v>
                </c:pt>
                <c:pt idx="1">
                  <c:v>500961.79999999993</c:v>
                </c:pt>
                <c:pt idx="2">
                  <c:v>969269.60000000033</c:v>
                </c:pt>
                <c:pt idx="3">
                  <c:v>1533030.8</c:v>
                </c:pt>
                <c:pt idx="4">
                  <c:v>2056264.4000000001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DC-4AB4-84DF-EC15E6365F18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19802.599999999999</c:v>
                </c:pt>
                <c:pt idx="1">
                  <c:v>395096.2</c:v>
                </c:pt>
                <c:pt idx="2">
                  <c:v>850182.80000000016</c:v>
                </c:pt>
                <c:pt idx="3">
                  <c:v>1310974.6000000001</c:v>
                </c:pt>
                <c:pt idx="4">
                  <c:v>1811317.4000000001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DC-4AB4-84DF-EC15E6365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2026'!$B$88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2024'!$K$86:$V$86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2026'!$K$88:$V$88</c:f>
              <c:numCache>
                <c:formatCode>#,##0</c:formatCode>
                <c:ptCount val="12"/>
                <c:pt idx="0">
                  <c:v>871051.40000000014</c:v>
                </c:pt>
                <c:pt idx="1">
                  <c:v>892085.00000000012</c:v>
                </c:pt>
                <c:pt idx="2">
                  <c:v>927517.20000000007</c:v>
                </c:pt>
                <c:pt idx="3">
                  <c:v>966030.60000000009</c:v>
                </c:pt>
                <c:pt idx="4">
                  <c:v>1005546.6000000001</c:v>
                </c:pt>
                <c:pt idx="5">
                  <c:v>1046802.0000000001</c:v>
                </c:pt>
                <c:pt idx="6">
                  <c:v>1093968.8</c:v>
                </c:pt>
                <c:pt idx="7">
                  <c:v>1141275.8</c:v>
                </c:pt>
                <c:pt idx="8">
                  <c:v>1187957.4000000001</c:v>
                </c:pt>
                <c:pt idx="9">
                  <c:v>1228751.2000000002</c:v>
                </c:pt>
                <c:pt idx="10">
                  <c:v>1269632.4000000001</c:v>
                </c:pt>
                <c:pt idx="11">
                  <c:v>1310974.6000000001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1-4702-B493-0F6A9D4722D7}"/>
            </c:ext>
          </c:extLst>
        </c:ser>
        <c:ser>
          <c:idx val="2"/>
          <c:order val="2"/>
          <c:tx>
            <c:strRef>
              <c:f>'Statements Summary 2026'!$B$91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2024'!$K$86:$V$86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2026'!$K$91:$V$91</c:f>
              <c:numCache>
                <c:formatCode>#,##0</c:formatCode>
                <c:ptCount val="12"/>
                <c:pt idx="0">
                  <c:v>-2758.4</c:v>
                </c:pt>
                <c:pt idx="1">
                  <c:v>-2758.4</c:v>
                </c:pt>
                <c:pt idx="2">
                  <c:v>-6316.8</c:v>
                </c:pt>
                <c:pt idx="3">
                  <c:v>-7084.6</c:v>
                </c:pt>
                <c:pt idx="4">
                  <c:v>-7294</c:v>
                </c:pt>
                <c:pt idx="5">
                  <c:v>-7687.6</c:v>
                </c:pt>
                <c:pt idx="6">
                  <c:v>-9124.2000000000007</c:v>
                </c:pt>
                <c:pt idx="7">
                  <c:v>-9118</c:v>
                </c:pt>
                <c:pt idx="8">
                  <c:v>-8920.4</c:v>
                </c:pt>
                <c:pt idx="9">
                  <c:v>-7407.2000000000007</c:v>
                </c:pt>
                <c:pt idx="10">
                  <c:v>-7387.8</c:v>
                </c:pt>
                <c:pt idx="11">
                  <c:v>-7461.8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C1-4702-B493-0F6A9D47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2026'!$B$90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2026'!$K$90:$V$90</c:f>
              <c:numCache>
                <c:formatCode>#,##0</c:formatCode>
                <c:ptCount val="12"/>
                <c:pt idx="0">
                  <c:v>1082443.4000000001</c:v>
                </c:pt>
                <c:pt idx="1">
                  <c:v>1105388</c:v>
                </c:pt>
                <c:pt idx="2">
                  <c:v>1142731.2000000002</c:v>
                </c:pt>
                <c:pt idx="3">
                  <c:v>1183000.6000000001</c:v>
                </c:pt>
                <c:pt idx="4">
                  <c:v>1224272.6000000001</c:v>
                </c:pt>
                <c:pt idx="5">
                  <c:v>1267284</c:v>
                </c:pt>
                <c:pt idx="6">
                  <c:v>1316206.8</c:v>
                </c:pt>
                <c:pt idx="7">
                  <c:v>1365269.8</c:v>
                </c:pt>
                <c:pt idx="8">
                  <c:v>1413707.4000000001</c:v>
                </c:pt>
                <c:pt idx="9">
                  <c:v>1456257.2000000002</c:v>
                </c:pt>
                <c:pt idx="10">
                  <c:v>1498894.4000000001</c:v>
                </c:pt>
                <c:pt idx="11">
                  <c:v>1541992.6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1-4702-B493-0F6A9D4722D7}"/>
            </c:ext>
          </c:extLst>
        </c:ser>
        <c:ser>
          <c:idx val="3"/>
          <c:order val="3"/>
          <c:tx>
            <c:strRef>
              <c:f>'Statements Summary 2026'!$B$94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2026'!$K$94:$V$94</c:f>
              <c:numCache>
                <c:formatCode>#,##0</c:formatCode>
                <c:ptCount val="12"/>
                <c:pt idx="0">
                  <c:v>1041885.0000000001</c:v>
                </c:pt>
                <c:pt idx="1">
                  <c:v>1068129.6000000001</c:v>
                </c:pt>
                <c:pt idx="2">
                  <c:v>1105214.4000000001</c:v>
                </c:pt>
                <c:pt idx="3">
                  <c:v>1148016</c:v>
                </c:pt>
                <c:pt idx="4">
                  <c:v>1192378.6000000001</c:v>
                </c:pt>
                <c:pt idx="5">
                  <c:v>1238296.3999999999</c:v>
                </c:pt>
                <c:pt idx="6">
                  <c:v>1289082.6000000001</c:v>
                </c:pt>
                <c:pt idx="7">
                  <c:v>1341451.8</c:v>
                </c:pt>
                <c:pt idx="8">
                  <c:v>1393387.0000000002</c:v>
                </c:pt>
                <c:pt idx="9">
                  <c:v>1440750.0000000002</c:v>
                </c:pt>
                <c:pt idx="10">
                  <c:v>1486706.6</c:v>
                </c:pt>
                <c:pt idx="11">
                  <c:v>1533030.8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C1-4702-B493-0F6A9D4722D7}"/>
            </c:ext>
          </c:extLst>
        </c:ser>
        <c:ser>
          <c:idx val="4"/>
          <c:order val="4"/>
          <c:tx>
            <c:strRef>
              <c:f>'Statements Summary 2026'!$B$95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2026'!$K$95:$V$95</c:f>
              <c:numCache>
                <c:formatCode>#,##0</c:formatCode>
                <c:ptCount val="12"/>
                <c:pt idx="0">
                  <c:v>871051.40000000014</c:v>
                </c:pt>
                <c:pt idx="1">
                  <c:v>892085.00000000012</c:v>
                </c:pt>
                <c:pt idx="2">
                  <c:v>927517.20000000007</c:v>
                </c:pt>
                <c:pt idx="3">
                  <c:v>966030.60000000009</c:v>
                </c:pt>
                <c:pt idx="4">
                  <c:v>1005546.6000000001</c:v>
                </c:pt>
                <c:pt idx="5">
                  <c:v>1046802.0000000001</c:v>
                </c:pt>
                <c:pt idx="6">
                  <c:v>1093968.8</c:v>
                </c:pt>
                <c:pt idx="7">
                  <c:v>1141275.8</c:v>
                </c:pt>
                <c:pt idx="8">
                  <c:v>1187957.4000000001</c:v>
                </c:pt>
                <c:pt idx="9">
                  <c:v>1228751.2000000002</c:v>
                </c:pt>
                <c:pt idx="10">
                  <c:v>1269632.4000000001</c:v>
                </c:pt>
                <c:pt idx="11">
                  <c:v>1310974.6000000001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C1-4702-B493-0F6A9D47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2027'!$B$45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2027'!$E$45:$I$45</c:f>
              <c:numCache>
                <c:formatCode>#,##0</c:formatCode>
                <c:ptCount val="5"/>
                <c:pt idx="0">
                  <c:v>54409</c:v>
                </c:pt>
                <c:pt idx="1">
                  <c:v>54409</c:v>
                </c:pt>
                <c:pt idx="2">
                  <c:v>54409</c:v>
                </c:pt>
                <c:pt idx="3">
                  <c:v>54409</c:v>
                </c:pt>
                <c:pt idx="4">
                  <c:v>54409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4-4AED-9C1A-D21D9E19807A}"/>
            </c:ext>
          </c:extLst>
        </c:ser>
        <c:ser>
          <c:idx val="1"/>
          <c:order val="1"/>
          <c:tx>
            <c:strRef>
              <c:f>'Statements Summary 2027'!$B$57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2027'!$E$57:$I$57</c:f>
              <c:numCache>
                <c:formatCode>#,##0</c:formatCode>
                <c:ptCount val="5"/>
                <c:pt idx="0">
                  <c:v>41832</c:v>
                </c:pt>
                <c:pt idx="1">
                  <c:v>41832</c:v>
                </c:pt>
                <c:pt idx="2">
                  <c:v>39065</c:v>
                </c:pt>
                <c:pt idx="3">
                  <c:v>39065</c:v>
                </c:pt>
                <c:pt idx="4">
                  <c:v>39065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4-4AED-9C1A-D21D9E19807A}"/>
            </c:ext>
          </c:extLst>
        </c:ser>
        <c:ser>
          <c:idx val="2"/>
          <c:order val="2"/>
          <c:tx>
            <c:strRef>
              <c:f>'Statements Summary 2027'!$B$64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'Statements Summary 2027'!$E$44:$I$44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2027'!$E$64:$I$64</c:f>
              <c:numCache>
                <c:formatCode>#,##0</c:formatCode>
                <c:ptCount val="5"/>
                <c:pt idx="0">
                  <c:v>33465.599999999999</c:v>
                </c:pt>
                <c:pt idx="1">
                  <c:v>33465.599999999999</c:v>
                </c:pt>
                <c:pt idx="2">
                  <c:v>30870.799999999999</c:v>
                </c:pt>
                <c:pt idx="3">
                  <c:v>31603.200000000001</c:v>
                </c:pt>
                <c:pt idx="4">
                  <c:v>31612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4-4AED-9C1A-D21D9E198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79327"/>
        <c:axId val="583782687"/>
      </c:lineChart>
      <c:catAx>
        <c:axId val="583779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82687"/>
        <c:crosses val="autoZero"/>
        <c:auto val="1"/>
        <c:lblAlgn val="ctr"/>
        <c:lblOffset val="100"/>
        <c:noMultiLvlLbl val="0"/>
      </c:catAx>
      <c:valAx>
        <c:axId val="583782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7793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'Statements Summary 2027'!$B$45</c:f>
              <c:strCache>
                <c:ptCount val="1"/>
                <c:pt idx="0">
                  <c:v>Revenue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2027'!$K$45:$V$45</c:f>
              <c:numCache>
                <c:formatCode>#,##0</c:formatCode>
                <c:ptCount val="12"/>
                <c:pt idx="0">
                  <c:v>31047</c:v>
                </c:pt>
                <c:pt idx="1">
                  <c:v>31047</c:v>
                </c:pt>
                <c:pt idx="2">
                  <c:v>48839</c:v>
                </c:pt>
                <c:pt idx="3">
                  <c:v>52523</c:v>
                </c:pt>
                <c:pt idx="4">
                  <c:v>53570</c:v>
                </c:pt>
                <c:pt idx="5">
                  <c:v>55538</c:v>
                </c:pt>
                <c:pt idx="6">
                  <c:v>62721</c:v>
                </c:pt>
                <c:pt idx="7">
                  <c:v>62690</c:v>
                </c:pt>
                <c:pt idx="8">
                  <c:v>61702</c:v>
                </c:pt>
                <c:pt idx="9">
                  <c:v>54136</c:v>
                </c:pt>
                <c:pt idx="10">
                  <c:v>54039</c:v>
                </c:pt>
                <c:pt idx="11">
                  <c:v>54409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7-4E6A-963A-750F60867B32}"/>
            </c:ext>
          </c:extLst>
        </c:ser>
        <c:ser>
          <c:idx val="1"/>
          <c:order val="1"/>
          <c:tx>
            <c:strRef>
              <c:f>'Statements Summary 2027'!$B$57</c:f>
              <c:strCache>
                <c:ptCount val="1"/>
                <c:pt idx="0">
                  <c:v>EBITDA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2027'!$K$57:$V$57</c:f>
              <c:numCache>
                <c:formatCode>#,##0</c:formatCode>
                <c:ptCount val="12"/>
                <c:pt idx="0">
                  <c:v>15703</c:v>
                </c:pt>
                <c:pt idx="1">
                  <c:v>15703</c:v>
                </c:pt>
                <c:pt idx="2">
                  <c:v>33495</c:v>
                </c:pt>
                <c:pt idx="3">
                  <c:v>37179</c:v>
                </c:pt>
                <c:pt idx="4">
                  <c:v>38226</c:v>
                </c:pt>
                <c:pt idx="5">
                  <c:v>40194</c:v>
                </c:pt>
                <c:pt idx="6">
                  <c:v>47377</c:v>
                </c:pt>
                <c:pt idx="7">
                  <c:v>47346</c:v>
                </c:pt>
                <c:pt idx="8">
                  <c:v>46358</c:v>
                </c:pt>
                <c:pt idx="9">
                  <c:v>38792</c:v>
                </c:pt>
                <c:pt idx="10">
                  <c:v>38695</c:v>
                </c:pt>
                <c:pt idx="11">
                  <c:v>39065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7-4E6A-963A-750F60867B32}"/>
            </c:ext>
          </c:extLst>
        </c:ser>
        <c:ser>
          <c:idx val="2"/>
          <c:order val="2"/>
          <c:tx>
            <c:strRef>
              <c:f>'Statements Summary 2027'!$B$64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'Statements Summary 2027'!$K$44:$V$44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2027'!$K$64:$V$64</c:f>
              <c:numCache>
                <c:formatCode>#,##0</c:formatCode>
                <c:ptCount val="12"/>
                <c:pt idx="0">
                  <c:v>12913.6</c:v>
                </c:pt>
                <c:pt idx="1">
                  <c:v>12913.6</c:v>
                </c:pt>
                <c:pt idx="2">
                  <c:v>27147.200000000001</c:v>
                </c:pt>
                <c:pt idx="3">
                  <c:v>30094.400000000001</c:v>
                </c:pt>
                <c:pt idx="4">
                  <c:v>30932</c:v>
                </c:pt>
                <c:pt idx="5">
                  <c:v>32506.400000000001</c:v>
                </c:pt>
                <c:pt idx="6">
                  <c:v>38252.800000000003</c:v>
                </c:pt>
                <c:pt idx="7">
                  <c:v>38236.800000000003</c:v>
                </c:pt>
                <c:pt idx="8">
                  <c:v>37446.400000000001</c:v>
                </c:pt>
                <c:pt idx="9">
                  <c:v>31393.599999999999</c:v>
                </c:pt>
                <c:pt idx="10">
                  <c:v>31316</c:v>
                </c:pt>
                <c:pt idx="11">
                  <c:v>31612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97-4E6A-963A-750F60867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04847"/>
        <c:axId val="619179407"/>
      </c:lineChart>
      <c:catAx>
        <c:axId val="61920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179407"/>
        <c:crosses val="autoZero"/>
        <c:auto val="1"/>
        <c:lblAlgn val="ctr"/>
        <c:lblOffset val="100"/>
        <c:noMultiLvlLbl val="0"/>
      </c:catAx>
      <c:valAx>
        <c:axId val="61917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920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2023'!$B$8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2023'!$E$8:$I$8</c:f>
              <c:numCache>
                <c:formatCode>#,##0</c:formatCode>
                <c:ptCount val="5"/>
                <c:pt idx="0">
                  <c:v>23102.6</c:v>
                </c:pt>
                <c:pt idx="1">
                  <c:v>23102.6</c:v>
                </c:pt>
                <c:pt idx="2">
                  <c:v>43959.8</c:v>
                </c:pt>
                <c:pt idx="3">
                  <c:v>44642.2</c:v>
                </c:pt>
                <c:pt idx="4">
                  <c:v>44651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2-43AA-AF24-381DF7D0E6F4}"/>
            </c:ext>
          </c:extLst>
        </c:ser>
        <c:ser>
          <c:idx val="1"/>
          <c:order val="1"/>
          <c:tx>
            <c:strRef>
              <c:f>'Statements Summary 2023'!$B$11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2023'!$E$11:$I$11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2-43AA-AF24-381DF7D0E6F4}"/>
            </c:ext>
          </c:extLst>
        </c:ser>
        <c:ser>
          <c:idx val="2"/>
          <c:order val="2"/>
          <c:tx>
            <c:strRef>
              <c:f>'Statements Summary 2023'!$B$15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'Statements Summary 2023'!$E$4:$I$4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2023'!$E$15:$I$15</c:f>
              <c:numCache>
                <c:formatCode>#,##0</c:formatCode>
                <c:ptCount val="5"/>
                <c:pt idx="0">
                  <c:v>-3300</c:v>
                </c:pt>
                <c:pt idx="1">
                  <c:v>-3300</c:v>
                </c:pt>
                <c:pt idx="2">
                  <c:v>-3300</c:v>
                </c:pt>
                <c:pt idx="3">
                  <c:v>-3300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A2-43AA-AF24-381DF7D0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55167"/>
        <c:axId val="2126840287"/>
      </c:barChart>
      <c:lineChart>
        <c:grouping val="standard"/>
        <c:varyColors val="0"/>
        <c:ser>
          <c:idx val="3"/>
          <c:order val="3"/>
          <c:tx>
            <c:strRef>
              <c:f>'Statements Summary 2023'!$B$16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2023'!$E$16:$I$16</c:f>
              <c:numCache>
                <c:formatCode>#,##0</c:formatCode>
                <c:ptCount val="5"/>
                <c:pt idx="0">
                  <c:v>23102.6</c:v>
                </c:pt>
                <c:pt idx="1">
                  <c:v>23102.6</c:v>
                </c:pt>
                <c:pt idx="2">
                  <c:v>43959.8</c:v>
                </c:pt>
                <c:pt idx="3">
                  <c:v>44642.2</c:v>
                </c:pt>
                <c:pt idx="4">
                  <c:v>44651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A2-43AA-AF24-381DF7D0E6F4}"/>
            </c:ext>
          </c:extLst>
        </c:ser>
        <c:ser>
          <c:idx val="4"/>
          <c:order val="4"/>
          <c:tx>
            <c:strRef>
              <c:f>'Statements Summary 2023'!$B$17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'Statements Summary 2023'!$E$17:$I$17</c:f>
              <c:numCache>
                <c:formatCode>#,##0</c:formatCode>
                <c:ptCount val="5"/>
                <c:pt idx="0">
                  <c:v>42905.200000000004</c:v>
                </c:pt>
                <c:pt idx="1">
                  <c:v>42905.200000000004</c:v>
                </c:pt>
                <c:pt idx="2">
                  <c:v>84619.6</c:v>
                </c:pt>
                <c:pt idx="3">
                  <c:v>85984.4</c:v>
                </c:pt>
                <c:pt idx="4">
                  <c:v>89302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A2-43AA-AF24-381DF7D0E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55167"/>
        <c:axId val="2126840287"/>
      </c:lineChart>
      <c:catAx>
        <c:axId val="212685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40287"/>
        <c:crosses val="autoZero"/>
        <c:auto val="1"/>
        <c:lblAlgn val="ctr"/>
        <c:lblOffset val="100"/>
        <c:noMultiLvlLbl val="0"/>
      </c:catAx>
      <c:valAx>
        <c:axId val="212684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5516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2027'!$B$8</c:f>
              <c:strCache>
                <c:ptCount val="1"/>
                <c:pt idx="0">
                  <c:v>Operating Cash Flows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2027'!$K$8:$V$8</c:f>
              <c:numCache>
                <c:formatCode>#,##0</c:formatCode>
                <c:ptCount val="12"/>
                <c:pt idx="0">
                  <c:v>24137.599999999999</c:v>
                </c:pt>
                <c:pt idx="1">
                  <c:v>24302.6</c:v>
                </c:pt>
                <c:pt idx="2">
                  <c:v>38701.199999999997</c:v>
                </c:pt>
                <c:pt idx="3">
                  <c:v>41813.4</c:v>
                </c:pt>
                <c:pt idx="4">
                  <c:v>42816</c:v>
                </c:pt>
                <c:pt idx="5">
                  <c:v>44555.4</c:v>
                </c:pt>
                <c:pt idx="6">
                  <c:v>50466.8</c:v>
                </c:pt>
                <c:pt idx="7">
                  <c:v>50615.8</c:v>
                </c:pt>
                <c:pt idx="8">
                  <c:v>49990.400000000001</c:v>
                </c:pt>
                <c:pt idx="9">
                  <c:v>44102.6</c:v>
                </c:pt>
                <c:pt idx="10">
                  <c:v>44190</c:v>
                </c:pt>
                <c:pt idx="11">
                  <c:v>44651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C-4EB5-870E-A2CCEFAD287F}"/>
            </c:ext>
          </c:extLst>
        </c:ser>
        <c:ser>
          <c:idx val="1"/>
          <c:order val="1"/>
          <c:tx>
            <c:strRef>
              <c:f>'Statements Summary 2027'!$B$11</c:f>
              <c:strCache>
                <c:ptCount val="1"/>
                <c:pt idx="0">
                  <c:v>Investing Cash 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2027'!$K$11:$V$11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C-4EB5-870E-A2CCEFAD287F}"/>
            </c:ext>
          </c:extLst>
        </c:ser>
        <c:ser>
          <c:idx val="2"/>
          <c:order val="2"/>
          <c:tx>
            <c:strRef>
              <c:f>'Statements Summary 2027'!$B$15</c:f>
              <c:strCache>
                <c:ptCount val="1"/>
                <c:pt idx="0">
                  <c:v>Financing Cash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2027'!$K$15:$V$15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9C-4EB5-870E-A2CCEFAD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6884927"/>
        <c:axId val="2126867647"/>
      </c:barChart>
      <c:lineChart>
        <c:grouping val="standard"/>
        <c:varyColors val="0"/>
        <c:ser>
          <c:idx val="3"/>
          <c:order val="3"/>
          <c:tx>
            <c:strRef>
              <c:f>'Statements Summary 2027'!$B$16</c:f>
              <c:strCache>
                <c:ptCount val="1"/>
                <c:pt idx="0">
                  <c:v>Change In Cash Held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2027'!$K$16:$V$16</c:f>
              <c:numCache>
                <c:formatCode>#,##0</c:formatCode>
                <c:ptCount val="12"/>
                <c:pt idx="0">
                  <c:v>24137.599999999999</c:v>
                </c:pt>
                <c:pt idx="1">
                  <c:v>24302.6</c:v>
                </c:pt>
                <c:pt idx="2">
                  <c:v>38701.199999999997</c:v>
                </c:pt>
                <c:pt idx="3">
                  <c:v>41813.4</c:v>
                </c:pt>
                <c:pt idx="4">
                  <c:v>42816</c:v>
                </c:pt>
                <c:pt idx="5">
                  <c:v>44555.4</c:v>
                </c:pt>
                <c:pt idx="6">
                  <c:v>50466.8</c:v>
                </c:pt>
                <c:pt idx="7">
                  <c:v>50615.8</c:v>
                </c:pt>
                <c:pt idx="8">
                  <c:v>49990.400000000001</c:v>
                </c:pt>
                <c:pt idx="9">
                  <c:v>44102.6</c:v>
                </c:pt>
                <c:pt idx="10">
                  <c:v>44190</c:v>
                </c:pt>
                <c:pt idx="11">
                  <c:v>44651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9C-4EB5-870E-A2CCEFAD287F}"/>
            </c:ext>
          </c:extLst>
        </c:ser>
        <c:ser>
          <c:idx val="4"/>
          <c:order val="4"/>
          <c:tx>
            <c:strRef>
              <c:f>'Statements Summary 2027'!$B$17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'Statements Summary 2023'!$K$4:$V$4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2027'!$K$17:$V$17</c:f>
              <c:numCache>
                <c:formatCode>#,##0</c:formatCode>
                <c:ptCount val="12"/>
                <c:pt idx="0">
                  <c:v>48275.199999999997</c:v>
                </c:pt>
                <c:pt idx="1">
                  <c:v>48605.2</c:v>
                </c:pt>
                <c:pt idx="2">
                  <c:v>77402.399999999994</c:v>
                </c:pt>
                <c:pt idx="3">
                  <c:v>83626.799999999988</c:v>
                </c:pt>
                <c:pt idx="4">
                  <c:v>85632</c:v>
                </c:pt>
                <c:pt idx="5">
                  <c:v>89110.799999999988</c:v>
                </c:pt>
                <c:pt idx="6">
                  <c:v>100933.6</c:v>
                </c:pt>
                <c:pt idx="7">
                  <c:v>101231.6</c:v>
                </c:pt>
                <c:pt idx="8">
                  <c:v>99980.799999999988</c:v>
                </c:pt>
                <c:pt idx="9">
                  <c:v>88205.200000000012</c:v>
                </c:pt>
                <c:pt idx="10">
                  <c:v>88380</c:v>
                </c:pt>
                <c:pt idx="11">
                  <c:v>89302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9C-4EB5-870E-A2CCEFAD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884927"/>
        <c:axId val="2126867647"/>
      </c:lineChart>
      <c:catAx>
        <c:axId val="212688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67647"/>
        <c:crosses val="autoZero"/>
        <c:auto val="1"/>
        <c:lblAlgn val="ctr"/>
        <c:lblOffset val="100"/>
        <c:noMultiLvlLbl val="0"/>
      </c:catAx>
      <c:valAx>
        <c:axId val="212686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88492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2024'!$B$87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2023'!$E$86:$I$86</c:f>
              <c:numCache>
                <c:formatCode>#,##0</c:formatCode>
                <c:ptCount val="5"/>
                <c:pt idx="0">
                  <c:v>19802.599999999999</c:v>
                </c:pt>
                <c:pt idx="1">
                  <c:v>395096.2</c:v>
                </c:pt>
                <c:pt idx="2">
                  <c:v>850182.80000000016</c:v>
                </c:pt>
                <c:pt idx="3">
                  <c:v>1310974.6000000001</c:v>
                </c:pt>
                <c:pt idx="4">
                  <c:v>1811317.4000000001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1-40FE-B8A8-A6508339DDC5}"/>
            </c:ext>
          </c:extLst>
        </c:ser>
        <c:ser>
          <c:idx val="2"/>
          <c:order val="2"/>
          <c:tx>
            <c:strRef>
              <c:f>'Statements Summary 2023'!$B$89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'Statements Summary 2023'!$E$85:$I$85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'Statements Summary 2023'!$E$89:$I$89</c:f>
              <c:numCache>
                <c:formatCode>#,##0</c:formatCode>
                <c:ptCount val="5"/>
                <c:pt idx="0">
                  <c:v>-8366.4</c:v>
                </c:pt>
                <c:pt idx="1">
                  <c:v>-8366.4</c:v>
                </c:pt>
                <c:pt idx="2">
                  <c:v>-8194.2000000000007</c:v>
                </c:pt>
                <c:pt idx="3">
                  <c:v>-7461.8</c:v>
                </c:pt>
                <c:pt idx="4">
                  <c:v>-7453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B1-40FE-B8A8-A6508339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796095"/>
        <c:axId val="912777375"/>
      </c:barChart>
      <c:lineChart>
        <c:grouping val="standard"/>
        <c:varyColors val="0"/>
        <c:ser>
          <c:idx val="1"/>
          <c:order val="1"/>
          <c:tx>
            <c:strRef>
              <c:f>'Statements Summary 2023'!$B$88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2023'!$E$88:$I$88</c:f>
              <c:numCache>
                <c:formatCode>#,##0</c:formatCode>
                <c:ptCount val="5"/>
                <c:pt idx="0">
                  <c:v>190334.6</c:v>
                </c:pt>
                <c:pt idx="1">
                  <c:v>583428.19999999995</c:v>
                </c:pt>
                <c:pt idx="2">
                  <c:v>1059663.8000000003</c:v>
                </c:pt>
                <c:pt idx="3">
                  <c:v>1541992.6</c:v>
                </c:pt>
                <c:pt idx="4">
                  <c:v>2063717.4000000001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B1-40FE-B8A8-A6508339DDC5}"/>
            </c:ext>
          </c:extLst>
        </c:ser>
        <c:ser>
          <c:idx val="3"/>
          <c:order val="3"/>
          <c:tx>
            <c:strRef>
              <c:f>'Statements Summary 2023'!$B$92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2023'!$E$92:$I$92</c:f>
              <c:numCache>
                <c:formatCode>#,##0</c:formatCode>
                <c:ptCount val="5"/>
                <c:pt idx="0">
                  <c:v>68268.200000000012</c:v>
                </c:pt>
                <c:pt idx="1">
                  <c:v>500961.79999999993</c:v>
                </c:pt>
                <c:pt idx="2">
                  <c:v>969269.60000000033</c:v>
                </c:pt>
                <c:pt idx="3">
                  <c:v>1533030.8</c:v>
                </c:pt>
                <c:pt idx="4">
                  <c:v>2056264.4000000001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B1-40FE-B8A8-A6508339DDC5}"/>
            </c:ext>
          </c:extLst>
        </c:ser>
        <c:ser>
          <c:idx val="4"/>
          <c:order val="4"/>
          <c:tx>
            <c:strRef>
              <c:f>'Statements Summary 2023'!$B$93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2023'!$E$93:$I$93</c:f>
              <c:numCache>
                <c:formatCode>#,##0</c:formatCode>
                <c:ptCount val="5"/>
                <c:pt idx="0">
                  <c:v>19802.599999999999</c:v>
                </c:pt>
                <c:pt idx="1">
                  <c:v>395096.2</c:v>
                </c:pt>
                <c:pt idx="2">
                  <c:v>850182.80000000016</c:v>
                </c:pt>
                <c:pt idx="3">
                  <c:v>1310974.6000000001</c:v>
                </c:pt>
                <c:pt idx="4">
                  <c:v>1811317.4000000001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B1-40FE-B8A8-A6508339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96095"/>
        <c:axId val="912777375"/>
      </c:lineChart>
      <c:catAx>
        <c:axId val="91279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77375"/>
        <c:crosses val="autoZero"/>
        <c:auto val="1"/>
        <c:lblAlgn val="ctr"/>
        <c:lblOffset val="100"/>
        <c:noMultiLvlLbl val="0"/>
      </c:catAx>
      <c:valAx>
        <c:axId val="91277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796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'Statements Summary 2027'!$B$88</c:f>
              <c:strCache>
                <c:ptCount val="1"/>
                <c:pt idx="0">
                  <c:v>Current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'Statements Summary 2024'!$K$86:$V$86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2027'!$K$88:$V$88</c:f>
              <c:numCache>
                <c:formatCode>#,##0</c:formatCode>
                <c:ptCount val="12"/>
                <c:pt idx="0">
                  <c:v>1335112.2000000002</c:v>
                </c:pt>
                <c:pt idx="1">
                  <c:v>1359414.8000000003</c:v>
                </c:pt>
                <c:pt idx="2">
                  <c:v>1398116.0000000002</c:v>
                </c:pt>
                <c:pt idx="3">
                  <c:v>1439929.4000000001</c:v>
                </c:pt>
                <c:pt idx="4">
                  <c:v>1482745.4000000001</c:v>
                </c:pt>
                <c:pt idx="5">
                  <c:v>1527300.8</c:v>
                </c:pt>
                <c:pt idx="6">
                  <c:v>1577767.6</c:v>
                </c:pt>
                <c:pt idx="7">
                  <c:v>1628383.4000000001</c:v>
                </c:pt>
                <c:pt idx="8">
                  <c:v>1678373.8</c:v>
                </c:pt>
                <c:pt idx="9">
                  <c:v>1722476.4000000001</c:v>
                </c:pt>
                <c:pt idx="10">
                  <c:v>1766666.4000000001</c:v>
                </c:pt>
                <c:pt idx="11">
                  <c:v>1811317.4000000001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B-417E-A1EC-5CA047233CBB}"/>
            </c:ext>
          </c:extLst>
        </c:ser>
        <c:ser>
          <c:idx val="2"/>
          <c:order val="2"/>
          <c:tx>
            <c:strRef>
              <c:f>'Statements Summary 2027'!$B$91</c:f>
              <c:strCache>
                <c:ptCount val="1"/>
                <c:pt idx="0">
                  <c:v>Current Liabilities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'Statements Summary 2024'!$K$86:$V$86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'Statements Summary 2027'!$K$91:$V$91</c:f>
              <c:numCache>
                <c:formatCode>#,##0</c:formatCode>
                <c:ptCount val="12"/>
                <c:pt idx="0">
                  <c:v>-2789.4</c:v>
                </c:pt>
                <c:pt idx="1">
                  <c:v>-2789.4</c:v>
                </c:pt>
                <c:pt idx="2">
                  <c:v>-6347.8</c:v>
                </c:pt>
                <c:pt idx="3">
                  <c:v>-7084.6</c:v>
                </c:pt>
                <c:pt idx="4">
                  <c:v>-7294</c:v>
                </c:pt>
                <c:pt idx="5">
                  <c:v>-7687.6</c:v>
                </c:pt>
                <c:pt idx="6">
                  <c:v>-9124.2000000000007</c:v>
                </c:pt>
                <c:pt idx="7">
                  <c:v>-9109.2000000000007</c:v>
                </c:pt>
                <c:pt idx="8">
                  <c:v>-8911.6</c:v>
                </c:pt>
                <c:pt idx="9">
                  <c:v>-7398.4000000000005</c:v>
                </c:pt>
                <c:pt idx="10">
                  <c:v>-7379</c:v>
                </c:pt>
                <c:pt idx="11">
                  <c:v>-7453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B-417E-A1EC-5CA04723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2731344"/>
        <c:axId val="1392730864"/>
      </c:barChart>
      <c:lineChart>
        <c:grouping val="standard"/>
        <c:varyColors val="0"/>
        <c:ser>
          <c:idx val="1"/>
          <c:order val="1"/>
          <c:tx>
            <c:strRef>
              <c:f>'Statements Summary 2027'!$B$90</c:f>
              <c:strCache>
                <c:ptCount val="1"/>
                <c:pt idx="0">
                  <c:v>Total Assets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val>
            <c:numRef>
              <c:f>'Statements Summary 2027'!$K$90:$V$90</c:f>
              <c:numCache>
                <c:formatCode>#,##0</c:formatCode>
                <c:ptCount val="12"/>
                <c:pt idx="0">
                  <c:v>1567886.2000000002</c:v>
                </c:pt>
                <c:pt idx="1">
                  <c:v>1594099.8000000003</c:v>
                </c:pt>
                <c:pt idx="2">
                  <c:v>1634712.0000000002</c:v>
                </c:pt>
                <c:pt idx="3">
                  <c:v>1678281.4000000001</c:v>
                </c:pt>
                <c:pt idx="4">
                  <c:v>1722853.4000000001</c:v>
                </c:pt>
                <c:pt idx="5">
                  <c:v>1769164.8</c:v>
                </c:pt>
                <c:pt idx="6">
                  <c:v>1821387.6</c:v>
                </c:pt>
                <c:pt idx="7">
                  <c:v>1873759.4000000001</c:v>
                </c:pt>
                <c:pt idx="8">
                  <c:v>1925505.8</c:v>
                </c:pt>
                <c:pt idx="9">
                  <c:v>1971364.4000000001</c:v>
                </c:pt>
                <c:pt idx="10">
                  <c:v>2017310.4000000001</c:v>
                </c:pt>
                <c:pt idx="11">
                  <c:v>2063717.4000000001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B-417E-A1EC-5CA047233CBB}"/>
            </c:ext>
          </c:extLst>
        </c:ser>
        <c:ser>
          <c:idx val="3"/>
          <c:order val="3"/>
          <c:tx>
            <c:strRef>
              <c:f>'Statements Summary 2027'!$B$94</c:f>
              <c:strCache>
                <c:ptCount val="1"/>
                <c:pt idx="0">
                  <c:v>Net Assets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'Statements Summary 2027'!$K$94:$V$94</c:f>
              <c:numCache>
                <c:formatCode>#,##0</c:formatCode>
                <c:ptCount val="12"/>
                <c:pt idx="0">
                  <c:v>1565096.8000000003</c:v>
                </c:pt>
                <c:pt idx="1">
                  <c:v>1591310.4000000004</c:v>
                </c:pt>
                <c:pt idx="2">
                  <c:v>1628364.2000000002</c:v>
                </c:pt>
                <c:pt idx="3">
                  <c:v>1671196.8</c:v>
                </c:pt>
                <c:pt idx="4">
                  <c:v>1715559.4000000001</c:v>
                </c:pt>
                <c:pt idx="5">
                  <c:v>1761477.2</c:v>
                </c:pt>
                <c:pt idx="6">
                  <c:v>1812263.4000000001</c:v>
                </c:pt>
                <c:pt idx="7">
                  <c:v>1864650.2000000002</c:v>
                </c:pt>
                <c:pt idx="8">
                  <c:v>1916594.2</c:v>
                </c:pt>
                <c:pt idx="9">
                  <c:v>1963966.0000000002</c:v>
                </c:pt>
                <c:pt idx="10">
                  <c:v>2009931.4000000001</c:v>
                </c:pt>
                <c:pt idx="11">
                  <c:v>2056264.4000000001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2B-417E-A1EC-5CA047233CBB}"/>
            </c:ext>
          </c:extLst>
        </c:ser>
        <c:ser>
          <c:idx val="4"/>
          <c:order val="4"/>
          <c:tx>
            <c:strRef>
              <c:f>'Statements Summary 2027'!$B$95</c:f>
              <c:strCache>
                <c:ptCount val="1"/>
                <c:pt idx="0">
                  <c:v>Net Current Assets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'Statements Summary 2027'!$K$95:$V$95</c:f>
              <c:numCache>
                <c:formatCode>#,##0</c:formatCode>
                <c:ptCount val="12"/>
                <c:pt idx="0">
                  <c:v>1335112.2000000002</c:v>
                </c:pt>
                <c:pt idx="1">
                  <c:v>1359414.8000000003</c:v>
                </c:pt>
                <c:pt idx="2">
                  <c:v>1398116.0000000002</c:v>
                </c:pt>
                <c:pt idx="3">
                  <c:v>1439929.4000000001</c:v>
                </c:pt>
                <c:pt idx="4">
                  <c:v>1482745.4000000001</c:v>
                </c:pt>
                <c:pt idx="5">
                  <c:v>1527300.8</c:v>
                </c:pt>
                <c:pt idx="6">
                  <c:v>1577767.6</c:v>
                </c:pt>
                <c:pt idx="7">
                  <c:v>1628383.4000000001</c:v>
                </c:pt>
                <c:pt idx="8">
                  <c:v>1678373.8</c:v>
                </c:pt>
                <c:pt idx="9">
                  <c:v>1722476.4000000001</c:v>
                </c:pt>
                <c:pt idx="10">
                  <c:v>1766666.4000000001</c:v>
                </c:pt>
                <c:pt idx="11">
                  <c:v>1811317.4000000001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2B-417E-A1EC-5CA04723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731344"/>
        <c:axId val="1392730864"/>
      </c:lineChart>
      <c:catAx>
        <c:axId val="13927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0864"/>
        <c:crosses val="autoZero"/>
        <c:auto val="1"/>
        <c:lblAlgn val="ctr"/>
        <c:lblOffset val="100"/>
        <c:noMultiLvlLbl val="0"/>
      </c:catAx>
      <c:valAx>
        <c:axId val="13927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7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BEA!$E$27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BEA!$H$24:$Q$24</c15:sqref>
                  </c15:fullRef>
                </c:ext>
              </c:extLst>
              <c:f>(BEA!$H$24,BEA!$J$24,BEA!$L$24,BEA!$N$24,BEA!$P$24)</c:f>
              <c:numCache>
                <c:formatCode>General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BEA!$H$27:$Q$27</c15:sqref>
                  </c15:fullRef>
                </c:ext>
              </c:extLst>
              <c:f>(BEA!$H$27,BEA!$J$27,BEA!$L$27,BEA!$N$27,BEA!$P$27)</c:f>
              <c:numCache>
                <c:formatCode>#,##0</c:formatCode>
                <c:ptCount val="5"/>
                <c:pt idx="0">
                  <c:v>623061</c:v>
                </c:pt>
                <c:pt idx="1">
                  <c:v>622261</c:v>
                </c:pt>
                <c:pt idx="2">
                  <c:v>622261</c:v>
                </c:pt>
                <c:pt idx="3">
                  <c:v>622261</c:v>
                </c:pt>
                <c:pt idx="4">
                  <c:v>622261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D-45A2-A66D-DA29F5182646}"/>
            </c:ext>
          </c:extLst>
        </c:ser>
        <c:ser>
          <c:idx val="1"/>
          <c:order val="1"/>
          <c:tx>
            <c:strRef>
              <c:f>BEA!$E$34</c:f>
              <c:strCache>
                <c:ptCount val="1"/>
                <c:pt idx="0">
                  <c:v>Net Profit After Tax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BEA!$H$34:$Q$34</c15:sqref>
                  </c15:fullRef>
                </c:ext>
              </c:extLst>
              <c:f>(BEA!$H$34,BEA!$J$34,BEA!$L$34,BEA!$N$34,BEA!$P$34)</c:f>
              <c:numCache>
                <c:formatCode>General</c:formatCode>
                <c:ptCount val="5"/>
                <c:pt idx="0" formatCode="#,##0">
                  <c:v>377709.59999999992</c:v>
                </c:pt>
                <c:pt idx="1" formatCode="#,##0">
                  <c:v>377069.59999999992</c:v>
                </c:pt>
                <c:pt idx="2" formatCode="#,##0">
                  <c:v>348508.6</c:v>
                </c:pt>
                <c:pt idx="3" formatCode="#,##0">
                  <c:v>354813.80000000005</c:v>
                </c:pt>
                <c:pt idx="4" formatCode="#,##0">
                  <c:v>354764.79999999999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D-45A2-A66D-DA29F51826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106433648"/>
        <c:axId val="89747792"/>
      </c:barChart>
      <c:lineChart>
        <c:grouping val="standard"/>
        <c:varyColors val="0"/>
        <c:ser>
          <c:idx val="2"/>
          <c:order val="2"/>
          <c:tx>
            <c:strRef>
              <c:f>BEA!$E$32</c:f>
              <c:strCache>
                <c:ptCount val="1"/>
                <c:pt idx="0">
                  <c:v>Break Even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BEA!$H$32:$Q$32</c15:sqref>
                  </c15:fullRef>
                </c:ext>
              </c:extLst>
              <c:f>(BEA!$H$32,BEA!$J$32,BEA!$L$32,BEA!$N$32,BEA!$P$32)</c:f>
              <c:numCache>
                <c:formatCode>General</c:formatCode>
                <c:ptCount val="5"/>
                <c:pt idx="0" formatCode="#,##0">
                  <c:v>643079.4</c:v>
                </c:pt>
                <c:pt idx="1" formatCode="#,##0">
                  <c:v>434447.4</c:v>
                </c:pt>
                <c:pt idx="2" formatCode="#,##0">
                  <c:v>391207.4</c:v>
                </c:pt>
                <c:pt idx="3" formatCode="#,##0">
                  <c:v>361530.2</c:v>
                </c:pt>
                <c:pt idx="4" formatCode="#,##0">
                  <c:v>829544.2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BD-45A2-A66D-DA29F51826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6433648"/>
        <c:axId val="89747792"/>
      </c:lineChart>
      <c:catAx>
        <c:axId val="10643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47792"/>
        <c:crosses val="autoZero"/>
        <c:auto val="1"/>
        <c:lblAlgn val="ctr"/>
        <c:lblOffset val="100"/>
        <c:noMultiLvlLbl val="0"/>
      </c:catAx>
      <c:valAx>
        <c:axId val="8974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3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'Top Expenses'!$B$9:$C$9</c:f>
              <c:strCache>
                <c:ptCount val="2"/>
                <c:pt idx="0">
                  <c:v>Building Rent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Expenses'!$D$9:$H$9</c:f>
              <c:numCache>
                <c:formatCode>#,##0</c:formatCode>
                <c:ptCount val="5"/>
                <c:pt idx="0">
                  <c:v>20400</c:v>
                </c:pt>
                <c:pt idx="1">
                  <c:v>20400</c:v>
                </c:pt>
                <c:pt idx="2">
                  <c:v>8400</c:v>
                </c:pt>
                <c:pt idx="3">
                  <c:v>8400</c:v>
                </c:pt>
                <c:pt idx="4">
                  <c:v>8400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8-4000-88F5-F16B23D06E97}"/>
            </c:ext>
          </c:extLst>
        </c:ser>
        <c:ser>
          <c:idx val="1"/>
          <c:order val="1"/>
          <c:tx>
            <c:strRef>
              <c:f>'Top Expenses'!$B$10:$C$10</c:f>
              <c:strCache>
                <c:ptCount val="2"/>
                <c:pt idx="0">
                  <c:v>Wages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Expenses'!$D$10:$H$10</c:f>
              <c:numCache>
                <c:formatCode>#,##0</c:formatCode>
                <c:ptCount val="5"/>
                <c:pt idx="0">
                  <c:v>80604</c:v>
                </c:pt>
                <c:pt idx="1">
                  <c:v>80604</c:v>
                </c:pt>
                <c:pt idx="2">
                  <c:v>80616</c:v>
                </c:pt>
                <c:pt idx="3">
                  <c:v>80616</c:v>
                </c:pt>
                <c:pt idx="4">
                  <c:v>560616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8-4000-88F5-F16B23D06E97}"/>
            </c:ext>
          </c:extLst>
        </c:ser>
        <c:ser>
          <c:idx val="2"/>
          <c:order val="2"/>
          <c:tx>
            <c:strRef>
              <c:f>'Top Expenses'!$B$11:$C$11</c:f>
              <c:strCache>
                <c:ptCount val="2"/>
                <c:pt idx="0">
                  <c:v>Utilities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Expenses'!$D$11:$H$11</c:f>
              <c:numCache>
                <c:formatCode>#,##0</c:formatCode>
                <c:ptCount val="5"/>
                <c:pt idx="0">
                  <c:v>10800</c:v>
                </c:pt>
                <c:pt idx="1">
                  <c:v>10800</c:v>
                </c:pt>
                <c:pt idx="2">
                  <c:v>10800</c:v>
                </c:pt>
                <c:pt idx="3">
                  <c:v>10800</c:v>
                </c:pt>
                <c:pt idx="4">
                  <c:v>10800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48-4000-88F5-F16B23D06E97}"/>
            </c:ext>
          </c:extLst>
        </c:ser>
        <c:ser>
          <c:idx val="3"/>
          <c:order val="3"/>
          <c:tx>
            <c:strRef>
              <c:f>'Top Expenses'!$B$12:$C$12</c:f>
              <c:strCache>
                <c:ptCount val="2"/>
                <c:pt idx="0">
                  <c:v>Misc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'Top Expenses'!$D$7:$H$7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Expenses'!$D$12:$H$12</c:f>
              <c:numCache>
                <c:formatCode>#,##0</c:formatCode>
                <c:ptCount val="5"/>
                <c:pt idx="0">
                  <c:v>9000</c:v>
                </c:pt>
                <c:pt idx="1">
                  <c:v>9000</c:v>
                </c:pt>
                <c:pt idx="2">
                  <c:v>5916</c:v>
                </c:pt>
                <c:pt idx="3">
                  <c:v>5916</c:v>
                </c:pt>
                <c:pt idx="4">
                  <c:v>12840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48-4000-88F5-F16B23D06E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2"/>
        <c:overlap val="100"/>
        <c:axId val="86746880"/>
        <c:axId val="181657264"/>
      </c:barChart>
      <c:catAx>
        <c:axId val="8674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657264"/>
        <c:crosses val="autoZero"/>
        <c:auto val="1"/>
        <c:lblAlgn val="ctr"/>
        <c:lblOffset val="100"/>
        <c:noMultiLvlLbl val="0"/>
      </c:catAx>
      <c:valAx>
        <c:axId val="18165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2571741032370953E-2"/>
          <c:y val="2.7777777777777776E-2"/>
          <c:w val="0.831903234101958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'Top Expenses'!$B$9:$C$9</c:f>
              <c:strCache>
                <c:ptCount val="2"/>
                <c:pt idx="0">
                  <c:v>Building Rent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Expenses'!$D$9:$H$9</c:f>
              <c:numCache>
                <c:formatCode>#,##0</c:formatCode>
                <c:ptCount val="5"/>
                <c:pt idx="0">
                  <c:v>20400</c:v>
                </c:pt>
                <c:pt idx="1">
                  <c:v>20400</c:v>
                </c:pt>
                <c:pt idx="2">
                  <c:v>8400</c:v>
                </c:pt>
                <c:pt idx="3">
                  <c:v>8400</c:v>
                </c:pt>
                <c:pt idx="4">
                  <c:v>8400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9-41F2-86A9-6D771DAA14D6}"/>
            </c:ext>
          </c:extLst>
        </c:ser>
        <c:ser>
          <c:idx val="1"/>
          <c:order val="1"/>
          <c:tx>
            <c:strRef>
              <c:f>'Top Expenses'!$B$10:$C$10</c:f>
              <c:strCache>
                <c:ptCount val="2"/>
                <c:pt idx="0">
                  <c:v>Wages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Expenses'!$D$10:$H$10</c:f>
              <c:numCache>
                <c:formatCode>#,##0</c:formatCode>
                <c:ptCount val="5"/>
                <c:pt idx="0">
                  <c:v>80604</c:v>
                </c:pt>
                <c:pt idx="1">
                  <c:v>80604</c:v>
                </c:pt>
                <c:pt idx="2">
                  <c:v>80616</c:v>
                </c:pt>
                <c:pt idx="3">
                  <c:v>80616</c:v>
                </c:pt>
                <c:pt idx="4">
                  <c:v>560616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9-41F2-86A9-6D771DAA14D6}"/>
            </c:ext>
          </c:extLst>
        </c:ser>
        <c:ser>
          <c:idx val="2"/>
          <c:order val="2"/>
          <c:tx>
            <c:strRef>
              <c:f>'Top Expenses'!$B$11:$C$11</c:f>
              <c:strCache>
                <c:ptCount val="2"/>
                <c:pt idx="0">
                  <c:v>Utilities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Expenses'!$D$11:$H$11</c:f>
              <c:numCache>
                <c:formatCode>#,##0</c:formatCode>
                <c:ptCount val="5"/>
                <c:pt idx="0">
                  <c:v>10800</c:v>
                </c:pt>
                <c:pt idx="1">
                  <c:v>10800</c:v>
                </c:pt>
                <c:pt idx="2">
                  <c:v>10800</c:v>
                </c:pt>
                <c:pt idx="3">
                  <c:v>10800</c:v>
                </c:pt>
                <c:pt idx="4">
                  <c:v>10800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89-41F2-86A9-6D771DAA14D6}"/>
            </c:ext>
          </c:extLst>
        </c:ser>
        <c:ser>
          <c:idx val="3"/>
          <c:order val="3"/>
          <c:tx>
            <c:strRef>
              <c:f>'Top Expenses'!$B$12:$C$12</c:f>
              <c:strCache>
                <c:ptCount val="2"/>
                <c:pt idx="0">
                  <c:v>Misc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'Top Expenses'!$K$7:$O$7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'Top Expenses'!$D$12:$H$12</c:f>
              <c:numCache>
                <c:formatCode>#,##0</c:formatCode>
                <c:ptCount val="5"/>
                <c:pt idx="0">
                  <c:v>9000</c:v>
                </c:pt>
                <c:pt idx="1">
                  <c:v>9000</c:v>
                </c:pt>
                <c:pt idx="2">
                  <c:v>5916</c:v>
                </c:pt>
                <c:pt idx="3">
                  <c:v>5916</c:v>
                </c:pt>
                <c:pt idx="4">
                  <c:v>12840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9-41F2-86A9-6D771DAA1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424048"/>
        <c:axId val="121146032"/>
      </c:lineChart>
      <c:catAx>
        <c:axId val="10642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46032"/>
        <c:crosses val="autoZero"/>
        <c:auto val="1"/>
        <c:lblAlgn val="ctr"/>
        <c:lblOffset val="100"/>
        <c:noMultiLvlLbl val="0"/>
      </c:catAx>
      <c:valAx>
        <c:axId val="12114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2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61166458455869832"/>
        </c:manualLayout>
      </c:layout>
      <c:lineChart>
        <c:grouping val="standard"/>
        <c:varyColors val="0"/>
        <c:ser>
          <c:idx val="3"/>
          <c:order val="0"/>
          <c:tx>
            <c:strRef>
              <c:f>'Servcies Team Upselling %'!$F$11</c:f>
              <c:strCache>
                <c:ptCount val="1"/>
                <c:pt idx="0">
                  <c:v>% OF GOAL REACHED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%'!$B$12:$C$36</c:f>
              <c:strCache>
                <c:ptCount val="25"/>
                <c:pt idx="0">
                  <c:v>Charge Point 1</c:v>
                </c:pt>
                <c:pt idx="1">
                  <c:v>Charge Point 2</c:v>
                </c:pt>
                <c:pt idx="2">
                  <c:v>Charge Point 3</c:v>
                </c:pt>
                <c:pt idx="3">
                  <c:v>Charge Point 4</c:v>
                </c:pt>
                <c:pt idx="4">
                  <c:v>Charge Point 5</c:v>
                </c:pt>
                <c:pt idx="5">
                  <c:v>Charge Point 6</c:v>
                </c:pt>
                <c:pt idx="6">
                  <c:v>Charge Point 7</c:v>
                </c:pt>
                <c:pt idx="7">
                  <c:v>Charge Point 8</c:v>
                </c:pt>
                <c:pt idx="8">
                  <c:v>Charge Point 9</c:v>
                </c:pt>
                <c:pt idx="9">
                  <c:v>Charge Point 10</c:v>
                </c:pt>
                <c:pt idx="10">
                  <c:v>Charge Point 11</c:v>
                </c:pt>
                <c:pt idx="11">
                  <c:v>Charge Point 12</c:v>
                </c:pt>
                <c:pt idx="12">
                  <c:v>Charge Point 13</c:v>
                </c:pt>
                <c:pt idx="13">
                  <c:v>Charge Point 14</c:v>
                </c:pt>
                <c:pt idx="14">
                  <c:v>Charge Point 15</c:v>
                </c:pt>
                <c:pt idx="15">
                  <c:v>Charge Point 16</c:v>
                </c:pt>
                <c:pt idx="16">
                  <c:v>Charge Point 17</c:v>
                </c:pt>
                <c:pt idx="17">
                  <c:v>Charge Point 18</c:v>
                </c:pt>
                <c:pt idx="18">
                  <c:v>Charge Point 19</c:v>
                </c:pt>
                <c:pt idx="19">
                  <c:v>Charge Point 20</c:v>
                </c:pt>
                <c:pt idx="20">
                  <c:v>Charge Point 21</c:v>
                </c:pt>
                <c:pt idx="21">
                  <c:v>Charge Point 22</c:v>
                </c:pt>
                <c:pt idx="22">
                  <c:v>Charge Point 23</c:v>
                </c:pt>
                <c:pt idx="23">
                  <c:v>Charge Point 24</c:v>
                </c:pt>
                <c:pt idx="24">
                  <c:v>Charge Point 25</c:v>
                </c:pt>
              </c:strCache>
            </c:strRef>
          </c:cat>
          <c:val>
            <c:numRef>
              <c:f>'Servcies Team Upselling %'!$F$12:$F$36</c:f>
              <c:numCache>
                <c:formatCode>0%</c:formatCode>
                <c:ptCount val="25"/>
                <c:pt idx="0">
                  <c:v>0.83333333333333337</c:v>
                </c:pt>
                <c:pt idx="1">
                  <c:v>0.73333333333333339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  <c:pt idx="5">
                  <c:v>0.66666666666666663</c:v>
                </c:pt>
                <c:pt idx="6">
                  <c:v>0.66666666666666663</c:v>
                </c:pt>
                <c:pt idx="7">
                  <c:v>0.66666666666666663</c:v>
                </c:pt>
                <c:pt idx="8">
                  <c:v>0.66666666666666663</c:v>
                </c:pt>
                <c:pt idx="9">
                  <c:v>1</c:v>
                </c:pt>
                <c:pt idx="10">
                  <c:v>1</c:v>
                </c:pt>
                <c:pt idx="11">
                  <c:v>0.66666666666666663</c:v>
                </c:pt>
                <c:pt idx="12">
                  <c:v>0.66666666666666663</c:v>
                </c:pt>
                <c:pt idx="13">
                  <c:v>0.83333333333333337</c:v>
                </c:pt>
                <c:pt idx="14">
                  <c:v>0.83333333333333337</c:v>
                </c:pt>
                <c:pt idx="15">
                  <c:v>0.83333333333333337</c:v>
                </c:pt>
                <c:pt idx="16">
                  <c:v>0.83333333333333337</c:v>
                </c:pt>
                <c:pt idx="17">
                  <c:v>0.83333333333333337</c:v>
                </c:pt>
                <c:pt idx="18">
                  <c:v>0.83333333333333337</c:v>
                </c:pt>
                <c:pt idx="19">
                  <c:v>0.83333333333333337</c:v>
                </c:pt>
                <c:pt idx="20">
                  <c:v>0.66666666666666663</c:v>
                </c:pt>
                <c:pt idx="21">
                  <c:v>0.66666666666666663</c:v>
                </c:pt>
                <c:pt idx="22">
                  <c:v>0.66666666666666663</c:v>
                </c:pt>
                <c:pt idx="23">
                  <c:v>0.66666666666666663</c:v>
                </c:pt>
                <c:pt idx="24">
                  <c:v>0.66666666666666663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085-457A-A6FF-41BD0EDC3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2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483483213663E-2"/>
          <c:y val="4.0958462760173703E-2"/>
          <c:w val="0.95614007837133197"/>
          <c:h val="0.88437656679764598"/>
        </c:manualLayout>
      </c:layout>
      <c:barChart>
        <c:barDir val="col"/>
        <c:grouping val="clustered"/>
        <c:varyColors val="1"/>
        <c:ser>
          <c:idx val="3"/>
          <c:order val="0"/>
          <c:tx>
            <c:strRef>
              <c:f>'Servcies Team Upselling %'!$D$11</c:f>
              <c:strCache>
                <c:ptCount val="1"/>
                <c:pt idx="0">
                  <c:v>Actual Time Taken</c:v>
                </c:pt>
              </c:strCache>
            </c:strRef>
          </c:tx>
          <c:spPr>
            <a:solidFill>
              <a:schemeClr val="accent2"/>
            </a:solidFill>
            <a:ln w="9525" cap="flat" cmpd="sng" algn="ctr">
              <a:solidFill>
                <a:schemeClr val="accent4">
                  <a:shade val="58000"/>
                  <a:shade val="95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5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C7-4B12-A27C-B38C8A32548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5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C7-4B12-A27C-B38C8A3254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6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C7-4B12-A27C-B38C8A3254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6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C7-4B12-A27C-B38C8A32548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7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C7-4B12-A27C-B38C8A32548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79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CC7-4B12-A27C-B38C8A32548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8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CC7-4B12-A27C-B38C8A32548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9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2CC7-4B12-A27C-B38C8A32548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tint val="9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2CC7-4B12-A27C-B38C8A32548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2CC7-4B12-A27C-B38C8A32548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94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2CC7-4B12-A27C-B38C8A32548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89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2CC7-4B12-A27C-B38C8A32548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8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2CC7-4B12-A27C-B38C8A32548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7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2CC7-4B12-A27C-B38C8A32548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7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2CC7-4B12-A27C-B38C8A32548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6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2CC7-4B12-A27C-B38C8A32548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6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2CC7-4B12-A27C-B38C8A32548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5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2CC7-4B12-A27C-B38C8A32548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51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2CC7-4B12-A27C-B38C8A32548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4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2CC7-4B12-A27C-B38C8A325486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40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2CC7-4B12-A27C-B38C8A32548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9525" cap="flat" cmpd="sng" algn="ctr">
                <a:solidFill>
                  <a:schemeClr val="accent4">
                    <a:shade val="3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2CC7-4B12-A27C-B38C8A3254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%'!$B$12:$C$36</c:f>
              <c:strCache>
                <c:ptCount val="25"/>
                <c:pt idx="0">
                  <c:v>Charge Point 1</c:v>
                </c:pt>
                <c:pt idx="1">
                  <c:v>Charge Point 2</c:v>
                </c:pt>
                <c:pt idx="2">
                  <c:v>Charge Point 3</c:v>
                </c:pt>
                <c:pt idx="3">
                  <c:v>Charge Point 4</c:v>
                </c:pt>
                <c:pt idx="4">
                  <c:v>Charge Point 5</c:v>
                </c:pt>
                <c:pt idx="5">
                  <c:v>Charge Point 6</c:v>
                </c:pt>
                <c:pt idx="6">
                  <c:v>Charge Point 7</c:v>
                </c:pt>
                <c:pt idx="7">
                  <c:v>Charge Point 8</c:v>
                </c:pt>
                <c:pt idx="8">
                  <c:v>Charge Point 9</c:v>
                </c:pt>
                <c:pt idx="9">
                  <c:v>Charge Point 10</c:v>
                </c:pt>
                <c:pt idx="10">
                  <c:v>Charge Point 11</c:v>
                </c:pt>
                <c:pt idx="11">
                  <c:v>Charge Point 12</c:v>
                </c:pt>
                <c:pt idx="12">
                  <c:v>Charge Point 13</c:v>
                </c:pt>
                <c:pt idx="13">
                  <c:v>Charge Point 14</c:v>
                </c:pt>
                <c:pt idx="14">
                  <c:v>Charge Point 15</c:v>
                </c:pt>
                <c:pt idx="15">
                  <c:v>Charge Point 16</c:v>
                </c:pt>
                <c:pt idx="16">
                  <c:v>Charge Point 17</c:v>
                </c:pt>
                <c:pt idx="17">
                  <c:v>Charge Point 18</c:v>
                </c:pt>
                <c:pt idx="18">
                  <c:v>Charge Point 19</c:v>
                </c:pt>
                <c:pt idx="19">
                  <c:v>Charge Point 20</c:v>
                </c:pt>
                <c:pt idx="20">
                  <c:v>Charge Point 21</c:v>
                </c:pt>
                <c:pt idx="21">
                  <c:v>Charge Point 22</c:v>
                </c:pt>
                <c:pt idx="22">
                  <c:v>Charge Point 23</c:v>
                </c:pt>
                <c:pt idx="23">
                  <c:v>Charge Point 24</c:v>
                </c:pt>
                <c:pt idx="24">
                  <c:v>Charge Point 25</c:v>
                </c:pt>
              </c:strCache>
            </c:strRef>
          </c:cat>
          <c:val>
            <c:numRef>
              <c:f>'Servcies Team Upselling %'!$D$12:$D$36</c:f>
              <c:numCache>
                <c:formatCode>General</c:formatCode>
                <c:ptCount val="25"/>
                <c:pt idx="0">
                  <c:v>2.5</c:v>
                </c:pt>
                <c:pt idx="1">
                  <c:v>2.2000000000000002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2CC7-4B12-A27C-B38C8A325486}"/>
            </c:ext>
          </c:extLst>
        </c:ser>
        <c:ser>
          <c:idx val="0"/>
          <c:order val="1"/>
          <c:tx>
            <c:strRef>
              <c:f>'Servcies Team Upselling %'!$E$11</c:f>
              <c:strCache>
                <c:ptCount val="1"/>
                <c:pt idx="0">
                  <c:v>Ideal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4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%'!$B$12:$C$36</c:f>
              <c:strCache>
                <c:ptCount val="25"/>
                <c:pt idx="0">
                  <c:v>Charge Point 1</c:v>
                </c:pt>
                <c:pt idx="1">
                  <c:v>Charge Point 2</c:v>
                </c:pt>
                <c:pt idx="2">
                  <c:v>Charge Point 3</c:v>
                </c:pt>
                <c:pt idx="3">
                  <c:v>Charge Point 4</c:v>
                </c:pt>
                <c:pt idx="4">
                  <c:v>Charge Point 5</c:v>
                </c:pt>
                <c:pt idx="5">
                  <c:v>Charge Point 6</c:v>
                </c:pt>
                <c:pt idx="6">
                  <c:v>Charge Point 7</c:v>
                </c:pt>
                <c:pt idx="7">
                  <c:v>Charge Point 8</c:v>
                </c:pt>
                <c:pt idx="8">
                  <c:v>Charge Point 9</c:v>
                </c:pt>
                <c:pt idx="9">
                  <c:v>Charge Point 10</c:v>
                </c:pt>
                <c:pt idx="10">
                  <c:v>Charge Point 11</c:v>
                </c:pt>
                <c:pt idx="11">
                  <c:v>Charge Point 12</c:v>
                </c:pt>
                <c:pt idx="12">
                  <c:v>Charge Point 13</c:v>
                </c:pt>
                <c:pt idx="13">
                  <c:v>Charge Point 14</c:v>
                </c:pt>
                <c:pt idx="14">
                  <c:v>Charge Point 15</c:v>
                </c:pt>
                <c:pt idx="15">
                  <c:v>Charge Point 16</c:v>
                </c:pt>
                <c:pt idx="16">
                  <c:v>Charge Point 17</c:v>
                </c:pt>
                <c:pt idx="17">
                  <c:v>Charge Point 18</c:v>
                </c:pt>
                <c:pt idx="18">
                  <c:v>Charge Point 19</c:v>
                </c:pt>
                <c:pt idx="19">
                  <c:v>Charge Point 20</c:v>
                </c:pt>
                <c:pt idx="20">
                  <c:v>Charge Point 21</c:v>
                </c:pt>
                <c:pt idx="21">
                  <c:v>Charge Point 22</c:v>
                </c:pt>
                <c:pt idx="22">
                  <c:v>Charge Point 23</c:v>
                </c:pt>
                <c:pt idx="23">
                  <c:v>Charge Point 24</c:v>
                </c:pt>
                <c:pt idx="24">
                  <c:v>Charge Point 25</c:v>
                </c:pt>
              </c:strCache>
            </c:strRef>
          </c:cat>
          <c:val>
            <c:numRef>
              <c:f>'Servcies Team Upselling %'!$E$12:$E$36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2CC7-4B12-A27C-B38C8A3254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1"/>
        <c:axId val="210470832"/>
        <c:axId val="210471392"/>
      </c:barChart>
      <c:catAx>
        <c:axId val="21047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1392"/>
        <c:crosses val="autoZero"/>
        <c:auto val="1"/>
        <c:lblAlgn val="ctr"/>
        <c:lblOffset val="100"/>
        <c:noMultiLvlLbl val="0"/>
      </c:catAx>
      <c:valAx>
        <c:axId val="21047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61166458455869832"/>
        </c:manualLayout>
      </c:layout>
      <c:lineChart>
        <c:grouping val="standard"/>
        <c:varyColors val="0"/>
        <c:ser>
          <c:idx val="3"/>
          <c:order val="0"/>
          <c:tx>
            <c:strRef>
              <c:f>'Servcies Team Upselling %'!$F$45</c:f>
              <c:strCache>
                <c:ptCount val="1"/>
                <c:pt idx="0">
                  <c:v>% OF GOAL REACHED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%'!$B$12:$C$36</c:f>
              <c:strCache>
                <c:ptCount val="25"/>
                <c:pt idx="0">
                  <c:v>Charge Point 1</c:v>
                </c:pt>
                <c:pt idx="1">
                  <c:v>Charge Point 2</c:v>
                </c:pt>
                <c:pt idx="2">
                  <c:v>Charge Point 3</c:v>
                </c:pt>
                <c:pt idx="3">
                  <c:v>Charge Point 4</c:v>
                </c:pt>
                <c:pt idx="4">
                  <c:v>Charge Point 5</c:v>
                </c:pt>
                <c:pt idx="5">
                  <c:v>Charge Point 6</c:v>
                </c:pt>
                <c:pt idx="6">
                  <c:v>Charge Point 7</c:v>
                </c:pt>
                <c:pt idx="7">
                  <c:v>Charge Point 8</c:v>
                </c:pt>
                <c:pt idx="8">
                  <c:v>Charge Point 9</c:v>
                </c:pt>
                <c:pt idx="9">
                  <c:v>Charge Point 10</c:v>
                </c:pt>
                <c:pt idx="10">
                  <c:v>Charge Point 11</c:v>
                </c:pt>
                <c:pt idx="11">
                  <c:v>Charge Point 12</c:v>
                </c:pt>
                <c:pt idx="12">
                  <c:v>Charge Point 13</c:v>
                </c:pt>
                <c:pt idx="13">
                  <c:v>Charge Point 14</c:v>
                </c:pt>
                <c:pt idx="14">
                  <c:v>Charge Point 15</c:v>
                </c:pt>
                <c:pt idx="15">
                  <c:v>Charge Point 16</c:v>
                </c:pt>
                <c:pt idx="16">
                  <c:v>Charge Point 17</c:v>
                </c:pt>
                <c:pt idx="17">
                  <c:v>Charge Point 18</c:v>
                </c:pt>
                <c:pt idx="18">
                  <c:v>Charge Point 19</c:v>
                </c:pt>
                <c:pt idx="19">
                  <c:v>Charge Point 20</c:v>
                </c:pt>
                <c:pt idx="20">
                  <c:v>Charge Point 21</c:v>
                </c:pt>
                <c:pt idx="21">
                  <c:v>Charge Point 22</c:v>
                </c:pt>
                <c:pt idx="22">
                  <c:v>Charge Point 23</c:v>
                </c:pt>
                <c:pt idx="23">
                  <c:v>Charge Point 24</c:v>
                </c:pt>
                <c:pt idx="24">
                  <c:v>Charge Point 25</c:v>
                </c:pt>
              </c:strCache>
            </c:strRef>
          </c:cat>
          <c:val>
            <c:numRef>
              <c:f>'Servcies Team Upselling %'!$F$46:$F$70</c:f>
              <c:numCache>
                <c:formatCode>0%</c:formatCode>
                <c:ptCount val="25"/>
                <c:pt idx="0">
                  <c:v>0.75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1.0833333333333333</c:v>
                </c:pt>
                <c:pt idx="13">
                  <c:v>0.75</c:v>
                </c:pt>
                <c:pt idx="14">
                  <c:v>1.1666666666666667</c:v>
                </c:pt>
                <c:pt idx="15">
                  <c:v>0.75</c:v>
                </c:pt>
                <c:pt idx="16">
                  <c:v>0.75</c:v>
                </c:pt>
                <c:pt idx="17">
                  <c:v>0.66666666666666663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0.83333333333333337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BA9-4947-8244-93DC8C50DCD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2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483483213663E-2"/>
          <c:y val="4.0958462760173703E-2"/>
          <c:w val="0.95614007837133197"/>
          <c:h val="0.88437656679764598"/>
        </c:manualLayout>
      </c:layout>
      <c:barChart>
        <c:barDir val="col"/>
        <c:grouping val="clustered"/>
        <c:varyColors val="1"/>
        <c:ser>
          <c:idx val="3"/>
          <c:order val="0"/>
          <c:tx>
            <c:strRef>
              <c:f>'Servcies Team Upselling %'!$D$45</c:f>
              <c:strCache>
                <c:ptCount val="1"/>
                <c:pt idx="0">
                  <c:v>Actual Time Taken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%'!$B$12:$C$36</c:f>
              <c:strCache>
                <c:ptCount val="25"/>
                <c:pt idx="0">
                  <c:v>Charge Point 1</c:v>
                </c:pt>
                <c:pt idx="1">
                  <c:v>Charge Point 2</c:v>
                </c:pt>
                <c:pt idx="2">
                  <c:v>Charge Point 3</c:v>
                </c:pt>
                <c:pt idx="3">
                  <c:v>Charge Point 4</c:v>
                </c:pt>
                <c:pt idx="4">
                  <c:v>Charge Point 5</c:v>
                </c:pt>
                <c:pt idx="5">
                  <c:v>Charge Point 6</c:v>
                </c:pt>
                <c:pt idx="6">
                  <c:v>Charge Point 7</c:v>
                </c:pt>
                <c:pt idx="7">
                  <c:v>Charge Point 8</c:v>
                </c:pt>
                <c:pt idx="8">
                  <c:v>Charge Point 9</c:v>
                </c:pt>
                <c:pt idx="9">
                  <c:v>Charge Point 10</c:v>
                </c:pt>
                <c:pt idx="10">
                  <c:v>Charge Point 11</c:v>
                </c:pt>
                <c:pt idx="11">
                  <c:v>Charge Point 12</c:v>
                </c:pt>
                <c:pt idx="12">
                  <c:v>Charge Point 13</c:v>
                </c:pt>
                <c:pt idx="13">
                  <c:v>Charge Point 14</c:v>
                </c:pt>
                <c:pt idx="14">
                  <c:v>Charge Point 15</c:v>
                </c:pt>
                <c:pt idx="15">
                  <c:v>Charge Point 16</c:v>
                </c:pt>
                <c:pt idx="16">
                  <c:v>Charge Point 17</c:v>
                </c:pt>
                <c:pt idx="17">
                  <c:v>Charge Point 18</c:v>
                </c:pt>
                <c:pt idx="18">
                  <c:v>Charge Point 19</c:v>
                </c:pt>
                <c:pt idx="19">
                  <c:v>Charge Point 20</c:v>
                </c:pt>
                <c:pt idx="20">
                  <c:v>Charge Point 21</c:v>
                </c:pt>
                <c:pt idx="21">
                  <c:v>Charge Point 22</c:v>
                </c:pt>
                <c:pt idx="22">
                  <c:v>Charge Point 23</c:v>
                </c:pt>
                <c:pt idx="23">
                  <c:v>Charge Point 24</c:v>
                </c:pt>
                <c:pt idx="24">
                  <c:v>Charge Point 25</c:v>
                </c:pt>
              </c:strCache>
            </c:strRef>
          </c:cat>
          <c:val>
            <c:numRef>
              <c:f>'Servcies Team Upselling %'!$D$46:$D$70</c:f>
              <c:numCache>
                <c:formatCode>General</c:formatCode>
                <c:ptCount val="25"/>
                <c:pt idx="0">
                  <c:v>45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65</c:v>
                </c:pt>
                <c:pt idx="13">
                  <c:v>45</c:v>
                </c:pt>
                <c:pt idx="14">
                  <c:v>70</c:v>
                </c:pt>
                <c:pt idx="15">
                  <c:v>45</c:v>
                </c:pt>
                <c:pt idx="16">
                  <c:v>45</c:v>
                </c:pt>
                <c:pt idx="17">
                  <c:v>40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50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CC1-4233-A670-784AE7CFBE65}"/>
            </c:ext>
          </c:extLst>
        </c:ser>
        <c:ser>
          <c:idx val="0"/>
          <c:order val="1"/>
          <c:tx>
            <c:strRef>
              <c:f>'Servcies Team Upselling %'!$E$45</c:f>
              <c:strCache>
                <c:ptCount val="1"/>
                <c:pt idx="0">
                  <c:v>Ideal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%'!$B$12:$C$36</c:f>
              <c:strCache>
                <c:ptCount val="25"/>
                <c:pt idx="0">
                  <c:v>Charge Point 1</c:v>
                </c:pt>
                <c:pt idx="1">
                  <c:v>Charge Point 2</c:v>
                </c:pt>
                <c:pt idx="2">
                  <c:v>Charge Point 3</c:v>
                </c:pt>
                <c:pt idx="3">
                  <c:v>Charge Point 4</c:v>
                </c:pt>
                <c:pt idx="4">
                  <c:v>Charge Point 5</c:v>
                </c:pt>
                <c:pt idx="5">
                  <c:v>Charge Point 6</c:v>
                </c:pt>
                <c:pt idx="6">
                  <c:v>Charge Point 7</c:v>
                </c:pt>
                <c:pt idx="7">
                  <c:v>Charge Point 8</c:v>
                </c:pt>
                <c:pt idx="8">
                  <c:v>Charge Point 9</c:v>
                </c:pt>
                <c:pt idx="9">
                  <c:v>Charge Point 10</c:v>
                </c:pt>
                <c:pt idx="10">
                  <c:v>Charge Point 11</c:v>
                </c:pt>
                <c:pt idx="11">
                  <c:v>Charge Point 12</c:v>
                </c:pt>
                <c:pt idx="12">
                  <c:v>Charge Point 13</c:v>
                </c:pt>
                <c:pt idx="13">
                  <c:v>Charge Point 14</c:v>
                </c:pt>
                <c:pt idx="14">
                  <c:v>Charge Point 15</c:v>
                </c:pt>
                <c:pt idx="15">
                  <c:v>Charge Point 16</c:v>
                </c:pt>
                <c:pt idx="16">
                  <c:v>Charge Point 17</c:v>
                </c:pt>
                <c:pt idx="17">
                  <c:v>Charge Point 18</c:v>
                </c:pt>
                <c:pt idx="18">
                  <c:v>Charge Point 19</c:v>
                </c:pt>
                <c:pt idx="19">
                  <c:v>Charge Point 20</c:v>
                </c:pt>
                <c:pt idx="20">
                  <c:v>Charge Point 21</c:v>
                </c:pt>
                <c:pt idx="21">
                  <c:v>Charge Point 22</c:v>
                </c:pt>
                <c:pt idx="22">
                  <c:v>Charge Point 23</c:v>
                </c:pt>
                <c:pt idx="23">
                  <c:v>Charge Point 24</c:v>
                </c:pt>
                <c:pt idx="24">
                  <c:v>Charge Point 25</c:v>
                </c:pt>
              </c:strCache>
            </c:strRef>
          </c:cat>
          <c:val>
            <c:numRef>
              <c:f>'Servcies Team Upselling %'!$E$46:$E$70</c:f>
              <c:numCache>
                <c:formatCode>General</c:formatCode>
                <c:ptCount val="2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CC1-4233-A670-784AE7CFBE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1"/>
        <c:axId val="210470832"/>
        <c:axId val="210471392"/>
      </c:barChart>
      <c:catAx>
        <c:axId val="21047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1392"/>
        <c:crosses val="autoZero"/>
        <c:auto val="1"/>
        <c:lblAlgn val="ctr"/>
        <c:lblOffset val="100"/>
        <c:noMultiLvlLbl val="0"/>
      </c:catAx>
      <c:valAx>
        <c:axId val="21047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61166458455869832"/>
        </c:manualLayout>
      </c:layout>
      <c:lineChart>
        <c:grouping val="standard"/>
        <c:varyColors val="0"/>
        <c:ser>
          <c:idx val="3"/>
          <c:order val="0"/>
          <c:tx>
            <c:strRef>
              <c:f>'Servcies Team Upselling %'!$F$79</c:f>
              <c:strCache>
                <c:ptCount val="1"/>
                <c:pt idx="0">
                  <c:v>% OF GOAL REACHED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%'!$B$12:$C$36</c:f>
              <c:strCache>
                <c:ptCount val="25"/>
                <c:pt idx="0">
                  <c:v>Charge Point 1</c:v>
                </c:pt>
                <c:pt idx="1">
                  <c:v>Charge Point 2</c:v>
                </c:pt>
                <c:pt idx="2">
                  <c:v>Charge Point 3</c:v>
                </c:pt>
                <c:pt idx="3">
                  <c:v>Charge Point 4</c:v>
                </c:pt>
                <c:pt idx="4">
                  <c:v>Charge Point 5</c:v>
                </c:pt>
                <c:pt idx="5">
                  <c:v>Charge Point 6</c:v>
                </c:pt>
                <c:pt idx="6">
                  <c:v>Charge Point 7</c:v>
                </c:pt>
                <c:pt idx="7">
                  <c:v>Charge Point 8</c:v>
                </c:pt>
                <c:pt idx="8">
                  <c:v>Charge Point 9</c:v>
                </c:pt>
                <c:pt idx="9">
                  <c:v>Charge Point 10</c:v>
                </c:pt>
                <c:pt idx="10">
                  <c:v>Charge Point 11</c:v>
                </c:pt>
                <c:pt idx="11">
                  <c:v>Charge Point 12</c:v>
                </c:pt>
                <c:pt idx="12">
                  <c:v>Charge Point 13</c:v>
                </c:pt>
                <c:pt idx="13">
                  <c:v>Charge Point 14</c:v>
                </c:pt>
                <c:pt idx="14">
                  <c:v>Charge Point 15</c:v>
                </c:pt>
                <c:pt idx="15">
                  <c:v>Charge Point 16</c:v>
                </c:pt>
                <c:pt idx="16">
                  <c:v>Charge Point 17</c:v>
                </c:pt>
                <c:pt idx="17">
                  <c:v>Charge Point 18</c:v>
                </c:pt>
                <c:pt idx="18">
                  <c:v>Charge Point 19</c:v>
                </c:pt>
                <c:pt idx="19">
                  <c:v>Charge Point 20</c:v>
                </c:pt>
                <c:pt idx="20">
                  <c:v>Charge Point 21</c:v>
                </c:pt>
                <c:pt idx="21">
                  <c:v>Charge Point 22</c:v>
                </c:pt>
                <c:pt idx="22">
                  <c:v>Charge Point 23</c:v>
                </c:pt>
                <c:pt idx="23">
                  <c:v>Charge Point 24</c:v>
                </c:pt>
                <c:pt idx="24">
                  <c:v>Charge Point 25</c:v>
                </c:pt>
              </c:strCache>
            </c:strRef>
          </c:cat>
          <c:val>
            <c:numRef>
              <c:f>'Servcies Team Upselling %'!$F$80:$F$104</c:f>
              <c:numCache>
                <c:formatCode>0%</c:formatCode>
                <c:ptCount val="25"/>
                <c:pt idx="0">
                  <c:v>0.83333333333333337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  <c:pt idx="5">
                  <c:v>0.75</c:v>
                </c:pt>
                <c:pt idx="6">
                  <c:v>0.75</c:v>
                </c:pt>
                <c:pt idx="7">
                  <c:v>1.0833333333333333</c:v>
                </c:pt>
                <c:pt idx="8">
                  <c:v>1.1666666666666667</c:v>
                </c:pt>
                <c:pt idx="9">
                  <c:v>1.1333333333333333</c:v>
                </c:pt>
                <c:pt idx="10">
                  <c:v>1.1666666666666667</c:v>
                </c:pt>
                <c:pt idx="11">
                  <c:v>0.75</c:v>
                </c:pt>
                <c:pt idx="12">
                  <c:v>0.75</c:v>
                </c:pt>
                <c:pt idx="13">
                  <c:v>0.83333333333333337</c:v>
                </c:pt>
                <c:pt idx="14">
                  <c:v>0.83333333333333337</c:v>
                </c:pt>
                <c:pt idx="15">
                  <c:v>0.83333333333333337</c:v>
                </c:pt>
                <c:pt idx="16">
                  <c:v>0.5</c:v>
                </c:pt>
                <c:pt idx="17">
                  <c:v>1.6666666666666667</c:v>
                </c:pt>
                <c:pt idx="18">
                  <c:v>0.83333333333333337</c:v>
                </c:pt>
                <c:pt idx="19">
                  <c:v>0.83333333333333337</c:v>
                </c:pt>
                <c:pt idx="20">
                  <c:v>0.83333333333333337</c:v>
                </c:pt>
                <c:pt idx="21">
                  <c:v>0.83333333333333337</c:v>
                </c:pt>
                <c:pt idx="22">
                  <c:v>0.83333333333333337</c:v>
                </c:pt>
                <c:pt idx="23">
                  <c:v>0.83333333333333337</c:v>
                </c:pt>
                <c:pt idx="24">
                  <c:v>0.83333333333333337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D9A-43FD-A8BB-0D81C5A9492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9"/>
          <c:min val="0.2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5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483483213663E-2"/>
          <c:y val="4.0958462760173703E-2"/>
          <c:w val="0.95614007837133197"/>
          <c:h val="0.88437656679764598"/>
        </c:manualLayout>
      </c:layout>
      <c:barChart>
        <c:barDir val="col"/>
        <c:grouping val="clustered"/>
        <c:varyColors val="1"/>
        <c:ser>
          <c:idx val="3"/>
          <c:order val="0"/>
          <c:tx>
            <c:strRef>
              <c:f>'Servcies Team Upselling %'!$D$79</c:f>
              <c:strCache>
                <c:ptCount val="1"/>
                <c:pt idx="0">
                  <c:v>Actual Time Taken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%'!$B$12:$C$36</c:f>
              <c:strCache>
                <c:ptCount val="25"/>
                <c:pt idx="0">
                  <c:v>Charge Point 1</c:v>
                </c:pt>
                <c:pt idx="1">
                  <c:v>Charge Point 2</c:v>
                </c:pt>
                <c:pt idx="2">
                  <c:v>Charge Point 3</c:v>
                </c:pt>
                <c:pt idx="3">
                  <c:v>Charge Point 4</c:v>
                </c:pt>
                <c:pt idx="4">
                  <c:v>Charge Point 5</c:v>
                </c:pt>
                <c:pt idx="5">
                  <c:v>Charge Point 6</c:v>
                </c:pt>
                <c:pt idx="6">
                  <c:v>Charge Point 7</c:v>
                </c:pt>
                <c:pt idx="7">
                  <c:v>Charge Point 8</c:v>
                </c:pt>
                <c:pt idx="8">
                  <c:v>Charge Point 9</c:v>
                </c:pt>
                <c:pt idx="9">
                  <c:v>Charge Point 10</c:v>
                </c:pt>
                <c:pt idx="10">
                  <c:v>Charge Point 11</c:v>
                </c:pt>
                <c:pt idx="11">
                  <c:v>Charge Point 12</c:v>
                </c:pt>
                <c:pt idx="12">
                  <c:v>Charge Point 13</c:v>
                </c:pt>
                <c:pt idx="13">
                  <c:v>Charge Point 14</c:v>
                </c:pt>
                <c:pt idx="14">
                  <c:v>Charge Point 15</c:v>
                </c:pt>
                <c:pt idx="15">
                  <c:v>Charge Point 16</c:v>
                </c:pt>
                <c:pt idx="16">
                  <c:v>Charge Point 17</c:v>
                </c:pt>
                <c:pt idx="17">
                  <c:v>Charge Point 18</c:v>
                </c:pt>
                <c:pt idx="18">
                  <c:v>Charge Point 19</c:v>
                </c:pt>
                <c:pt idx="19">
                  <c:v>Charge Point 20</c:v>
                </c:pt>
                <c:pt idx="20">
                  <c:v>Charge Point 21</c:v>
                </c:pt>
                <c:pt idx="21">
                  <c:v>Charge Point 22</c:v>
                </c:pt>
                <c:pt idx="22">
                  <c:v>Charge Point 23</c:v>
                </c:pt>
                <c:pt idx="23">
                  <c:v>Charge Point 24</c:v>
                </c:pt>
                <c:pt idx="24">
                  <c:v>Charge Point 25</c:v>
                </c:pt>
              </c:strCache>
            </c:strRef>
          </c:cat>
          <c:val>
            <c:numRef>
              <c:f>'Servcies Team Upselling %'!$D$80:$D$104</c:f>
              <c:numCache>
                <c:formatCode>General</c:formatCode>
                <c:ptCount val="2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45</c:v>
                </c:pt>
                <c:pt idx="6">
                  <c:v>45</c:v>
                </c:pt>
                <c:pt idx="7">
                  <c:v>65</c:v>
                </c:pt>
                <c:pt idx="8">
                  <c:v>70</c:v>
                </c:pt>
                <c:pt idx="9">
                  <c:v>68</c:v>
                </c:pt>
                <c:pt idx="10">
                  <c:v>70</c:v>
                </c:pt>
                <c:pt idx="11">
                  <c:v>45</c:v>
                </c:pt>
                <c:pt idx="12">
                  <c:v>45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30</c:v>
                </c:pt>
                <c:pt idx="17">
                  <c:v>100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1EA-4BD0-A6F0-3C1A8BD47AD0}"/>
            </c:ext>
          </c:extLst>
        </c:ser>
        <c:ser>
          <c:idx val="0"/>
          <c:order val="1"/>
          <c:tx>
            <c:strRef>
              <c:f>'Servcies Team Upselling %'!$E$79</c:f>
              <c:strCache>
                <c:ptCount val="1"/>
                <c:pt idx="0">
                  <c:v>Ideal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'Servcies Team Upselling %'!$B$12:$C$36</c:f>
              <c:strCache>
                <c:ptCount val="25"/>
                <c:pt idx="0">
                  <c:v>Charge Point 1</c:v>
                </c:pt>
                <c:pt idx="1">
                  <c:v>Charge Point 2</c:v>
                </c:pt>
                <c:pt idx="2">
                  <c:v>Charge Point 3</c:v>
                </c:pt>
                <c:pt idx="3">
                  <c:v>Charge Point 4</c:v>
                </c:pt>
                <c:pt idx="4">
                  <c:v>Charge Point 5</c:v>
                </c:pt>
                <c:pt idx="5">
                  <c:v>Charge Point 6</c:v>
                </c:pt>
                <c:pt idx="6">
                  <c:v>Charge Point 7</c:v>
                </c:pt>
                <c:pt idx="7">
                  <c:v>Charge Point 8</c:v>
                </c:pt>
                <c:pt idx="8">
                  <c:v>Charge Point 9</c:v>
                </c:pt>
                <c:pt idx="9">
                  <c:v>Charge Point 10</c:v>
                </c:pt>
                <c:pt idx="10">
                  <c:v>Charge Point 11</c:v>
                </c:pt>
                <c:pt idx="11">
                  <c:v>Charge Point 12</c:v>
                </c:pt>
                <c:pt idx="12">
                  <c:v>Charge Point 13</c:v>
                </c:pt>
                <c:pt idx="13">
                  <c:v>Charge Point 14</c:v>
                </c:pt>
                <c:pt idx="14">
                  <c:v>Charge Point 15</c:v>
                </c:pt>
                <c:pt idx="15">
                  <c:v>Charge Point 16</c:v>
                </c:pt>
                <c:pt idx="16">
                  <c:v>Charge Point 17</c:v>
                </c:pt>
                <c:pt idx="17">
                  <c:v>Charge Point 18</c:v>
                </c:pt>
                <c:pt idx="18">
                  <c:v>Charge Point 19</c:v>
                </c:pt>
                <c:pt idx="19">
                  <c:v>Charge Point 20</c:v>
                </c:pt>
                <c:pt idx="20">
                  <c:v>Charge Point 21</c:v>
                </c:pt>
                <c:pt idx="21">
                  <c:v>Charge Point 22</c:v>
                </c:pt>
                <c:pt idx="22">
                  <c:v>Charge Point 23</c:v>
                </c:pt>
                <c:pt idx="23">
                  <c:v>Charge Point 24</c:v>
                </c:pt>
                <c:pt idx="24">
                  <c:v>Charge Point 25</c:v>
                </c:pt>
              </c:strCache>
            </c:strRef>
          </c:cat>
          <c:val>
            <c:numRef>
              <c:f>'Servcies Team Upselling %'!$E$80:$E$104</c:f>
              <c:numCache>
                <c:formatCode>General</c:formatCode>
                <c:ptCount val="2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1EA-4BD0-A6F0-3C1A8BD47A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1"/>
        <c:axId val="210470832"/>
        <c:axId val="210471392"/>
      </c:barChart>
      <c:catAx>
        <c:axId val="21047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1392"/>
        <c:crosses val="autoZero"/>
        <c:auto val="1"/>
        <c:lblAlgn val="ctr"/>
        <c:lblOffset val="100"/>
        <c:noMultiLvlLbl val="0"/>
      </c:catAx>
      <c:valAx>
        <c:axId val="21047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47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GB" b="0"/>
              <a:t>KPI Service Financials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6"/>
          <c:order val="0"/>
          <c:tx>
            <c:strRef>
              <c:f>'KPI Stage Financials'!$E$5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Financials'!$E$6:$E$20</c15:sqref>
                  </c15:fullRef>
                </c:ext>
              </c:extLst>
              <c:f>('KPI Stage Financials'!$E$6:$E$17,'KPI Stage Financials'!$E$19:$E$20)</c:f>
              <c:numCache>
                <c:formatCode>#,##0</c:formatCode>
                <c:ptCount val="14"/>
                <c:pt idx="0">
                  <c:v>2760</c:v>
                </c:pt>
                <c:pt idx="1">
                  <c:v>2760</c:v>
                </c:pt>
                <c:pt idx="2">
                  <c:v>2660</c:v>
                </c:pt>
                <c:pt idx="3">
                  <c:v>2450</c:v>
                </c:pt>
                <c:pt idx="4">
                  <c:v>2500</c:v>
                </c:pt>
                <c:pt idx="5">
                  <c:v>2760</c:v>
                </c:pt>
                <c:pt idx="6">
                  <c:v>2760</c:v>
                </c:pt>
                <c:pt idx="7">
                  <c:v>2700</c:v>
                </c:pt>
                <c:pt idx="8">
                  <c:v>2750</c:v>
                </c:pt>
                <c:pt idx="9">
                  <c:v>3005</c:v>
                </c:pt>
                <c:pt idx="10">
                  <c:v>2970</c:v>
                </c:pt>
                <c:pt idx="11">
                  <c:v>2760</c:v>
                </c:pt>
                <c:pt idx="12">
                  <c:v>2350</c:v>
                </c:pt>
                <c:pt idx="13">
                  <c:v>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7A-4537-ABB8-1736D51F4BAC}"/>
            </c:ext>
          </c:extLst>
        </c:ser>
        <c:ser>
          <c:idx val="0"/>
          <c:order val="1"/>
          <c:tx>
            <c:strRef>
              <c:f>'KPI Stage Financials'!$D$5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Financials'!$D$6:$D$20</c15:sqref>
                  </c15:fullRef>
                </c:ext>
              </c:extLst>
              <c:f>('KPI Stage Financials'!$D$6:$D$17,'KPI Stage Financials'!$D$19:$D$20)</c:f>
              <c:numCache>
                <c:formatCode>#,##0</c:formatCode>
                <c:ptCount val="14"/>
                <c:pt idx="0">
                  <c:v>2760</c:v>
                </c:pt>
                <c:pt idx="1">
                  <c:v>2660</c:v>
                </c:pt>
                <c:pt idx="2">
                  <c:v>2560</c:v>
                </c:pt>
                <c:pt idx="3">
                  <c:v>2550</c:v>
                </c:pt>
                <c:pt idx="4">
                  <c:v>2550</c:v>
                </c:pt>
                <c:pt idx="5">
                  <c:v>2760</c:v>
                </c:pt>
                <c:pt idx="6">
                  <c:v>2760</c:v>
                </c:pt>
                <c:pt idx="7">
                  <c:v>2760</c:v>
                </c:pt>
                <c:pt idx="8">
                  <c:v>2760</c:v>
                </c:pt>
                <c:pt idx="9">
                  <c:v>3000</c:v>
                </c:pt>
                <c:pt idx="10">
                  <c:v>2970</c:v>
                </c:pt>
                <c:pt idx="11">
                  <c:v>2760</c:v>
                </c:pt>
                <c:pt idx="12">
                  <c:v>2400</c:v>
                </c:pt>
                <c:pt idx="13">
                  <c:v>2760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7A-4537-ABB8-1736D51F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401608"/>
        <c:axId val="2092405368"/>
      </c:barChart>
      <c:lineChart>
        <c:grouping val="standard"/>
        <c:varyColors val="1"/>
        <c:ser>
          <c:idx val="1"/>
          <c:order val="2"/>
          <c:tx>
            <c:strRef>
              <c:f>'KPI Stage Financials'!$G$5</c:f>
              <c:strCache>
                <c:ptCount val="1"/>
                <c:pt idx="0">
                  <c:v>Variance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</c:spPr>
          <c:marker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16-4484-A5EB-235BC332D3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16-4484-A5EB-235BC332D3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516-4484-A5EB-235BC332D3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516-4484-A5EB-235BC332D3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516-4484-A5EB-235BC332D3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516-4484-A5EB-235BC332D3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516-4484-A5EB-235BC332D3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516-4484-A5EB-235BC332D38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'KPI Stage Financials'!$C$6:$C$20</c15:sqref>
                  </c15:fullRef>
                </c:ext>
              </c:extLst>
              <c:f>('KPI Stage Financials'!$C$6:$C$17,'KPI Stage Financials'!$C$19:$C$20)</c:f>
              <c:strCache>
                <c:ptCount val="14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'KPI Stage Financials'!$G$6:$G$20</c15:sqref>
                  </c15:fullRef>
                </c:ext>
              </c:extLst>
              <c:f>('KPI Stage Financials'!$G$6:$G$17,'KPI Stage Financials'!$G$19:$G$20)</c:f>
              <c:numCache>
                <c:formatCode>#,##0</c:formatCode>
                <c:ptCount val="14"/>
                <c:pt idx="0">
                  <c:v>0</c:v>
                </c:pt>
                <c:pt idx="1">
                  <c:v>-100</c:v>
                </c:pt>
                <c:pt idx="2">
                  <c:v>-100</c:v>
                </c:pt>
                <c:pt idx="3">
                  <c:v>100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60</c:v>
                </c:pt>
                <c:pt idx="8">
                  <c:v>10</c:v>
                </c:pt>
                <c:pt idx="9">
                  <c:v>-5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7A-4537-ABB8-1736D51F4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740479"/>
        <c:axId val="1542239119"/>
      </c:line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  <c:valAx>
        <c:axId val="1542239119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1472740479"/>
        <c:crosses val="max"/>
        <c:crossBetween val="between"/>
      </c:valAx>
      <c:catAx>
        <c:axId val="14727404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22391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Arial" charset="0"/>
                <a:cs typeface="Arial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'KPI Stage Financials'!$F$5</c:f>
              <c:strCache>
                <c:ptCount val="1"/>
                <c:pt idx="0">
                  <c:v>% Of Costs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>
              <a:outerShdw blurRad="50800" dist="50800" dir="5400000" algn="ctr" rotWithShape="0">
                <a:srgbClr val="000000">
                  <a:alpha val="37000"/>
                </a:srgbClr>
              </a:outerShdw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outerShdw blurRad="50800" dist="50800" dir="5400000" algn="ctr" rotWithShape="0">
                  <a:srgbClr val="000000">
                    <a:alpha val="37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'KPI Stage Financials'!$C$6:$C$20</c:f>
              <c:strCache>
                <c:ptCount val="1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</c:strCache>
            </c:strRef>
          </c:xVal>
          <c:yVal>
            <c:numRef>
              <c:f>'KPI Stage Financials'!$F$6:$F$20</c:f>
              <c:numCache>
                <c:formatCode>0.00%</c:formatCode>
                <c:ptCount val="15"/>
                <c:pt idx="0">
                  <c:v>1</c:v>
                </c:pt>
                <c:pt idx="1">
                  <c:v>0.96376811594202894</c:v>
                </c:pt>
                <c:pt idx="2">
                  <c:v>0.96240601503759393</c:v>
                </c:pt>
                <c:pt idx="3">
                  <c:v>1.0408163265306123</c:v>
                </c:pt>
                <c:pt idx="4">
                  <c:v>1.02</c:v>
                </c:pt>
                <c:pt idx="5">
                  <c:v>1</c:v>
                </c:pt>
                <c:pt idx="6">
                  <c:v>1</c:v>
                </c:pt>
                <c:pt idx="7">
                  <c:v>1.0222222222222221</c:v>
                </c:pt>
                <c:pt idx="8">
                  <c:v>1.0036363636363637</c:v>
                </c:pt>
                <c:pt idx="9">
                  <c:v>0.99833610648918469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1.0212765957446808</c:v>
                </c:pt>
                <c:pt idx="14">
                  <c:v>1.0036363636363637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FA-4455-AA66-1D03A7FA271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13279743"/>
        <c:axId val="303379807"/>
      </c:scatterChart>
      <c:valAx>
        <c:axId val="313279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379807"/>
        <c:crosses val="autoZero"/>
        <c:crossBetween val="midCat"/>
      </c:valAx>
      <c:valAx>
        <c:axId val="30337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2797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50966399037599E-2"/>
          <c:y val="4.8655697698804602E-2"/>
          <c:w val="0.94891407155982099"/>
          <c:h val="0.76878323136437199"/>
        </c:manualLayout>
      </c:layout>
      <c:lineChart>
        <c:grouping val="standard"/>
        <c:varyColors val="0"/>
        <c:ser>
          <c:idx val="3"/>
          <c:order val="0"/>
          <c:tx>
            <c:strRef>
              <c:f>'KPI Stage Financials'!$F$5</c:f>
              <c:strCache>
                <c:ptCount val="1"/>
                <c:pt idx="0">
                  <c:v>% Of Costs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16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rgbClr val="0070C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'KPI Stage Financials'!$C$6:$C$20</c:f>
              <c:strCache>
                <c:ptCount val="15"/>
                <c:pt idx="0">
                  <c:v>Service</c:v>
                </c:pt>
                <c:pt idx="1">
                  <c:v>Service</c:v>
                </c:pt>
                <c:pt idx="2">
                  <c:v>Service</c:v>
                </c:pt>
                <c:pt idx="3">
                  <c:v>Service</c:v>
                </c:pt>
                <c:pt idx="4">
                  <c:v>Service</c:v>
                </c:pt>
                <c:pt idx="5">
                  <c:v>Service</c:v>
                </c:pt>
                <c:pt idx="6">
                  <c:v>Service</c:v>
                </c:pt>
                <c:pt idx="7">
                  <c:v>Service</c:v>
                </c:pt>
                <c:pt idx="8">
                  <c:v>Service</c:v>
                </c:pt>
                <c:pt idx="9">
                  <c:v>Service</c:v>
                </c:pt>
                <c:pt idx="10">
                  <c:v>Service</c:v>
                </c:pt>
                <c:pt idx="11">
                  <c:v>Service</c:v>
                </c:pt>
                <c:pt idx="12">
                  <c:v>Service</c:v>
                </c:pt>
                <c:pt idx="13">
                  <c:v>Service</c:v>
                </c:pt>
                <c:pt idx="14">
                  <c:v>Service</c:v>
                </c:pt>
              </c:strCache>
            </c:strRef>
          </c:cat>
          <c:val>
            <c:numRef>
              <c:f>'KPI Stage Financials'!$F$6:$F$20</c:f>
              <c:numCache>
                <c:formatCode>0.00%</c:formatCode>
                <c:ptCount val="15"/>
                <c:pt idx="0">
                  <c:v>1</c:v>
                </c:pt>
                <c:pt idx="1">
                  <c:v>0.96376811594202894</c:v>
                </c:pt>
                <c:pt idx="2">
                  <c:v>0.96240601503759393</c:v>
                </c:pt>
                <c:pt idx="3">
                  <c:v>1.0408163265306123</c:v>
                </c:pt>
                <c:pt idx="4">
                  <c:v>1.02</c:v>
                </c:pt>
                <c:pt idx="5">
                  <c:v>1</c:v>
                </c:pt>
                <c:pt idx="6">
                  <c:v>1</c:v>
                </c:pt>
                <c:pt idx="7">
                  <c:v>1.0222222222222221</c:v>
                </c:pt>
                <c:pt idx="8">
                  <c:v>1.0036363636363637</c:v>
                </c:pt>
                <c:pt idx="9">
                  <c:v>0.99833610648918469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1.0212765957446808</c:v>
                </c:pt>
                <c:pt idx="14">
                  <c:v>1.0036363636363637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1CE-42DF-8FC1-E3D68557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12624"/>
        <c:axId val="54313184"/>
      </c:lineChart>
      <c:catAx>
        <c:axId val="543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3184"/>
        <c:crosses val="autoZero"/>
        <c:auto val="1"/>
        <c:lblAlgn val="ctr"/>
        <c:lblOffset val="100"/>
        <c:noMultiLvlLbl val="0"/>
      </c:catAx>
      <c:valAx>
        <c:axId val="54313184"/>
        <c:scaling>
          <c:orientation val="minMax"/>
          <c:max val="1.25"/>
          <c:min val="0.75"/>
        </c:scaling>
        <c:delete val="0"/>
        <c:axPos val="l"/>
        <c:majorGridlines>
          <c:spPr>
            <a:ln w="9525" cap="flat" cmpd="sng" algn="ctr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12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Return on Investment</a:t>
            </a:r>
            <a:r>
              <a:rPr lang="en-GB" baseline="0"/>
              <a:t> (ROI) For Projected Services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Spend'!$B$5</c:f>
              <c:strCache>
                <c:ptCount val="1"/>
                <c:pt idx="0">
                  <c:v>Planned Value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Spend'!$C$5:$N$5</c:f>
              <c:numCache>
                <c:formatCode>#,##0</c:formatCode>
                <c:ptCount val="12"/>
                <c:pt idx="0">
                  <c:v>3500</c:v>
                </c:pt>
                <c:pt idx="1">
                  <c:v>4000</c:v>
                </c:pt>
                <c:pt idx="2">
                  <c:v>4500</c:v>
                </c:pt>
                <c:pt idx="3">
                  <c:v>5500</c:v>
                </c:pt>
                <c:pt idx="4">
                  <c:v>6500</c:v>
                </c:pt>
                <c:pt idx="5">
                  <c:v>7500</c:v>
                </c:pt>
                <c:pt idx="6">
                  <c:v>8500</c:v>
                </c:pt>
                <c:pt idx="7">
                  <c:v>11000</c:v>
                </c:pt>
                <c:pt idx="8">
                  <c:v>9500</c:v>
                </c:pt>
                <c:pt idx="9">
                  <c:v>9600</c:v>
                </c:pt>
                <c:pt idx="10">
                  <c:v>9700</c:v>
                </c:pt>
                <c:pt idx="11">
                  <c:v>9900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8E-408A-8D6E-2712D36A29AD}"/>
            </c:ext>
          </c:extLst>
        </c:ser>
        <c:ser>
          <c:idx val="1"/>
          <c:order val="1"/>
          <c:tx>
            <c:strRef>
              <c:f>'KPI Spend'!$B$6</c:f>
              <c:strCache>
                <c:ptCount val="1"/>
                <c:pt idx="0">
                  <c:v>Expenditure Service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Spend'!$C$6:$N$6</c:f>
              <c:numCache>
                <c:formatCode>#,##0</c:formatCode>
                <c:ptCount val="12"/>
                <c:pt idx="0">
                  <c:v>4400</c:v>
                </c:pt>
                <c:pt idx="1">
                  <c:v>3800</c:v>
                </c:pt>
                <c:pt idx="2">
                  <c:v>4500</c:v>
                </c:pt>
                <c:pt idx="3">
                  <c:v>5500</c:v>
                </c:pt>
                <c:pt idx="4">
                  <c:v>6000</c:v>
                </c:pt>
                <c:pt idx="5">
                  <c:v>8500</c:v>
                </c:pt>
                <c:pt idx="6">
                  <c:v>9500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8E-408A-8D6E-2712D36A29AD}"/>
            </c:ext>
          </c:extLst>
        </c:ser>
        <c:ser>
          <c:idx val="2"/>
          <c:order val="2"/>
          <c:tx>
            <c:strRef>
              <c:f>'KPI Spend'!$B$7</c:f>
              <c:strCache>
                <c:ptCount val="1"/>
                <c:pt idx="0">
                  <c:v>Earned Service 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Spend'!$C$7:$N$7</c:f>
              <c:numCache>
                <c:formatCode>#,##0</c:formatCode>
                <c:ptCount val="12"/>
                <c:pt idx="0">
                  <c:v>3100</c:v>
                </c:pt>
                <c:pt idx="1">
                  <c:v>4150</c:v>
                </c:pt>
                <c:pt idx="2">
                  <c:v>4700</c:v>
                </c:pt>
                <c:pt idx="3">
                  <c:v>5600</c:v>
                </c:pt>
                <c:pt idx="4">
                  <c:v>6900</c:v>
                </c:pt>
                <c:pt idx="5">
                  <c:v>7700</c:v>
                </c:pt>
                <c:pt idx="6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8E-408A-8D6E-2712D36A29AD}"/>
            </c:ext>
          </c:extLst>
        </c:ser>
        <c:ser>
          <c:idx val="3"/>
          <c:order val="3"/>
          <c:tx>
            <c:strRef>
              <c:f>'KPI Spend'!$B$8</c:f>
              <c:strCache>
                <c:ptCount val="1"/>
                <c:pt idx="0">
                  <c:v>Expenditure Service 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Spend'!$C$8:$N$8</c:f>
              <c:numCache>
                <c:formatCode>#,##0</c:formatCode>
                <c:ptCount val="12"/>
                <c:pt idx="0">
                  <c:v>6000</c:v>
                </c:pt>
                <c:pt idx="1">
                  <c:v>6500</c:v>
                </c:pt>
                <c:pt idx="2">
                  <c:v>6700</c:v>
                </c:pt>
                <c:pt idx="3">
                  <c:v>6900</c:v>
                </c:pt>
                <c:pt idx="4">
                  <c:v>7200</c:v>
                </c:pt>
                <c:pt idx="5">
                  <c:v>7800</c:v>
                </c:pt>
                <c:pt idx="6">
                  <c:v>8900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8E-408A-8D6E-2712D36A29AD}"/>
            </c:ext>
          </c:extLst>
        </c:ser>
        <c:ser>
          <c:idx val="4"/>
          <c:order val="4"/>
          <c:tx>
            <c:strRef>
              <c:f>'KPI Spend'!$B$9</c:f>
              <c:strCache>
                <c:ptCount val="1"/>
                <c:pt idx="0">
                  <c:v>Earned Service 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Spend'!$C$9:$N$9</c:f>
              <c:numCache>
                <c:formatCode>#,##0</c:formatCode>
                <c:ptCount val="12"/>
                <c:pt idx="0">
                  <c:v>5700</c:v>
                </c:pt>
                <c:pt idx="1">
                  <c:v>6250</c:v>
                </c:pt>
                <c:pt idx="2">
                  <c:v>6400</c:v>
                </c:pt>
                <c:pt idx="3">
                  <c:v>6500</c:v>
                </c:pt>
                <c:pt idx="4">
                  <c:v>7000</c:v>
                </c:pt>
                <c:pt idx="5">
                  <c:v>7550</c:v>
                </c:pt>
                <c:pt idx="6">
                  <c:v>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8E-408A-8D6E-2712D36A29AD}"/>
            </c:ext>
          </c:extLst>
        </c:ser>
        <c:ser>
          <c:idx val="5"/>
          <c:order val="5"/>
          <c:tx>
            <c:strRef>
              <c:f>'KPI Spend'!$B$10</c:f>
              <c:strCache>
                <c:ptCount val="1"/>
                <c:pt idx="0">
                  <c:v>Expenditure Service 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Spend'!$C$10:$N$10</c:f>
              <c:numCache>
                <c:formatCode>#,##0</c:formatCode>
                <c:ptCount val="12"/>
                <c:pt idx="0">
                  <c:v>2700</c:v>
                </c:pt>
                <c:pt idx="1">
                  <c:v>3100</c:v>
                </c:pt>
                <c:pt idx="2">
                  <c:v>3500</c:v>
                </c:pt>
                <c:pt idx="3">
                  <c:v>4300</c:v>
                </c:pt>
                <c:pt idx="4">
                  <c:v>5100</c:v>
                </c:pt>
                <c:pt idx="5">
                  <c:v>6500</c:v>
                </c:pt>
                <c:pt idx="6">
                  <c:v>7500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8E-408A-8D6E-2712D36A29AD}"/>
            </c:ext>
          </c:extLst>
        </c:ser>
        <c:ser>
          <c:idx val="6"/>
          <c:order val="6"/>
          <c:tx>
            <c:strRef>
              <c:f>'KPI Spend'!$B$11</c:f>
              <c:strCache>
                <c:ptCount val="1"/>
                <c:pt idx="0">
                  <c:v>Earned Service 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'KPI Spend'!$C$4:$N$4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3500</c:v>
                </c:pt>
                <c:pt idx="11">
                  <c:v>Dec</c:v>
                </c:pt>
              </c:strCache>
            </c:strRef>
          </c:cat>
          <c:val>
            <c:numRef>
              <c:f>'KPI Spend'!$C$11:$N$11</c:f>
              <c:numCache>
                <c:formatCode>#,##0</c:formatCode>
                <c:ptCount val="12"/>
                <c:pt idx="0">
                  <c:v>3600</c:v>
                </c:pt>
                <c:pt idx="1">
                  <c:v>3950</c:v>
                </c:pt>
                <c:pt idx="2">
                  <c:v>4100</c:v>
                </c:pt>
                <c:pt idx="3">
                  <c:v>5500</c:v>
                </c:pt>
                <c:pt idx="4">
                  <c:v>7100</c:v>
                </c:pt>
                <c:pt idx="5">
                  <c:v>7450</c:v>
                </c:pt>
                <c:pt idx="6">
                  <c:v>8800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8E-408A-8D6E-2712D36A2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658928"/>
        <c:axId val="339634576"/>
      </c:lineChart>
      <c:catAx>
        <c:axId val="34265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634576"/>
        <c:crosses val="autoZero"/>
        <c:auto val="1"/>
        <c:lblAlgn val="ctr"/>
        <c:lblOffset val="100"/>
        <c:noMultiLvlLbl val="0"/>
      </c:catAx>
      <c:valAx>
        <c:axId val="33963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65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Spend'!$D$33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Spend'!$D$34:$D$43</c:f>
              <c:numCache>
                <c:formatCode>#,##0</c:formatCode>
                <c:ptCount val="10"/>
                <c:pt idx="0">
                  <c:v>15860</c:v>
                </c:pt>
                <c:pt idx="1">
                  <c:v>13760</c:v>
                </c:pt>
                <c:pt idx="2">
                  <c:v>14940</c:v>
                </c:pt>
                <c:pt idx="3">
                  <c:v>12653</c:v>
                </c:pt>
                <c:pt idx="4">
                  <c:v>9478</c:v>
                </c:pt>
                <c:pt idx="5">
                  <c:v>11600</c:v>
                </c:pt>
                <c:pt idx="6">
                  <c:v>13785</c:v>
                </c:pt>
                <c:pt idx="7">
                  <c:v>28283</c:v>
                </c:pt>
                <c:pt idx="8">
                  <c:v>15438</c:v>
                </c:pt>
                <c:pt idx="9">
                  <c:v>9755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A-4114-8208-C8186CA8DE1E}"/>
            </c:ext>
          </c:extLst>
        </c:ser>
        <c:ser>
          <c:idx val="1"/>
          <c:order val="1"/>
          <c:tx>
            <c:strRef>
              <c:f>'KPI Spend'!$E$33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Spend'!$E$34:$E$43</c:f>
              <c:numCache>
                <c:formatCode>#,##0</c:formatCode>
                <c:ptCount val="10"/>
                <c:pt idx="0">
                  <c:v>15650</c:v>
                </c:pt>
                <c:pt idx="1">
                  <c:v>13018</c:v>
                </c:pt>
                <c:pt idx="2">
                  <c:v>13259</c:v>
                </c:pt>
                <c:pt idx="3">
                  <c:v>11368</c:v>
                </c:pt>
                <c:pt idx="4">
                  <c:v>9003</c:v>
                </c:pt>
                <c:pt idx="5">
                  <c:v>10900</c:v>
                </c:pt>
                <c:pt idx="6">
                  <c:v>12550</c:v>
                </c:pt>
                <c:pt idx="7">
                  <c:v>26300</c:v>
                </c:pt>
                <c:pt idx="8">
                  <c:v>14400</c:v>
                </c:pt>
                <c:pt idx="9">
                  <c:v>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A-4114-8208-C8186CA8D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2810736"/>
        <c:axId val="349460544"/>
      </c:barChart>
      <c:catAx>
        <c:axId val="2062810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60544"/>
        <c:crosses val="autoZero"/>
        <c:auto val="1"/>
        <c:lblAlgn val="ctr"/>
        <c:lblOffset val="100"/>
        <c:noMultiLvlLbl val="0"/>
      </c:catAx>
      <c:valAx>
        <c:axId val="3494605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'KPI Spend'!$I$33</c:f>
              <c:strCache>
                <c:ptCount val="1"/>
                <c:pt idx="0">
                  <c:v>GOAL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Spend'!$I$34:$I$43</c:f>
              <c:numCache>
                <c:formatCode>#,##0</c:formatCode>
                <c:ptCount val="10"/>
                <c:pt idx="0">
                  <c:v>35916</c:v>
                </c:pt>
                <c:pt idx="1">
                  <c:v>15534</c:v>
                </c:pt>
                <c:pt idx="2">
                  <c:v>20719</c:v>
                </c:pt>
                <c:pt idx="3">
                  <c:v>20242</c:v>
                </c:pt>
                <c:pt idx="4">
                  <c:v>15177</c:v>
                </c:pt>
                <c:pt idx="5">
                  <c:v>11263</c:v>
                </c:pt>
                <c:pt idx="6">
                  <c:v>18852</c:v>
                </c:pt>
                <c:pt idx="7">
                  <c:v>38380</c:v>
                </c:pt>
                <c:pt idx="8">
                  <c:v>9731</c:v>
                </c:pt>
                <c:pt idx="9">
                  <c:v>9410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4-470C-A0B1-44F08ABDB7B4}"/>
            </c:ext>
          </c:extLst>
        </c:ser>
        <c:ser>
          <c:idx val="1"/>
          <c:order val="1"/>
          <c:tx>
            <c:strRef>
              <c:f>'KPI Spend'!$J$33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Spend'!$J$34:$J$43</c:f>
              <c:numCache>
                <c:formatCode>#,##0</c:formatCode>
                <c:ptCount val="10"/>
                <c:pt idx="0">
                  <c:v>37957</c:v>
                </c:pt>
                <c:pt idx="1">
                  <c:v>15900</c:v>
                </c:pt>
                <c:pt idx="2">
                  <c:v>22784</c:v>
                </c:pt>
                <c:pt idx="3">
                  <c:v>26000</c:v>
                </c:pt>
                <c:pt idx="4">
                  <c:v>17581</c:v>
                </c:pt>
                <c:pt idx="5">
                  <c:v>15766</c:v>
                </c:pt>
                <c:pt idx="6">
                  <c:v>20375</c:v>
                </c:pt>
                <c:pt idx="7">
                  <c:v>39983</c:v>
                </c:pt>
                <c:pt idx="8">
                  <c:v>14240</c:v>
                </c:pt>
                <c:pt idx="9">
                  <c:v>12610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4-470C-A0B1-44F08ABD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62813136"/>
        <c:axId val="349440704"/>
      </c:barChart>
      <c:catAx>
        <c:axId val="2062813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440704"/>
        <c:crosses val="autoZero"/>
        <c:auto val="1"/>
        <c:lblAlgn val="ctr"/>
        <c:lblOffset val="100"/>
        <c:noMultiLvlLbl val="0"/>
      </c:catAx>
      <c:valAx>
        <c:axId val="3494407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Profit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Spend'!$L$33</c:f>
              <c:strCache>
                <c:ptCount val="1"/>
                <c:pt idx="0">
                  <c:v>GROSS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Spend'!$L$34:$L$43</c:f>
              <c:numCache>
                <c:formatCode>0%</c:formatCode>
                <c:ptCount val="10"/>
                <c:pt idx="0">
                  <c:v>0.58769133493163317</c:v>
                </c:pt>
                <c:pt idx="1">
                  <c:v>0.18125786163522012</c:v>
                </c:pt>
                <c:pt idx="2">
                  <c:v>0.4180565308988764</c:v>
                </c:pt>
                <c:pt idx="3">
                  <c:v>0.5627692307692308</c:v>
                </c:pt>
                <c:pt idx="4">
                  <c:v>0.48791308799271943</c:v>
                </c:pt>
                <c:pt idx="5">
                  <c:v>0.30863884308004569</c:v>
                </c:pt>
                <c:pt idx="6">
                  <c:v>0.38404907975460123</c:v>
                </c:pt>
                <c:pt idx="7">
                  <c:v>0.34222044368856763</c:v>
                </c:pt>
                <c:pt idx="8">
                  <c:v>-1.1235955056179775E-2</c:v>
                </c:pt>
                <c:pt idx="9">
                  <c:v>0.27145122918318793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C6-4AA2-9F0B-EE4DC015F8FD}"/>
            </c:ext>
          </c:extLst>
        </c:ser>
        <c:ser>
          <c:idx val="1"/>
          <c:order val="1"/>
          <c:tx>
            <c:strRef>
              <c:f>'KPI Spend'!$M$33</c:f>
              <c:strCache>
                <c:ptCount val="1"/>
                <c:pt idx="0">
                  <c:v>NET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'KPI Spend'!$C$34:$C$43</c:f>
              <c:strCache>
                <c:ptCount val="10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</c:strCache>
            </c:strRef>
          </c:cat>
          <c:val>
            <c:numRef>
              <c:f>'KPI Spend'!$M$34:$M$43</c:f>
              <c:numCache>
                <c:formatCode>0%</c:formatCode>
                <c:ptCount val="10"/>
                <c:pt idx="0">
                  <c:v>0.34312511526200701</c:v>
                </c:pt>
                <c:pt idx="1">
                  <c:v>-0.23371069182389936</c:v>
                </c:pt>
                <c:pt idx="2">
                  <c:v>8.7693117977528087E-2</c:v>
                </c:pt>
                <c:pt idx="3">
                  <c:v>0.19384615384615383</c:v>
                </c:pt>
                <c:pt idx="4">
                  <c:v>1.0579602980490302E-2</c:v>
                </c:pt>
                <c:pt idx="5">
                  <c:v>-0.10300646961816567</c:v>
                </c:pt>
                <c:pt idx="6">
                  <c:v>6.1006134969325151E-2</c:v>
                </c:pt>
                <c:pt idx="7">
                  <c:v>0.1519895955781207</c:v>
                </c:pt>
                <c:pt idx="8">
                  <c:v>-0.40919943820224719</c:v>
                </c:pt>
                <c:pt idx="9">
                  <c:v>-0.23187946074544014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C6-4AA2-9F0B-EE4DC015F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812176"/>
        <c:axId val="350242384"/>
      </c:lineChart>
      <c:catAx>
        <c:axId val="206281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242384"/>
        <c:crosses val="autoZero"/>
        <c:auto val="1"/>
        <c:lblAlgn val="ctr"/>
        <c:lblOffset val="100"/>
        <c:noMultiLvlLbl val="0"/>
      </c:catAx>
      <c:valAx>
        <c:axId val="35024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281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TimeData!$C$3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TimeData!$D$3:$O$3</c:f>
              <c:numCache>
                <c:formatCode>#,##0</c:formatCode>
                <c:ptCount val="12"/>
                <c:pt idx="0" formatCode="0">
                  <c:v>37</c:v>
                </c:pt>
                <c:pt idx="1">
                  <c:v>41</c:v>
                </c:pt>
                <c:pt idx="2">
                  <c:v>46</c:v>
                </c:pt>
                <c:pt idx="3">
                  <c:v>48</c:v>
                </c:pt>
                <c:pt idx="4">
                  <c:v>45</c:v>
                </c:pt>
                <c:pt idx="5">
                  <c:v>48</c:v>
                </c:pt>
                <c:pt idx="6">
                  <c:v>51</c:v>
                </c:pt>
                <c:pt idx="7">
                  <c:v>39</c:v>
                </c:pt>
                <c:pt idx="8">
                  <c:v>45</c:v>
                </c:pt>
                <c:pt idx="9">
                  <c:v>44</c:v>
                </c:pt>
                <c:pt idx="10">
                  <c:v>44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0CE-8DA7-2FB9194F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TimeData!$C$4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TimeData!$D$4:$O$4</c:f>
              <c:numCache>
                <c:formatCode>#,##0</c:formatCode>
                <c:ptCount val="12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50</c:v>
                </c:pt>
                <c:pt idx="6">
                  <c:v>50</c:v>
                </c:pt>
                <c:pt idx="7">
                  <c:v>42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1-40CE-8DA7-2FB9194FA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4C-42B0-B394-EA7880C87BB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4C-42B0-B394-EA7880C87BB8}"/>
              </c:ext>
            </c:extLst>
          </c:dPt>
          <c:val>
            <c:numRef>
              <c:f>TimeData!$P$5:$Q$5</c:f>
              <c:numCache>
                <c:formatCode>0.0%</c:formatCode>
                <c:ptCount val="2"/>
                <c:pt idx="0">
                  <c:v>0.97074954296160876</c:v>
                </c:pt>
                <c:pt idx="1">
                  <c:v>2.9250457038391242E-2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4C-42B0-B394-EA7880C87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TimeData!$C$9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TimeData!$D$9:$O$9</c:f>
              <c:numCache>
                <c:formatCode>#,##0</c:formatCode>
                <c:ptCount val="12"/>
                <c:pt idx="0">
                  <c:v>50</c:v>
                </c:pt>
                <c:pt idx="1">
                  <c:v>74</c:v>
                </c:pt>
                <c:pt idx="2">
                  <c:v>80</c:v>
                </c:pt>
                <c:pt idx="3">
                  <c:v>75</c:v>
                </c:pt>
                <c:pt idx="4">
                  <c:v>92</c:v>
                </c:pt>
                <c:pt idx="5">
                  <c:v>91</c:v>
                </c:pt>
                <c:pt idx="6">
                  <c:v>96</c:v>
                </c:pt>
                <c:pt idx="7">
                  <c:v>96</c:v>
                </c:pt>
                <c:pt idx="8">
                  <c:v>65</c:v>
                </c:pt>
                <c:pt idx="9">
                  <c:v>40</c:v>
                </c:pt>
                <c:pt idx="10">
                  <c:v>66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2-41B2-AEDC-99FEB65C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TimeData!$C$10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TimeData!$D$10:$O$10</c:f>
              <c:numCache>
                <c:formatCode>#,##0</c:formatCode>
                <c:ptCount val="12"/>
                <c:pt idx="0">
                  <c:v>50</c:v>
                </c:pt>
                <c:pt idx="1">
                  <c:v>74</c:v>
                </c:pt>
                <c:pt idx="2">
                  <c:v>86</c:v>
                </c:pt>
                <c:pt idx="3">
                  <c:v>92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95</c:v>
                </c:pt>
                <c:pt idx="8">
                  <c:v>72</c:v>
                </c:pt>
                <c:pt idx="9">
                  <c:v>48</c:v>
                </c:pt>
                <c:pt idx="10">
                  <c:v>65</c:v>
                </c:pt>
                <c:pt idx="11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2-41B2-AEDC-99FEB65C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AD-456C-8660-972CE91CFAA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EAD-456C-8660-972CE91CFAA3}"/>
              </c:ext>
            </c:extLst>
          </c:dPt>
          <c:val>
            <c:numRef>
              <c:f>TimeData!$P$11:$Q$11</c:f>
              <c:numCache>
                <c:formatCode>0.0%</c:formatCode>
                <c:ptCount val="2"/>
                <c:pt idx="0">
                  <c:v>0.93870967741935485</c:v>
                </c:pt>
                <c:pt idx="1">
                  <c:v>6.1290322580645151E-2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AD-456C-8660-972CE91CF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TimeData!$C$6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TimeData!$D$6:$O$6</c:f>
              <c:numCache>
                <c:formatCode>#,##0</c:formatCode>
                <c:ptCount val="12"/>
                <c:pt idx="0">
                  <c:v>75</c:v>
                </c:pt>
                <c:pt idx="1">
                  <c:v>52</c:v>
                </c:pt>
                <c:pt idx="2">
                  <c:v>90</c:v>
                </c:pt>
                <c:pt idx="3">
                  <c:v>81</c:v>
                </c:pt>
                <c:pt idx="4">
                  <c:v>46</c:v>
                </c:pt>
                <c:pt idx="5">
                  <c:v>44</c:v>
                </c:pt>
                <c:pt idx="6">
                  <c:v>72</c:v>
                </c:pt>
                <c:pt idx="7">
                  <c:v>72</c:v>
                </c:pt>
                <c:pt idx="8">
                  <c:v>60</c:v>
                </c:pt>
                <c:pt idx="9">
                  <c:v>80</c:v>
                </c:pt>
                <c:pt idx="10">
                  <c:v>40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5-40CD-AC68-7058A8E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TimeData!$C$7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TimeData!$D$7:$O$7</c:f>
              <c:numCache>
                <c:formatCode>#,##0</c:formatCode>
                <c:ptCount val="12"/>
                <c:pt idx="0">
                  <c:v>72</c:v>
                </c:pt>
                <c:pt idx="1">
                  <c:v>56</c:v>
                </c:pt>
                <c:pt idx="2">
                  <c:v>90</c:v>
                </c:pt>
                <c:pt idx="3">
                  <c:v>81</c:v>
                </c:pt>
                <c:pt idx="4">
                  <c:v>46</c:v>
                </c:pt>
                <c:pt idx="5">
                  <c:v>45</c:v>
                </c:pt>
                <c:pt idx="6">
                  <c:v>72</c:v>
                </c:pt>
                <c:pt idx="7">
                  <c:v>72</c:v>
                </c:pt>
                <c:pt idx="8">
                  <c:v>60</c:v>
                </c:pt>
                <c:pt idx="9">
                  <c:v>80</c:v>
                </c:pt>
                <c:pt idx="10">
                  <c:v>48</c:v>
                </c:pt>
                <c:pt idx="1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F5-40CD-AC68-7058A8E21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E6-48D6-BC69-BEC546E98964}"/>
              </c:ext>
            </c:extLst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E6-48D6-BC69-BEC546E98964}"/>
              </c:ext>
            </c:extLst>
          </c:dPt>
          <c:val>
            <c:numRef>
              <c:f>TimeData!$P$8:$Q$8</c:f>
              <c:numCache>
                <c:formatCode>0.0%</c:formatCode>
                <c:ptCount val="2"/>
                <c:pt idx="0">
                  <c:v>0.98081841432225059</c:v>
                </c:pt>
                <c:pt idx="1">
                  <c:v>1.9181585677749413E-2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E6-48D6-BC69-BEC546E98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TimeData!$C$12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TimeData!$D$12:$O$12</c:f>
              <c:numCache>
                <c:formatCode>#,##0</c:formatCode>
                <c:ptCount val="12"/>
                <c:pt idx="0">
                  <c:v>102</c:v>
                </c:pt>
                <c:pt idx="1">
                  <c:v>92</c:v>
                </c:pt>
                <c:pt idx="2">
                  <c:v>99</c:v>
                </c:pt>
                <c:pt idx="3">
                  <c:v>98</c:v>
                </c:pt>
                <c:pt idx="4">
                  <c:v>102</c:v>
                </c:pt>
                <c:pt idx="5">
                  <c:v>102</c:v>
                </c:pt>
                <c:pt idx="6">
                  <c:v>86</c:v>
                </c:pt>
                <c:pt idx="7">
                  <c:v>86</c:v>
                </c:pt>
                <c:pt idx="8">
                  <c:v>89</c:v>
                </c:pt>
                <c:pt idx="9">
                  <c:v>108</c:v>
                </c:pt>
                <c:pt idx="10">
                  <c:v>107</c:v>
                </c:pt>
                <c:pt idx="1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5-4BD4-8015-65E20E39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TimeData!$C$13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TimeData!$D$13:$O$13</c:f>
              <c:numCache>
                <c:formatCode>#,##0</c:formatCode>
                <c:ptCount val="12"/>
                <c:pt idx="0">
                  <c:v>102</c:v>
                </c:pt>
                <c:pt idx="1">
                  <c:v>102</c:v>
                </c:pt>
                <c:pt idx="2">
                  <c:v>102</c:v>
                </c:pt>
                <c:pt idx="3">
                  <c:v>106</c:v>
                </c:pt>
                <c:pt idx="4">
                  <c:v>109</c:v>
                </c:pt>
                <c:pt idx="5">
                  <c:v>102</c:v>
                </c:pt>
                <c:pt idx="6">
                  <c:v>102</c:v>
                </c:pt>
                <c:pt idx="7">
                  <c:v>110</c:v>
                </c:pt>
                <c:pt idx="8">
                  <c:v>95</c:v>
                </c:pt>
                <c:pt idx="9">
                  <c:v>102</c:v>
                </c:pt>
                <c:pt idx="10">
                  <c:v>102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5-4BD4-8015-65E20E39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E8-449B-BF5F-DB3D5038FBE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E8-449B-BF5F-DB3D5038FBE5}"/>
              </c:ext>
            </c:extLst>
          </c:dPt>
          <c:val>
            <c:numRef>
              <c:f>TimeData!$P$14:$Q$14</c:f>
              <c:numCache>
                <c:formatCode>0.0%</c:formatCode>
                <c:ptCount val="2"/>
                <c:pt idx="0">
                  <c:v>0.94255663430420711</c:v>
                </c:pt>
                <c:pt idx="1">
                  <c:v>5.7443365695792892E-2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E8-449B-BF5F-DB3D5038F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TimeData!$C$15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TimeData!$D$15:$O$15</c:f>
              <c:numCache>
                <c:formatCode>#,##0</c:formatCode>
                <c:ptCount val="12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50</c:v>
                </c:pt>
                <c:pt idx="5">
                  <c:v>60</c:v>
                </c:pt>
                <c:pt idx="6">
                  <c:v>30</c:v>
                </c:pt>
                <c:pt idx="7">
                  <c:v>23</c:v>
                </c:pt>
                <c:pt idx="8">
                  <c:v>90</c:v>
                </c:pt>
                <c:pt idx="9">
                  <c:v>66</c:v>
                </c:pt>
                <c:pt idx="10">
                  <c:v>45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F-401C-8366-9FA0C968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TimeData!$C$16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TimeData!$D$16:$O$16</c:f>
              <c:numCache>
                <c:formatCode>#,##0</c:formatCode>
                <c:ptCount val="12"/>
                <c:pt idx="0">
                  <c:v>48</c:v>
                </c:pt>
                <c:pt idx="1">
                  <c:v>48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67</c:v>
                </c:pt>
                <c:pt idx="6">
                  <c:v>32</c:v>
                </c:pt>
                <c:pt idx="7">
                  <c:v>24</c:v>
                </c:pt>
                <c:pt idx="8">
                  <c:v>90</c:v>
                </c:pt>
                <c:pt idx="9">
                  <c:v>66</c:v>
                </c:pt>
                <c:pt idx="10">
                  <c:v>48</c:v>
                </c:pt>
                <c:pt idx="1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F-401C-8366-9FA0C968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9E-4004-BCC8-9CA0ADBC179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9E-4004-BCC8-9CA0ADBC179D}"/>
              </c:ext>
            </c:extLst>
          </c:dPt>
          <c:val>
            <c:numRef>
              <c:f>TimeData!$P$17:$Q$17</c:f>
              <c:numCache>
                <c:formatCode>0.0%</c:formatCode>
                <c:ptCount val="2"/>
                <c:pt idx="0">
                  <c:v>0.9889064976228209</c:v>
                </c:pt>
                <c:pt idx="1">
                  <c:v>1.1093502377179099E-2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9E-4004-BCC8-9CA0ADBC1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TimeData!$C$18</c:f>
              <c:strCache>
                <c:ptCount val="1"/>
                <c:pt idx="0">
                  <c:v>Actual Months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TimeData!$D$18:$O$18</c:f>
              <c:numCache>
                <c:formatCode>#,##0</c:formatCode>
                <c:ptCount val="12"/>
                <c:pt idx="0">
                  <c:v>16</c:v>
                </c:pt>
                <c:pt idx="1">
                  <c:v>9</c:v>
                </c:pt>
                <c:pt idx="2">
                  <c:v>21</c:v>
                </c:pt>
                <c:pt idx="3">
                  <c:v>24</c:v>
                </c:pt>
                <c:pt idx="4">
                  <c:v>24</c:v>
                </c:pt>
                <c:pt idx="5">
                  <c:v>34</c:v>
                </c:pt>
                <c:pt idx="6">
                  <c:v>52</c:v>
                </c:pt>
                <c:pt idx="7">
                  <c:v>72</c:v>
                </c:pt>
                <c:pt idx="8">
                  <c:v>70</c:v>
                </c:pt>
                <c:pt idx="9">
                  <c:v>24</c:v>
                </c:pt>
                <c:pt idx="10">
                  <c:v>40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B-421B-B6B1-C4593FBA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16146648"/>
        <c:axId val="716148288"/>
      </c:barChart>
      <c:lineChart>
        <c:grouping val="standard"/>
        <c:varyColors val="0"/>
        <c:ser>
          <c:idx val="1"/>
          <c:order val="1"/>
          <c:tx>
            <c:strRef>
              <c:f>TimeData!$C$19</c:f>
              <c:strCache>
                <c:ptCount val="1"/>
                <c:pt idx="0">
                  <c:v>Target Months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7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TimeData!$D$2:$O$2</c:f>
              <c:strCache>
                <c:ptCount val="12"/>
                <c:pt idx="0">
                  <c:v>Project 1</c:v>
                </c:pt>
                <c:pt idx="1">
                  <c:v>Project 2</c:v>
                </c:pt>
                <c:pt idx="2">
                  <c:v>Project 3</c:v>
                </c:pt>
                <c:pt idx="3">
                  <c:v>Project 4</c:v>
                </c:pt>
                <c:pt idx="4">
                  <c:v>Project 5</c:v>
                </c:pt>
                <c:pt idx="5">
                  <c:v>Project 6</c:v>
                </c:pt>
                <c:pt idx="6">
                  <c:v>Project 7</c:v>
                </c:pt>
                <c:pt idx="7">
                  <c:v>Project 8</c:v>
                </c:pt>
                <c:pt idx="8">
                  <c:v>Project 9</c:v>
                </c:pt>
                <c:pt idx="9">
                  <c:v>Project 10</c:v>
                </c:pt>
                <c:pt idx="10">
                  <c:v>Project 11</c:v>
                </c:pt>
                <c:pt idx="11">
                  <c:v>Project 12</c:v>
                </c:pt>
              </c:strCache>
            </c:strRef>
          </c:cat>
          <c:val>
            <c:numRef>
              <c:f>TimeData!$D$19:$O$19</c:f>
              <c:numCache>
                <c:formatCode>#,##0</c:formatCode>
                <c:ptCount val="12"/>
                <c:pt idx="0">
                  <c:v>16</c:v>
                </c:pt>
                <c:pt idx="1">
                  <c:v>10</c:v>
                </c:pt>
                <c:pt idx="2">
                  <c:v>21</c:v>
                </c:pt>
                <c:pt idx="3">
                  <c:v>24</c:v>
                </c:pt>
                <c:pt idx="4">
                  <c:v>26</c:v>
                </c:pt>
                <c:pt idx="5">
                  <c:v>32</c:v>
                </c:pt>
                <c:pt idx="6">
                  <c:v>48</c:v>
                </c:pt>
                <c:pt idx="7">
                  <c:v>72</c:v>
                </c:pt>
                <c:pt idx="8">
                  <c:v>72</c:v>
                </c:pt>
                <c:pt idx="9">
                  <c:v>24</c:v>
                </c:pt>
                <c:pt idx="10">
                  <c:v>48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B-421B-B6B1-C4593FBAE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6648"/>
        <c:axId val="716148288"/>
      </c:lineChart>
      <c:catAx>
        <c:axId val="716146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8288"/>
        <c:crosses val="autoZero"/>
        <c:auto val="1"/>
        <c:lblAlgn val="ctr"/>
        <c:lblOffset val="100"/>
        <c:noMultiLvlLbl val="0"/>
      </c:catAx>
      <c:valAx>
        <c:axId val="716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146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B8-4AA2-9E38-967594D99AB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8B8-4AA2-9E38-967594D99AB6}"/>
              </c:ext>
            </c:extLst>
          </c:dPt>
          <c:val>
            <c:numRef>
              <c:f>TimeData!$P$20:$Q$20</c:f>
              <c:numCache>
                <c:formatCode>0.0%</c:formatCode>
                <c:ptCount val="2"/>
                <c:pt idx="0">
                  <c:v>0.96926713947990539</c:v>
                </c:pt>
                <c:pt idx="1">
                  <c:v>3.0732860520094607E-2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8-4AA2-9E38-967594D99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4" Type="http://schemas.openxmlformats.org/officeDocument/2006/relationships/chart" Target="../charts/chart58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12" Type="http://schemas.openxmlformats.org/officeDocument/2006/relationships/chart" Target="../charts/chart70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11" Type="http://schemas.openxmlformats.org/officeDocument/2006/relationships/chart" Target="../charts/chart69.xml"/><Relationship Id="rId5" Type="http://schemas.openxmlformats.org/officeDocument/2006/relationships/chart" Target="../charts/chart63.xml"/><Relationship Id="rId10" Type="http://schemas.openxmlformats.org/officeDocument/2006/relationships/chart" Target="../charts/chart68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66</xdr:row>
      <xdr:rowOff>80010</xdr:rowOff>
    </xdr:from>
    <xdr:to>
      <xdr:col>9</xdr:col>
      <xdr:colOff>15240</xdr:colOff>
      <xdr:row>81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66</xdr:row>
      <xdr:rowOff>110490</xdr:rowOff>
    </xdr:from>
    <xdr:to>
      <xdr:col>22</xdr:col>
      <xdr:colOff>15240</xdr:colOff>
      <xdr:row>81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15875</xdr:colOff>
      <xdr:row>99</xdr:row>
      <xdr:rowOff>116681</xdr:rowOff>
    </xdr:from>
    <xdr:to>
      <xdr:col>21</xdr:col>
      <xdr:colOff>650875</xdr:colOff>
      <xdr:row>128</xdr:row>
      <xdr:rowOff>15875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158748</xdr:colOff>
      <xdr:row>99</xdr:row>
      <xdr:rowOff>100804</xdr:rowOff>
    </xdr:from>
    <xdr:to>
      <xdr:col>9</xdr:col>
      <xdr:colOff>23812</xdr:colOff>
      <xdr:row>128</xdr:row>
      <xdr:rowOff>23813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127844</xdr:colOff>
      <xdr:row>23</xdr:row>
      <xdr:rowOff>50801</xdr:rowOff>
    </xdr:from>
    <xdr:to>
      <xdr:col>33</xdr:col>
      <xdr:colOff>330197</xdr:colOff>
      <xdr:row>46</xdr:row>
      <xdr:rowOff>118534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7325E1-DBDC-413F-8F23-59BDC44C1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59265</xdr:colOff>
      <xdr:row>76</xdr:row>
      <xdr:rowOff>67734</xdr:rowOff>
    </xdr:from>
    <xdr:to>
      <xdr:col>13</xdr:col>
      <xdr:colOff>1447800</xdr:colOff>
      <xdr:row>98</xdr:row>
      <xdr:rowOff>8468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43D132-2F71-41E7-8D7C-D3E0E525C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237063</xdr:colOff>
      <xdr:row>143</xdr:row>
      <xdr:rowOff>126998</xdr:rowOff>
    </xdr:from>
    <xdr:to>
      <xdr:col>13</xdr:col>
      <xdr:colOff>1278467</xdr:colOff>
      <xdr:row>165</xdr:row>
      <xdr:rowOff>59264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C27374B-13BE-4BBB-8B90-7E723D49A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101599</xdr:colOff>
      <xdr:row>18</xdr:row>
      <xdr:rowOff>118533</xdr:rowOff>
    </xdr:from>
    <xdr:to>
      <xdr:col>7</xdr:col>
      <xdr:colOff>982133</xdr:colOff>
      <xdr:row>33</xdr:row>
      <xdr:rowOff>169333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4EE8892-7223-41C7-B458-E34717AEB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177799</xdr:colOff>
      <xdr:row>10</xdr:row>
      <xdr:rowOff>33865</xdr:rowOff>
    </xdr:from>
    <xdr:to>
      <xdr:col>13</xdr:col>
      <xdr:colOff>1185333</xdr:colOff>
      <xdr:row>33</xdr:row>
      <xdr:rowOff>127000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2772DC4-4D45-47DC-AA67-8BD7165C3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16934</xdr:colOff>
      <xdr:row>34</xdr:row>
      <xdr:rowOff>25397</xdr:rowOff>
    </xdr:from>
    <xdr:to>
      <xdr:col>13</xdr:col>
      <xdr:colOff>1227667</xdr:colOff>
      <xdr:row>51</xdr:row>
      <xdr:rowOff>110067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C7B1113-F60A-49E4-BB8D-30C04150E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76203</xdr:colOff>
      <xdr:row>51</xdr:row>
      <xdr:rowOff>101601</xdr:rowOff>
    </xdr:from>
    <xdr:to>
      <xdr:col>13</xdr:col>
      <xdr:colOff>1507067</xdr:colOff>
      <xdr:row>74</xdr:row>
      <xdr:rowOff>67735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DF5D3F21-2B6F-4BF0-845A-3CA25F70E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203200</xdr:colOff>
      <xdr:row>75</xdr:row>
      <xdr:rowOff>93132</xdr:rowOff>
    </xdr:from>
    <xdr:to>
      <xdr:col>13</xdr:col>
      <xdr:colOff>1464733</xdr:colOff>
      <xdr:row>96</xdr:row>
      <xdr:rowOff>93133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4714271B-19E4-436C-AAB8-76F04E2C5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237067</xdr:colOff>
      <xdr:row>99</xdr:row>
      <xdr:rowOff>84667</xdr:rowOff>
    </xdr:from>
    <xdr:to>
      <xdr:col>13</xdr:col>
      <xdr:colOff>1329267</xdr:colOff>
      <xdr:row>121</xdr:row>
      <xdr:rowOff>16933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268C5BF-C116-44AC-8DBC-245FF6867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237067</xdr:colOff>
      <xdr:row>121</xdr:row>
      <xdr:rowOff>110066</xdr:rowOff>
    </xdr:from>
    <xdr:to>
      <xdr:col>13</xdr:col>
      <xdr:colOff>1303867</xdr:colOff>
      <xdr:row>143</xdr:row>
      <xdr:rowOff>42333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5980E01-18AC-410D-A1AD-AEE0441CF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33866</xdr:colOff>
      <xdr:row>165</xdr:row>
      <xdr:rowOff>110067</xdr:rowOff>
    </xdr:from>
    <xdr:to>
      <xdr:col>13</xdr:col>
      <xdr:colOff>1337733</xdr:colOff>
      <xdr:row>187</xdr:row>
      <xdr:rowOff>42333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A454FC3-A21F-42FF-B9B9-A0481A4AF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76200</xdr:colOff>
      <xdr:row>188</xdr:row>
      <xdr:rowOff>177801</xdr:rowOff>
    </xdr:from>
    <xdr:to>
      <xdr:col>13</xdr:col>
      <xdr:colOff>1329267</xdr:colOff>
      <xdr:row>211</xdr:row>
      <xdr:rowOff>160866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C140A1-6EA4-4E50-907F-E072D4BF4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66</xdr:row>
      <xdr:rowOff>80010</xdr:rowOff>
    </xdr:from>
    <xdr:to>
      <xdr:col>9</xdr:col>
      <xdr:colOff>15240</xdr:colOff>
      <xdr:row>81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66</xdr:row>
      <xdr:rowOff>110490</xdr:rowOff>
    </xdr:from>
    <xdr:to>
      <xdr:col>22</xdr:col>
      <xdr:colOff>15240</xdr:colOff>
      <xdr:row>81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100</xdr:row>
      <xdr:rowOff>100804</xdr:rowOff>
    </xdr:from>
    <xdr:to>
      <xdr:col>9</xdr:col>
      <xdr:colOff>23812</xdr:colOff>
      <xdr:row>129</xdr:row>
      <xdr:rowOff>23813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100</xdr:row>
      <xdr:rowOff>128336</xdr:rowOff>
    </xdr:from>
    <xdr:to>
      <xdr:col>22</xdr:col>
      <xdr:colOff>24062</xdr:colOff>
      <xdr:row>129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67</xdr:row>
      <xdr:rowOff>80010</xdr:rowOff>
    </xdr:from>
    <xdr:to>
      <xdr:col>9</xdr:col>
      <xdr:colOff>15240</xdr:colOff>
      <xdr:row>82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556260</xdr:colOff>
      <xdr:row>67</xdr:row>
      <xdr:rowOff>110490</xdr:rowOff>
    </xdr:from>
    <xdr:to>
      <xdr:col>22</xdr:col>
      <xdr:colOff>15240</xdr:colOff>
      <xdr:row>82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601980</xdr:colOff>
      <xdr:row>19</xdr:row>
      <xdr:rowOff>95250</xdr:rowOff>
    </xdr:from>
    <xdr:to>
      <xdr:col>9</xdr:col>
      <xdr:colOff>22860</xdr:colOff>
      <xdr:row>38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600929</xdr:colOff>
      <xdr:row>19</xdr:row>
      <xdr:rowOff>62493</xdr:rowOff>
    </xdr:from>
    <xdr:to>
      <xdr:col>22</xdr:col>
      <xdr:colOff>52027</xdr:colOff>
      <xdr:row>38</xdr:row>
      <xdr:rowOff>8759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158748</xdr:colOff>
      <xdr:row>101</xdr:row>
      <xdr:rowOff>100804</xdr:rowOff>
    </xdr:from>
    <xdr:to>
      <xdr:col>9</xdr:col>
      <xdr:colOff>23812</xdr:colOff>
      <xdr:row>130</xdr:row>
      <xdr:rowOff>23813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8021</xdr:colOff>
      <xdr:row>101</xdr:row>
      <xdr:rowOff>128336</xdr:rowOff>
    </xdr:from>
    <xdr:to>
      <xdr:col>22</xdr:col>
      <xdr:colOff>24062</xdr:colOff>
      <xdr:row>130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601980</xdr:colOff>
      <xdr:row>5</xdr:row>
      <xdr:rowOff>7620</xdr:rowOff>
    </xdr:from>
    <xdr:to>
      <xdr:col>17</xdr:col>
      <xdr:colOff>0</xdr:colOff>
      <xdr:row>20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3810</xdr:rowOff>
    </xdr:from>
    <xdr:to>
      <xdr:col>9</xdr:col>
      <xdr:colOff>22860</xdr:colOff>
      <xdr:row>30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3810</xdr:rowOff>
    </xdr:from>
    <xdr:to>
      <xdr:col>20</xdr:col>
      <xdr:colOff>0</xdr:colOff>
      <xdr:row>30</xdr:row>
      <xdr:rowOff>3810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220245</xdr:colOff>
      <xdr:row>21</xdr:row>
      <xdr:rowOff>6623</xdr:rowOff>
    </xdr:from>
    <xdr:to>
      <xdr:col>23</xdr:col>
      <xdr:colOff>815473</xdr:colOff>
      <xdr:row>36</xdr:row>
      <xdr:rowOff>21465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222250</xdr:colOff>
      <xdr:row>6</xdr:row>
      <xdr:rowOff>0</xdr:rowOff>
    </xdr:from>
    <xdr:to>
      <xdr:col>23</xdr:col>
      <xdr:colOff>812800</xdr:colOff>
      <xdr:row>18</xdr:row>
      <xdr:rowOff>294105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220245</xdr:colOff>
      <xdr:row>55</xdr:row>
      <xdr:rowOff>6623</xdr:rowOff>
    </xdr:from>
    <xdr:to>
      <xdr:col>23</xdr:col>
      <xdr:colOff>815473</xdr:colOff>
      <xdr:row>70</xdr:row>
      <xdr:rowOff>21465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075DDE2-7334-4C83-8A77-2FA20F3AB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6</xdr:col>
      <xdr:colOff>222250</xdr:colOff>
      <xdr:row>40</xdr:row>
      <xdr:rowOff>0</xdr:rowOff>
    </xdr:from>
    <xdr:to>
      <xdr:col>23</xdr:col>
      <xdr:colOff>812800</xdr:colOff>
      <xdr:row>52</xdr:row>
      <xdr:rowOff>294105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DA1A2BB-05E7-4907-8C25-70CF7073A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220245</xdr:colOff>
      <xdr:row>89</xdr:row>
      <xdr:rowOff>6623</xdr:rowOff>
    </xdr:from>
    <xdr:to>
      <xdr:col>23</xdr:col>
      <xdr:colOff>815473</xdr:colOff>
      <xdr:row>104</xdr:row>
      <xdr:rowOff>21465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A818D62-6A8F-47C2-8575-29AE11D75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6</xdr:col>
      <xdr:colOff>222250</xdr:colOff>
      <xdr:row>74</xdr:row>
      <xdr:rowOff>0</xdr:rowOff>
    </xdr:from>
    <xdr:to>
      <xdr:col>23</xdr:col>
      <xdr:colOff>812800</xdr:colOff>
      <xdr:row>86</xdr:row>
      <xdr:rowOff>294105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5E68F53-1290-4CE2-86FD-F538FD6FE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219076</xdr:colOff>
      <xdr:row>23</xdr:row>
      <xdr:rowOff>1906</xdr:rowOff>
    </xdr:from>
    <xdr:to>
      <xdr:col>13</xdr:col>
      <xdr:colOff>30480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121920</xdr:colOff>
      <xdr:row>92</xdr:row>
      <xdr:rowOff>80010</xdr:rowOff>
    </xdr:from>
    <xdr:to>
      <xdr:col>11</xdr:col>
      <xdr:colOff>236220</xdr:colOff>
      <xdr:row>107</xdr:row>
      <xdr:rowOff>80010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106680</xdr:colOff>
      <xdr:row>44</xdr:row>
      <xdr:rowOff>53340</xdr:rowOff>
    </xdr:from>
    <xdr:to>
      <xdr:col>12</xdr:col>
      <xdr:colOff>58287</xdr:colOff>
      <xdr:row>66</xdr:row>
      <xdr:rowOff>65548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102870</xdr:rowOff>
    </xdr:from>
    <xdr:to>
      <xdr:col>15</xdr:col>
      <xdr:colOff>7620</xdr:colOff>
      <xdr:row>29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43</xdr:row>
      <xdr:rowOff>316230</xdr:rowOff>
    </xdr:from>
    <xdr:to>
      <xdr:col>8</xdr:col>
      <xdr:colOff>0</xdr:colOff>
      <xdr:row>63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1089660</xdr:colOff>
      <xdr:row>43</xdr:row>
      <xdr:rowOff>308610</xdr:rowOff>
    </xdr:from>
    <xdr:to>
      <xdr:col>15</xdr:col>
      <xdr:colOff>274320</xdr:colOff>
      <xdr:row>63</xdr:row>
      <xdr:rowOff>15240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160020</xdr:colOff>
      <xdr:row>62</xdr:row>
      <xdr:rowOff>163830</xdr:rowOff>
    </xdr:from>
    <xdr:to>
      <xdr:col>15</xdr:col>
      <xdr:colOff>281940</xdr:colOff>
      <xdr:row>77</xdr:row>
      <xdr:rowOff>163830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472440</xdr:colOff>
      <xdr:row>3</xdr:row>
      <xdr:rowOff>53340</xdr:rowOff>
    </xdr:from>
    <xdr:to>
      <xdr:col>11</xdr:col>
      <xdr:colOff>670560</xdr:colOff>
      <xdr:row>12</xdr:row>
      <xdr:rowOff>220980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91440</xdr:colOff>
      <xdr:row>4</xdr:row>
      <xdr:rowOff>68580</xdr:rowOff>
    </xdr:from>
    <xdr:to>
      <xdr:col>4</xdr:col>
      <xdr:colOff>488726</xdr:colOff>
      <xdr:row>12</xdr:row>
      <xdr:rowOff>83820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472440</xdr:colOff>
      <xdr:row>7</xdr:row>
      <xdr:rowOff>30480</xdr:rowOff>
    </xdr:from>
    <xdr:ext cx="1516380" cy="530658"/>
    <xdr:sp macro="" textlink="TimeData!P5">
      <xdr:nvSpPr>
        <xdr:cNvPr id="4" name="CaixaDeTexto 4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/>
      </xdr:nvSpPr>
      <xdr:spPr>
        <a:xfrm>
          <a:off x="594360" y="1623060"/>
          <a:ext cx="151638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111634CF-465E-473D-89A6-9B77C1258CAF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97.1%</a:t>
          </a:fld>
          <a:endParaRPr lang="fr-CA" sz="2800" b="0"/>
        </a:p>
      </xdr:txBody>
    </xdr:sp>
    <xdr:clientData/>
  </xdr:oneCellAnchor>
  <xdr:twoCellAnchor>
    <xdr:from>
      <xdr:col>4</xdr:col>
      <xdr:colOff>457200</xdr:colOff>
      <xdr:row>14</xdr:row>
      <xdr:rowOff>53340</xdr:rowOff>
    </xdr:from>
    <xdr:to>
      <xdr:col>11</xdr:col>
      <xdr:colOff>670560</xdr:colOff>
      <xdr:row>23</xdr:row>
      <xdr:rowOff>220980</xdr:rowOff>
    </xdr:to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91440</xdr:colOff>
      <xdr:row>15</xdr:row>
      <xdr:rowOff>68580</xdr:rowOff>
    </xdr:from>
    <xdr:to>
      <xdr:col>4</xdr:col>
      <xdr:colOff>488726</xdr:colOff>
      <xdr:row>23</xdr:row>
      <xdr:rowOff>83820</xdr:rowOff>
    </xdr:to>
    <xdr:graphicFrame macro="">
      <xdr:nvGraphicFramePr>
        <xdr:cNvPr id="6" name="Gráfico 6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441960</xdr:colOff>
      <xdr:row>18</xdr:row>
      <xdr:rowOff>0</xdr:rowOff>
    </xdr:from>
    <xdr:ext cx="1524000" cy="530658"/>
    <xdr:sp macro="" textlink="TimeData!P11">
      <xdr:nvSpPr>
        <xdr:cNvPr id="7" name="CaixaDeTexto 7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SpPr txBox="1"/>
      </xdr:nvSpPr>
      <xdr:spPr>
        <a:xfrm>
          <a:off x="563880" y="4366260"/>
          <a:ext cx="15240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0EFF5A92-6150-4641-824C-DD8696C95D78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93.9%</a:t>
          </a:fld>
          <a:endParaRPr lang="fr-CA" sz="2800" b="0"/>
        </a:p>
      </xdr:txBody>
    </xdr:sp>
    <xdr:clientData/>
  </xdr:oneCellAnchor>
  <xdr:twoCellAnchor>
    <xdr:from>
      <xdr:col>16</xdr:col>
      <xdr:colOff>495300</xdr:colOff>
      <xdr:row>3</xdr:row>
      <xdr:rowOff>53340</xdr:rowOff>
    </xdr:from>
    <xdr:to>
      <xdr:col>23</xdr:col>
      <xdr:colOff>662940</xdr:colOff>
      <xdr:row>12</xdr:row>
      <xdr:rowOff>220980</xdr:rowOff>
    </xdr:to>
    <xdr:graphicFrame macro="">
      <xdr:nvGraphicFramePr>
        <xdr:cNvPr id="8" name="Gráfico 8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91440</xdr:colOff>
      <xdr:row>4</xdr:row>
      <xdr:rowOff>68580</xdr:rowOff>
    </xdr:from>
    <xdr:to>
      <xdr:col>16</xdr:col>
      <xdr:colOff>488726</xdr:colOff>
      <xdr:row>12</xdr:row>
      <xdr:rowOff>83820</xdr:rowOff>
    </xdr:to>
    <xdr:graphicFrame macro="">
      <xdr:nvGraphicFramePr>
        <xdr:cNvPr id="9" name="Gráfico 9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13</xdr:col>
      <xdr:colOff>396240</xdr:colOff>
      <xdr:row>7</xdr:row>
      <xdr:rowOff>0</xdr:rowOff>
    </xdr:from>
    <xdr:ext cx="1569720" cy="530658"/>
    <xdr:sp macro="" textlink="TimeData!P8">
      <xdr:nvSpPr>
        <xdr:cNvPr id="10" name="CaixaDeTexto 10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7490460" y="1592580"/>
          <a:ext cx="15697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2AD00BC9-D633-42E1-B43C-C6BE88982D43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98.1%</a:t>
          </a:fld>
          <a:endParaRPr lang="fr-CA" sz="2800" b="0"/>
        </a:p>
      </xdr:txBody>
    </xdr:sp>
    <xdr:clientData/>
  </xdr:oneCellAnchor>
  <xdr:twoCellAnchor>
    <xdr:from>
      <xdr:col>16</xdr:col>
      <xdr:colOff>457200</xdr:colOff>
      <xdr:row>14</xdr:row>
      <xdr:rowOff>53340</xdr:rowOff>
    </xdr:from>
    <xdr:to>
      <xdr:col>23</xdr:col>
      <xdr:colOff>685800</xdr:colOff>
      <xdr:row>23</xdr:row>
      <xdr:rowOff>220980</xdr:rowOff>
    </xdr:to>
    <xdr:graphicFrame macro="">
      <xdr:nvGraphicFramePr>
        <xdr:cNvPr id="11" name="Gráfico 11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91440</xdr:colOff>
      <xdr:row>15</xdr:row>
      <xdr:rowOff>68580</xdr:rowOff>
    </xdr:from>
    <xdr:to>
      <xdr:col>16</xdr:col>
      <xdr:colOff>488726</xdr:colOff>
      <xdr:row>23</xdr:row>
      <xdr:rowOff>83820</xdr:rowOff>
    </xdr:to>
    <xdr:graphicFrame macro="">
      <xdr:nvGraphicFramePr>
        <xdr:cNvPr id="12" name="Gráfico 12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13</xdr:col>
      <xdr:colOff>441960</xdr:colOff>
      <xdr:row>18</xdr:row>
      <xdr:rowOff>45720</xdr:rowOff>
    </xdr:from>
    <xdr:ext cx="1531620" cy="530658"/>
    <xdr:sp macro="" textlink="TimeData!P14">
      <xdr:nvSpPr>
        <xdr:cNvPr id="13" name="CaixaDeTexto 13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SpPr txBox="1"/>
      </xdr:nvSpPr>
      <xdr:spPr>
        <a:xfrm>
          <a:off x="7536180" y="4411980"/>
          <a:ext cx="15316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B3DFBA9D-7221-4144-86D6-3770360B5339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94.3%</a:t>
          </a:fld>
          <a:endParaRPr lang="fr-CA" sz="2800" b="0"/>
        </a:p>
      </xdr:txBody>
    </xdr:sp>
    <xdr:clientData/>
  </xdr:oneCellAnchor>
  <xdr:twoCellAnchor>
    <xdr:from>
      <xdr:col>5</xdr:col>
      <xdr:colOff>45720</xdr:colOff>
      <xdr:row>25</xdr:row>
      <xdr:rowOff>53340</xdr:rowOff>
    </xdr:from>
    <xdr:to>
      <xdr:col>11</xdr:col>
      <xdr:colOff>571500</xdr:colOff>
      <xdr:row>34</xdr:row>
      <xdr:rowOff>220980</xdr:rowOff>
    </xdr:to>
    <xdr:graphicFrame macro="">
      <xdr:nvGraphicFramePr>
        <xdr:cNvPr id="14" name="Gráfico 5"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91440</xdr:colOff>
      <xdr:row>26</xdr:row>
      <xdr:rowOff>68580</xdr:rowOff>
    </xdr:from>
    <xdr:to>
      <xdr:col>4</xdr:col>
      <xdr:colOff>488726</xdr:colOff>
      <xdr:row>34</xdr:row>
      <xdr:rowOff>83820</xdr:rowOff>
    </xdr:to>
    <xdr:graphicFrame macro="">
      <xdr:nvGraphicFramePr>
        <xdr:cNvPr id="15" name="Gráfico 6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1</xdr:col>
      <xdr:colOff>441960</xdr:colOff>
      <xdr:row>29</xdr:row>
      <xdr:rowOff>0</xdr:rowOff>
    </xdr:from>
    <xdr:ext cx="1524000" cy="530658"/>
    <xdr:sp macro="" textlink="TimeData!P17">
      <xdr:nvSpPr>
        <xdr:cNvPr id="16" name="CaixaDeTexto 7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SpPr txBox="1"/>
      </xdr:nvSpPr>
      <xdr:spPr>
        <a:xfrm>
          <a:off x="563880" y="7299960"/>
          <a:ext cx="152400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C3C28BB5-0173-4B13-AEFC-30DE6C9CC4E4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98.9%</a:t>
          </a:fld>
          <a:endParaRPr lang="fr-CA" sz="2800" b="0"/>
        </a:p>
      </xdr:txBody>
    </xdr:sp>
    <xdr:clientData/>
  </xdr:oneCellAnchor>
  <xdr:twoCellAnchor>
    <xdr:from>
      <xdr:col>17</xdr:col>
      <xdr:colOff>45720</xdr:colOff>
      <xdr:row>25</xdr:row>
      <xdr:rowOff>53340</xdr:rowOff>
    </xdr:from>
    <xdr:to>
      <xdr:col>23</xdr:col>
      <xdr:colOff>571500</xdr:colOff>
      <xdr:row>34</xdr:row>
      <xdr:rowOff>220980</xdr:rowOff>
    </xdr:to>
    <xdr:graphicFrame macro="">
      <xdr:nvGraphicFramePr>
        <xdr:cNvPr id="17" name="Gráfico 11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91440</xdr:colOff>
      <xdr:row>26</xdr:row>
      <xdr:rowOff>68580</xdr:rowOff>
    </xdr:from>
    <xdr:to>
      <xdr:col>16</xdr:col>
      <xdr:colOff>488726</xdr:colOff>
      <xdr:row>34</xdr:row>
      <xdr:rowOff>83820</xdr:rowOff>
    </xdr:to>
    <xdr:graphicFrame macro="">
      <xdr:nvGraphicFramePr>
        <xdr:cNvPr id="18" name="Gráfico 12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13</xdr:col>
      <xdr:colOff>441960</xdr:colOff>
      <xdr:row>29</xdr:row>
      <xdr:rowOff>45720</xdr:rowOff>
    </xdr:from>
    <xdr:ext cx="1531620" cy="530658"/>
    <xdr:sp macro="" textlink="TimeData!P20">
      <xdr:nvSpPr>
        <xdr:cNvPr id="19" name="CaixaDeTexto 13">
          <a:extLst>
            <a:ext uri="{FF2B5EF4-FFF2-40B4-BE49-F238E27FC236}">
              <a16:creationId xmlns:a16="http://schemas.microsoft.com/office/drawing/2014/main" id="{00000000-0008-0000-1E00-000013000000}"/>
            </a:ext>
          </a:extLst>
        </xdr:cNvPr>
        <xdr:cNvSpPr txBox="1"/>
      </xdr:nvSpPr>
      <xdr:spPr>
        <a:xfrm>
          <a:off x="7536180" y="7284720"/>
          <a:ext cx="1531620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fld id="{285598F7-2DA9-4344-887A-87D8D498C8D5}" type="TxLink">
            <a:rPr lang="en-US" sz="28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96.9%</a:t>
          </a:fld>
          <a:endParaRPr lang="fr-CA" sz="2800" b="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D21203-E486-4586-AFC9-6F592D61DFCC}" name="Table132" displayName="Table132" ref="C5:K21" totalsRowShown="0" headerRowDxfId="13" dataDxfId="11" headerRowBorderDxfId="12" tableBorderDxfId="10" totalsRowBorderDxfId="9">
  <autoFilter ref="C5:K21" xr:uid="{EBD21203-E486-4586-AFC9-6F592D61DFCC}"/>
  <tableColumns count="9">
    <tableColumn id="1" xr3:uid="{8D2D7101-D3FE-421B-87F9-C86C66773D49}" name="Service" dataDxfId="8"/>
    <tableColumn id="3" xr3:uid="{F55B9943-3B62-49D3-BB11-14993B0D270B}" name="Actual" dataDxfId="7"/>
    <tableColumn id="4" xr3:uid="{37E28A73-E2A0-4B9E-8787-FFF5B4E95B08}" name="Target" dataDxfId="6"/>
    <tableColumn id="6" xr3:uid="{234C9C82-D518-4D19-A7F8-EDB9AB63E9C9}" name="% Of Costs" dataDxfId="5">
      <calculatedColumnFormula>D6/E6</calculatedColumnFormula>
    </tableColumn>
    <tableColumn id="5" xr3:uid="{AC96A10F-40BF-4DA2-A0A3-46BA470C2E6E}" name="Variance" dataDxfId="4">
      <calculatedColumnFormula>IF(ISBLANK(D6-E6),"",(D6-E6))</calculatedColumnFormula>
    </tableColumn>
    <tableColumn id="2" xr3:uid="{7B3113D1-1BEE-4F14-857C-3D27E19F9EA9}" name="Average" dataDxfId="3"/>
    <tableColumn id="7" xr3:uid="{57424F22-F241-4C83-B318-02C72B2E4298}" name="Totals" dataDxfId="2"/>
    <tableColumn id="8" xr3:uid="{96BBA01E-6EAC-433D-9785-566FBAF9FC5E}" name="Overuns" dataDxfId="1"/>
    <tableColumn id="9" xr3:uid="{0E2464E4-875E-430F-91F2-506267071B3A}" name="Totals2" dataDxfId="0">
      <calculatedColumnFormula>SUM(Table132[[#This Row],[Totals]:[Overuns]])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0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9B64-5E41-41B5-BB65-3C913EE02CC6}">
  <sheetPr codeName="Sheet21"/>
  <dimension ref="A1:AP93"/>
  <sheetViews>
    <sheetView showGridLines="0" tabSelected="1" zoomScaleNormal="100" workbookViewId="0">
      <selection activeCell="V52" sqref="V52"/>
    </sheetView>
  </sheetViews>
  <sheetFormatPr defaultRowHeight="14.4" x14ac:dyDescent="0.3"/>
  <cols>
    <col min="1" max="1" width="5" customWidth="1"/>
    <col min="2" max="2" width="3.88671875" customWidth="1"/>
    <col min="5" max="5" width="10.5546875" customWidth="1"/>
    <col min="6" max="6" width="10" style="125" bestFit="1" customWidth="1"/>
    <col min="7" max="8" width="10" bestFit="1" customWidth="1"/>
    <col min="9" max="9" width="9.88671875" customWidth="1"/>
    <col min="10" max="10" width="11.44140625" bestFit="1" customWidth="1"/>
    <col min="11" max="12" width="10" bestFit="1" customWidth="1"/>
    <col min="13" max="13" width="11.44140625" bestFit="1" customWidth="1"/>
    <col min="14" max="14" width="9.5546875" customWidth="1"/>
    <col min="15" max="15" width="10" bestFit="1" customWidth="1"/>
    <col min="16" max="17" width="11.44140625" bestFit="1" customWidth="1"/>
    <col min="18" max="19" width="10" bestFit="1" customWidth="1"/>
    <col min="20" max="20" width="9.33203125" customWidth="1"/>
    <col min="21" max="21" width="10.88671875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32" t="s">
        <v>139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O2" s="301"/>
      <c r="P2" s="9"/>
      <c r="Q2" s="9"/>
      <c r="R2" s="9"/>
      <c r="S2" s="9"/>
      <c r="T2" s="9"/>
      <c r="U2" s="9"/>
    </row>
    <row r="3" spans="1:42" x14ac:dyDescent="0.3">
      <c r="A3" s="9"/>
      <c r="B3" s="9" t="s">
        <v>296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42" x14ac:dyDescent="0.3">
      <c r="A5" s="143"/>
      <c r="B5" s="146" t="s">
        <v>170</v>
      </c>
      <c r="C5" s="143"/>
      <c r="D5" s="143"/>
      <c r="E5" s="143"/>
      <c r="F5" s="191">
        <v>2023</v>
      </c>
      <c r="G5" s="191">
        <v>2023</v>
      </c>
      <c r="H5" s="191">
        <v>2023</v>
      </c>
      <c r="I5" s="191">
        <v>2023</v>
      </c>
      <c r="J5" s="191">
        <v>2023</v>
      </c>
      <c r="K5" s="191">
        <v>2023</v>
      </c>
      <c r="L5" s="191">
        <v>2023</v>
      </c>
      <c r="M5" s="191">
        <v>2023</v>
      </c>
      <c r="N5" s="191">
        <v>2023</v>
      </c>
      <c r="O5" s="191">
        <v>2023</v>
      </c>
      <c r="P5" s="191">
        <v>2023</v>
      </c>
      <c r="Q5" s="191">
        <v>2023</v>
      </c>
      <c r="R5" s="191">
        <v>2024</v>
      </c>
      <c r="S5" s="191">
        <v>2024</v>
      </c>
      <c r="T5" s="191">
        <v>2024</v>
      </c>
      <c r="U5" s="147"/>
    </row>
    <row r="6" spans="1:42" ht="15" thickBot="1" x14ac:dyDescent="0.35">
      <c r="A6" s="145"/>
      <c r="B6" s="152" t="s">
        <v>64</v>
      </c>
      <c r="C6" s="145"/>
      <c r="D6" s="145"/>
      <c r="E6" s="145"/>
      <c r="F6" s="190" t="s">
        <v>25</v>
      </c>
      <c r="G6" s="190" t="s">
        <v>26</v>
      </c>
      <c r="H6" s="190" t="s">
        <v>27</v>
      </c>
      <c r="I6" s="190" t="s">
        <v>28</v>
      </c>
      <c r="J6" s="190" t="s">
        <v>29</v>
      </c>
      <c r="K6" s="190" t="s">
        <v>30</v>
      </c>
      <c r="L6" s="190" t="s">
        <v>31</v>
      </c>
      <c r="M6" s="190" t="s">
        <v>32</v>
      </c>
      <c r="N6" s="190" t="s">
        <v>33</v>
      </c>
      <c r="O6" s="190" t="s">
        <v>34</v>
      </c>
      <c r="P6" s="190" t="s">
        <v>35</v>
      </c>
      <c r="Q6" s="190" t="s">
        <v>36</v>
      </c>
      <c r="R6" s="190" t="s">
        <v>25</v>
      </c>
      <c r="S6" s="190" t="s">
        <v>26</v>
      </c>
      <c r="T6" s="190" t="s">
        <v>27</v>
      </c>
      <c r="U6" s="158"/>
    </row>
    <row r="7" spans="1:42" s="124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2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35" t="s">
        <v>285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ht="12.6" customHeight="1" x14ac:dyDescent="0.3">
      <c r="A9" s="9"/>
      <c r="B9" s="9"/>
      <c r="C9" s="135" t="s">
        <v>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ht="13.2" customHeight="1" x14ac:dyDescent="0.3">
      <c r="A10" s="9"/>
      <c r="B10" s="9"/>
      <c r="C10" s="427" t="s">
        <v>288</v>
      </c>
      <c r="D10" s="427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338" t="s">
        <v>100</v>
      </c>
    </row>
    <row r="11" spans="1:42" x14ac:dyDescent="0.3">
      <c r="A11" s="9"/>
      <c r="B11" s="9"/>
      <c r="C11" s="136" t="s">
        <v>282</v>
      </c>
      <c r="D11" s="9"/>
      <c r="E11" s="9"/>
      <c r="F11" s="321">
        <v>4191</v>
      </c>
      <c r="G11" s="321">
        <v>4191</v>
      </c>
      <c r="H11" s="321">
        <v>4191</v>
      </c>
      <c r="I11" s="321">
        <v>4891</v>
      </c>
      <c r="J11" s="321">
        <v>5191</v>
      </c>
      <c r="K11" s="321">
        <v>5391</v>
      </c>
      <c r="L11" s="321">
        <v>5222</v>
      </c>
      <c r="M11" s="321">
        <v>5191</v>
      </c>
      <c r="N11" s="321">
        <v>5203</v>
      </c>
      <c r="O11" s="321">
        <v>5203</v>
      </c>
      <c r="P11" s="321">
        <v>5191</v>
      </c>
      <c r="Q11" s="321">
        <v>5187</v>
      </c>
      <c r="R11" s="321">
        <f>'IS 2024'!F11</f>
        <v>4191</v>
      </c>
      <c r="S11" s="321">
        <f>'IS 2024'!G11</f>
        <v>4191</v>
      </c>
      <c r="T11" s="321">
        <f>'IS 2024'!H11</f>
        <v>4191</v>
      </c>
      <c r="U11" s="321">
        <f>AVERAGE(F11:T11)</f>
        <v>4787.7333333333336</v>
      </c>
    </row>
    <row r="12" spans="1:42" x14ac:dyDescent="0.3">
      <c r="A12" s="9"/>
      <c r="B12" s="9"/>
      <c r="C12" s="136" t="s">
        <v>283</v>
      </c>
      <c r="D12" s="9"/>
      <c r="E12" s="9"/>
      <c r="F12" s="321">
        <v>2357</v>
      </c>
      <c r="G12" s="321">
        <v>2357</v>
      </c>
      <c r="H12" s="321">
        <v>2357</v>
      </c>
      <c r="I12" s="321">
        <v>3357</v>
      </c>
      <c r="J12" s="321">
        <v>3557</v>
      </c>
      <c r="K12" s="321">
        <v>3757</v>
      </c>
      <c r="L12" s="321">
        <v>3557</v>
      </c>
      <c r="M12" s="321">
        <v>3557</v>
      </c>
      <c r="N12" s="321">
        <v>3557</v>
      </c>
      <c r="O12" s="321">
        <v>3557</v>
      </c>
      <c r="P12" s="321">
        <v>3557</v>
      </c>
      <c r="Q12" s="321">
        <v>3557</v>
      </c>
      <c r="R12" s="321">
        <f>'IS 2024'!F12</f>
        <v>2357</v>
      </c>
      <c r="S12" s="321">
        <f>'IS 2024'!G12</f>
        <v>2357</v>
      </c>
      <c r="T12" s="321">
        <f>'IS 2024'!H12</f>
        <v>2357</v>
      </c>
      <c r="U12" s="321">
        <f t="shared" ref="U12:U15" si="0">AVERAGE(F12:T12)</f>
        <v>3077</v>
      </c>
    </row>
    <row r="13" spans="1:42" x14ac:dyDescent="0.3">
      <c r="A13" s="9"/>
      <c r="B13" s="9"/>
      <c r="C13" s="136" t="s">
        <v>284</v>
      </c>
      <c r="D13" s="9"/>
      <c r="E13" s="9"/>
      <c r="F13" s="321">
        <v>3357</v>
      </c>
      <c r="G13" s="321">
        <v>3357</v>
      </c>
      <c r="H13" s="321">
        <v>3357</v>
      </c>
      <c r="I13" s="321">
        <v>4357</v>
      </c>
      <c r="J13" s="321">
        <v>4010</v>
      </c>
      <c r="K13" s="321">
        <v>4410</v>
      </c>
      <c r="L13" s="321">
        <v>4010</v>
      </c>
      <c r="M13" s="321">
        <v>4010</v>
      </c>
      <c r="N13" s="321">
        <v>4010</v>
      </c>
      <c r="O13" s="321">
        <v>4010</v>
      </c>
      <c r="P13" s="321">
        <v>4010</v>
      </c>
      <c r="Q13" s="321">
        <v>4010</v>
      </c>
      <c r="R13" s="321">
        <f>'IS 2024'!F13</f>
        <v>3357</v>
      </c>
      <c r="S13" s="321">
        <f>'IS 2024'!G13</f>
        <v>3357</v>
      </c>
      <c r="T13" s="321">
        <f>'IS 2024'!H13</f>
        <v>3357</v>
      </c>
      <c r="U13" s="321">
        <f t="shared" si="0"/>
        <v>3798.6</v>
      </c>
    </row>
    <row r="14" spans="1:42" x14ac:dyDescent="0.3">
      <c r="A14" s="9"/>
      <c r="B14" s="9"/>
      <c r="C14" s="136" t="s">
        <v>274</v>
      </c>
      <c r="D14" s="9"/>
      <c r="E14" s="9"/>
      <c r="F14" s="321">
        <f t="shared" ref="F14:Q14" si="1">SUM(F11:F13)</f>
        <v>9905</v>
      </c>
      <c r="G14" s="321">
        <f t="shared" si="1"/>
        <v>9905</v>
      </c>
      <c r="H14" s="321">
        <f t="shared" si="1"/>
        <v>9905</v>
      </c>
      <c r="I14" s="321">
        <f t="shared" si="1"/>
        <v>12605</v>
      </c>
      <c r="J14" s="321">
        <f t="shared" si="1"/>
        <v>12758</v>
      </c>
      <c r="K14" s="321">
        <f t="shared" si="1"/>
        <v>13558</v>
      </c>
      <c r="L14" s="321">
        <f t="shared" si="1"/>
        <v>12789</v>
      </c>
      <c r="M14" s="321">
        <f t="shared" si="1"/>
        <v>12758</v>
      </c>
      <c r="N14" s="321">
        <f t="shared" si="1"/>
        <v>12770</v>
      </c>
      <c r="O14" s="321">
        <f t="shared" si="1"/>
        <v>12770</v>
      </c>
      <c r="P14" s="321">
        <f t="shared" si="1"/>
        <v>12758</v>
      </c>
      <c r="Q14" s="321">
        <f t="shared" si="1"/>
        <v>12754</v>
      </c>
      <c r="R14" s="321">
        <f>'IS 2024'!F14</f>
        <v>9905</v>
      </c>
      <c r="S14" s="321">
        <f>'IS 2024'!G14</f>
        <v>9905</v>
      </c>
      <c r="T14" s="321">
        <f>'IS 2024'!H14</f>
        <v>9905</v>
      </c>
      <c r="U14" s="321">
        <f t="shared" si="0"/>
        <v>11663.333333333334</v>
      </c>
    </row>
    <row r="15" spans="1:42" x14ac:dyDescent="0.3">
      <c r="A15" s="9"/>
      <c r="B15" s="9"/>
      <c r="C15" s="136" t="s">
        <v>295</v>
      </c>
      <c r="D15" s="9"/>
      <c r="E15" s="9"/>
      <c r="F15" s="333">
        <v>15000</v>
      </c>
      <c r="G15" s="333">
        <v>15000</v>
      </c>
      <c r="H15" s="333">
        <v>15000</v>
      </c>
      <c r="I15" s="333">
        <v>15000</v>
      </c>
      <c r="J15" s="333">
        <v>15000</v>
      </c>
      <c r="K15" s="333">
        <v>15000</v>
      </c>
      <c r="L15" s="333">
        <v>15000</v>
      </c>
      <c r="M15" s="333">
        <v>15000</v>
      </c>
      <c r="N15" s="333">
        <v>15000</v>
      </c>
      <c r="O15" s="333">
        <v>15000</v>
      </c>
      <c r="P15" s="333">
        <v>15000</v>
      </c>
      <c r="Q15" s="333">
        <v>15000</v>
      </c>
      <c r="R15" s="333">
        <v>15000</v>
      </c>
      <c r="S15" s="333">
        <v>15000</v>
      </c>
      <c r="T15" s="333">
        <v>15000</v>
      </c>
      <c r="U15" s="333">
        <f t="shared" si="0"/>
        <v>15000</v>
      </c>
    </row>
    <row r="16" spans="1:42" x14ac:dyDescent="0.3">
      <c r="A16" s="9"/>
      <c r="B16" s="9"/>
      <c r="C16" s="136" t="s">
        <v>273</v>
      </c>
      <c r="D16" s="9"/>
      <c r="E16" s="9"/>
      <c r="F16" s="322">
        <f>F14/F$15</f>
        <v>0.66033333333333333</v>
      </c>
      <c r="G16" s="322">
        <f>G14/G$15</f>
        <v>0.66033333333333333</v>
      </c>
      <c r="H16" s="322">
        <f t="shared" ref="H16:Q16" si="2">H14/H$15</f>
        <v>0.66033333333333333</v>
      </c>
      <c r="I16" s="322">
        <f t="shared" si="2"/>
        <v>0.84033333333333338</v>
      </c>
      <c r="J16" s="322">
        <f t="shared" si="2"/>
        <v>0.85053333333333336</v>
      </c>
      <c r="K16" s="322">
        <f t="shared" si="2"/>
        <v>0.90386666666666671</v>
      </c>
      <c r="L16" s="322">
        <f t="shared" si="2"/>
        <v>0.85260000000000002</v>
      </c>
      <c r="M16" s="322">
        <f t="shared" si="2"/>
        <v>0.85053333333333336</v>
      </c>
      <c r="N16" s="322">
        <f t="shared" si="2"/>
        <v>0.85133333333333339</v>
      </c>
      <c r="O16" s="322">
        <f t="shared" si="2"/>
        <v>0.85133333333333339</v>
      </c>
      <c r="P16" s="322">
        <f t="shared" si="2"/>
        <v>0.85053333333333336</v>
      </c>
      <c r="Q16" s="322">
        <f t="shared" si="2"/>
        <v>0.85026666666666662</v>
      </c>
      <c r="R16" s="322">
        <f t="shared" ref="R16:T16" si="3">R14/R$15</f>
        <v>0.66033333333333333</v>
      </c>
      <c r="S16" s="322">
        <f t="shared" si="3"/>
        <v>0.66033333333333333</v>
      </c>
      <c r="T16" s="322">
        <f t="shared" si="3"/>
        <v>0.66033333333333333</v>
      </c>
      <c r="U16" s="332">
        <f>AVERAGE(F16:T16)</f>
        <v>0.77755555555555567</v>
      </c>
    </row>
    <row r="17" spans="1:21" x14ac:dyDescent="0.3">
      <c r="A17" s="9"/>
      <c r="B17" s="9"/>
      <c r="C17" s="136"/>
      <c r="D17" s="9"/>
      <c r="E17" s="9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9"/>
    </row>
    <row r="18" spans="1:21" x14ac:dyDescent="0.3">
      <c r="A18" s="9"/>
      <c r="B18" s="9"/>
      <c r="C18" s="135" t="s">
        <v>287</v>
      </c>
      <c r="D18" s="9"/>
      <c r="E18" s="9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9"/>
    </row>
    <row r="19" spans="1:21" x14ac:dyDescent="0.3">
      <c r="A19" s="9"/>
      <c r="B19" s="9"/>
      <c r="C19" s="136" t="s">
        <v>282</v>
      </c>
      <c r="D19" s="9"/>
      <c r="E19" s="9"/>
      <c r="F19" s="321">
        <v>4357</v>
      </c>
      <c r="G19" s="321">
        <v>4357</v>
      </c>
      <c r="H19" s="321">
        <v>6489</v>
      </c>
      <c r="I19" s="321">
        <v>6653</v>
      </c>
      <c r="J19" s="321">
        <v>6802</v>
      </c>
      <c r="K19" s="321">
        <v>7130</v>
      </c>
      <c r="L19" s="321">
        <v>8322</v>
      </c>
      <c r="M19" s="321">
        <v>8322</v>
      </c>
      <c r="N19" s="321">
        <v>8322</v>
      </c>
      <c r="O19" s="321">
        <v>6311</v>
      </c>
      <c r="P19" s="321">
        <v>6271</v>
      </c>
      <c r="Q19" s="321">
        <v>6100</v>
      </c>
      <c r="R19" s="321">
        <f>'IS 2024'!F19</f>
        <v>4357</v>
      </c>
      <c r="S19" s="321">
        <f>'IS 2024'!G19</f>
        <v>4357</v>
      </c>
      <c r="T19" s="321">
        <f>'IS 2024'!H19</f>
        <v>6489</v>
      </c>
      <c r="U19" s="321">
        <f>AVERAGE(F19:T19)</f>
        <v>6309.2666666666664</v>
      </c>
    </row>
    <row r="20" spans="1:21" x14ac:dyDescent="0.3">
      <c r="A20" s="9"/>
      <c r="B20" s="9"/>
      <c r="C20" s="136" t="s">
        <v>283</v>
      </c>
      <c r="D20" s="9"/>
      <c r="E20" s="9"/>
      <c r="F20" s="321">
        <v>2357</v>
      </c>
      <c r="G20" s="321">
        <v>2357</v>
      </c>
      <c r="H20" s="321">
        <v>6489</v>
      </c>
      <c r="I20" s="321">
        <v>6653</v>
      </c>
      <c r="J20" s="321">
        <v>6802</v>
      </c>
      <c r="K20" s="321">
        <v>7130</v>
      </c>
      <c r="L20" s="321">
        <v>8322</v>
      </c>
      <c r="M20" s="321">
        <v>8322</v>
      </c>
      <c r="N20" s="321">
        <v>8322</v>
      </c>
      <c r="O20" s="321">
        <v>6411</v>
      </c>
      <c r="P20" s="321">
        <v>6334</v>
      </c>
      <c r="Q20" s="321">
        <v>6232</v>
      </c>
      <c r="R20" s="321">
        <f>'IS 2024'!F20</f>
        <v>2357</v>
      </c>
      <c r="S20" s="321">
        <f>'IS 2024'!G20</f>
        <v>2357</v>
      </c>
      <c r="T20" s="321">
        <f>'IS 2024'!H20</f>
        <v>6489</v>
      </c>
      <c r="U20" s="321">
        <f t="shared" ref="U20:U23" si="4">AVERAGE(F20:T20)</f>
        <v>5795.6</v>
      </c>
    </row>
    <row r="21" spans="1:21" x14ac:dyDescent="0.3">
      <c r="A21" s="9"/>
      <c r="B21" s="9"/>
      <c r="C21" s="136" t="s">
        <v>284</v>
      </c>
      <c r="D21" s="9"/>
      <c r="E21" s="9"/>
      <c r="F21" s="321">
        <v>4357</v>
      </c>
      <c r="G21" s="321">
        <v>4357</v>
      </c>
      <c r="H21" s="321">
        <v>6489</v>
      </c>
      <c r="I21" s="321">
        <v>6653</v>
      </c>
      <c r="J21" s="321">
        <v>6802</v>
      </c>
      <c r="K21" s="321">
        <v>7130</v>
      </c>
      <c r="L21" s="321">
        <v>8322</v>
      </c>
      <c r="M21" s="321">
        <v>8322</v>
      </c>
      <c r="N21" s="321">
        <v>7322</v>
      </c>
      <c r="O21" s="321">
        <v>6411</v>
      </c>
      <c r="P21" s="321">
        <v>6443</v>
      </c>
      <c r="Q21" s="321">
        <v>6211</v>
      </c>
      <c r="R21" s="321">
        <f>'IS 2024'!F21</f>
        <v>4357</v>
      </c>
      <c r="S21" s="321">
        <f>'IS 2024'!G21</f>
        <v>4357</v>
      </c>
      <c r="T21" s="321">
        <f>'IS 2024'!H21</f>
        <v>6489</v>
      </c>
      <c r="U21" s="321">
        <f t="shared" si="4"/>
        <v>6268.1333333333332</v>
      </c>
    </row>
    <row r="22" spans="1:21" x14ac:dyDescent="0.3">
      <c r="A22" s="9"/>
      <c r="B22" s="9"/>
      <c r="C22" s="136" t="s">
        <v>274</v>
      </c>
      <c r="D22" s="9"/>
      <c r="E22" s="9"/>
      <c r="F22" s="321">
        <f t="shared" ref="F22:Q22" si="5">SUM(F19:F21)</f>
        <v>11071</v>
      </c>
      <c r="G22" s="321">
        <f t="shared" si="5"/>
        <v>11071</v>
      </c>
      <c r="H22" s="321">
        <f t="shared" si="5"/>
        <v>19467</v>
      </c>
      <c r="I22" s="321">
        <f t="shared" si="5"/>
        <v>19959</v>
      </c>
      <c r="J22" s="321">
        <f t="shared" si="5"/>
        <v>20406</v>
      </c>
      <c r="K22" s="321">
        <f t="shared" si="5"/>
        <v>21390</v>
      </c>
      <c r="L22" s="321">
        <f t="shared" si="5"/>
        <v>24966</v>
      </c>
      <c r="M22" s="321">
        <f t="shared" si="5"/>
        <v>24966</v>
      </c>
      <c r="N22" s="321">
        <f t="shared" si="5"/>
        <v>23966</v>
      </c>
      <c r="O22" s="321">
        <f t="shared" si="5"/>
        <v>19133</v>
      </c>
      <c r="P22" s="321">
        <f t="shared" si="5"/>
        <v>19048</v>
      </c>
      <c r="Q22" s="321">
        <f t="shared" si="5"/>
        <v>18543</v>
      </c>
      <c r="R22" s="321">
        <f>'IS 2024'!F22</f>
        <v>11071</v>
      </c>
      <c r="S22" s="321">
        <f>'IS 2024'!G22</f>
        <v>11071</v>
      </c>
      <c r="T22" s="321">
        <f>'IS 2024'!H22</f>
        <v>19467</v>
      </c>
      <c r="U22" s="321">
        <f t="shared" si="4"/>
        <v>18373</v>
      </c>
    </row>
    <row r="23" spans="1:21" x14ac:dyDescent="0.3">
      <c r="A23" s="9"/>
      <c r="B23" s="9"/>
      <c r="C23" s="136" t="s">
        <v>295</v>
      </c>
      <c r="D23" s="9"/>
      <c r="E23" s="9"/>
      <c r="F23" s="333">
        <v>15000</v>
      </c>
      <c r="G23" s="333">
        <v>15000</v>
      </c>
      <c r="H23" s="333">
        <v>21000</v>
      </c>
      <c r="I23" s="333">
        <v>21000</v>
      </c>
      <c r="J23" s="333">
        <v>22000</v>
      </c>
      <c r="K23" s="333">
        <v>22000</v>
      </c>
      <c r="L23" s="333">
        <v>24000</v>
      </c>
      <c r="M23" s="333">
        <v>24000</v>
      </c>
      <c r="N23" s="333">
        <v>23000</v>
      </c>
      <c r="O23" s="333">
        <v>22000</v>
      </c>
      <c r="P23" s="333">
        <v>21000</v>
      </c>
      <c r="Q23" s="333">
        <v>21000</v>
      </c>
      <c r="R23" s="333">
        <v>16000</v>
      </c>
      <c r="S23" s="333">
        <v>16000</v>
      </c>
      <c r="T23" s="333">
        <v>21000</v>
      </c>
      <c r="U23" s="333">
        <f t="shared" si="4"/>
        <v>20266.666666666668</v>
      </c>
    </row>
    <row r="24" spans="1:21" x14ac:dyDescent="0.3">
      <c r="A24" s="9"/>
      <c r="B24" s="9"/>
      <c r="C24" s="136" t="s">
        <v>273</v>
      </c>
      <c r="D24" s="9"/>
      <c r="E24" s="9"/>
      <c r="F24" s="322">
        <f t="shared" ref="F24:T24" si="6">F22/F$23</f>
        <v>0.73806666666666665</v>
      </c>
      <c r="G24" s="322">
        <f t="shared" si="6"/>
        <v>0.73806666666666665</v>
      </c>
      <c r="H24" s="322">
        <f t="shared" si="6"/>
        <v>0.92700000000000005</v>
      </c>
      <c r="I24" s="322">
        <f t="shared" si="6"/>
        <v>0.9504285714285714</v>
      </c>
      <c r="J24" s="322">
        <f t="shared" si="6"/>
        <v>0.92754545454545456</v>
      </c>
      <c r="K24" s="322">
        <f t="shared" si="6"/>
        <v>0.97227272727272729</v>
      </c>
      <c r="L24" s="322">
        <f t="shared" si="6"/>
        <v>1.0402499999999999</v>
      </c>
      <c r="M24" s="322">
        <f t="shared" si="6"/>
        <v>1.0402499999999999</v>
      </c>
      <c r="N24" s="322">
        <f t="shared" si="6"/>
        <v>1.042</v>
      </c>
      <c r="O24" s="322">
        <f t="shared" si="6"/>
        <v>0.86968181818181822</v>
      </c>
      <c r="P24" s="322">
        <f t="shared" si="6"/>
        <v>0.9070476190476191</v>
      </c>
      <c r="Q24" s="322">
        <f t="shared" si="6"/>
        <v>0.88300000000000001</v>
      </c>
      <c r="R24" s="322">
        <f t="shared" si="6"/>
        <v>0.69193749999999998</v>
      </c>
      <c r="S24" s="322">
        <f t="shared" si="6"/>
        <v>0.69193749999999998</v>
      </c>
      <c r="T24" s="322">
        <f t="shared" si="6"/>
        <v>0.92700000000000005</v>
      </c>
      <c r="U24" s="322">
        <f>AVERAGE(F24:T24)</f>
        <v>0.8897656349206351</v>
      </c>
    </row>
    <row r="25" spans="1:21" x14ac:dyDescent="0.3">
      <c r="A25" s="9"/>
      <c r="B25" s="9"/>
      <c r="C25" s="136"/>
      <c r="D25" s="9"/>
      <c r="E25" s="9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</row>
    <row r="26" spans="1:21" x14ac:dyDescent="0.3">
      <c r="A26" s="9"/>
      <c r="B26" s="9"/>
      <c r="C26" s="135" t="s">
        <v>286</v>
      </c>
      <c r="D26" s="9"/>
      <c r="E26" s="9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9"/>
    </row>
    <row r="27" spans="1:21" x14ac:dyDescent="0.3">
      <c r="A27" s="9"/>
      <c r="B27" s="9"/>
      <c r="C27" s="136" t="s">
        <v>282</v>
      </c>
      <c r="D27" s="9"/>
      <c r="E27" s="9"/>
      <c r="F27" s="321">
        <v>4357</v>
      </c>
      <c r="G27" s="321">
        <v>4357</v>
      </c>
      <c r="H27" s="321">
        <v>6489</v>
      </c>
      <c r="I27" s="321">
        <v>6653</v>
      </c>
      <c r="J27" s="321">
        <v>6802</v>
      </c>
      <c r="K27" s="321">
        <v>7130</v>
      </c>
      <c r="L27" s="321">
        <v>8322</v>
      </c>
      <c r="M27" s="321">
        <v>8322</v>
      </c>
      <c r="N27" s="321">
        <v>8322</v>
      </c>
      <c r="O27" s="321">
        <v>7411</v>
      </c>
      <c r="P27" s="321">
        <v>7411</v>
      </c>
      <c r="Q27" s="321">
        <v>7704</v>
      </c>
      <c r="R27" s="321">
        <f>'IS 2024'!F27</f>
        <v>4357</v>
      </c>
      <c r="S27" s="321">
        <f>'IS 2024'!G27</f>
        <v>4357</v>
      </c>
      <c r="T27" s="321">
        <f>'IS 2024'!H27</f>
        <v>6489</v>
      </c>
      <c r="U27" s="321">
        <f>AVERAGE(F27:T27)</f>
        <v>6565.5333333333338</v>
      </c>
    </row>
    <row r="28" spans="1:21" x14ac:dyDescent="0.3">
      <c r="A28" s="9"/>
      <c r="B28" s="9"/>
      <c r="C28" s="136" t="s">
        <v>283</v>
      </c>
      <c r="D28" s="9"/>
      <c r="E28" s="9"/>
      <c r="F28" s="321">
        <v>2357</v>
      </c>
      <c r="G28" s="321">
        <v>2357</v>
      </c>
      <c r="H28" s="321">
        <v>6489</v>
      </c>
      <c r="I28" s="321">
        <v>6653</v>
      </c>
      <c r="J28" s="321">
        <v>6802</v>
      </c>
      <c r="K28" s="321">
        <v>7130</v>
      </c>
      <c r="L28" s="321">
        <v>8322</v>
      </c>
      <c r="M28" s="321">
        <v>8322</v>
      </c>
      <c r="N28" s="321">
        <v>8322</v>
      </c>
      <c r="O28" s="321">
        <v>7411</v>
      </c>
      <c r="P28" s="321">
        <v>7411</v>
      </c>
      <c r="Q28" s="321">
        <v>7704</v>
      </c>
      <c r="R28" s="321">
        <f>'IS 2024'!F28</f>
        <v>2357</v>
      </c>
      <c r="S28" s="321">
        <f>'IS 2024'!G28</f>
        <v>2357</v>
      </c>
      <c r="T28" s="321">
        <f>'IS 2024'!H28</f>
        <v>6489</v>
      </c>
      <c r="U28" s="321">
        <f t="shared" ref="U28:U31" si="7">AVERAGE(F28:T28)</f>
        <v>6032.2</v>
      </c>
    </row>
    <row r="29" spans="1:21" x14ac:dyDescent="0.3">
      <c r="A29" s="9"/>
      <c r="B29" s="9"/>
      <c r="C29" s="136" t="s">
        <v>284</v>
      </c>
      <c r="D29" s="9"/>
      <c r="E29" s="9"/>
      <c r="F29" s="321">
        <v>3357</v>
      </c>
      <c r="G29" s="321">
        <v>3357</v>
      </c>
      <c r="H29" s="321">
        <v>6489</v>
      </c>
      <c r="I29" s="321">
        <v>6653</v>
      </c>
      <c r="J29" s="321">
        <v>6802</v>
      </c>
      <c r="K29" s="321">
        <v>7130</v>
      </c>
      <c r="L29" s="321">
        <v>8322</v>
      </c>
      <c r="M29" s="321">
        <v>8322</v>
      </c>
      <c r="N29" s="321">
        <v>8322</v>
      </c>
      <c r="O29" s="321">
        <v>7411</v>
      </c>
      <c r="P29" s="321">
        <v>7411</v>
      </c>
      <c r="Q29" s="321">
        <v>7704</v>
      </c>
      <c r="R29" s="321">
        <f>'IS 2024'!F29</f>
        <v>3357</v>
      </c>
      <c r="S29" s="321">
        <f>'IS 2024'!G29</f>
        <v>3357</v>
      </c>
      <c r="T29" s="321">
        <f>'IS 2024'!H29</f>
        <v>6489</v>
      </c>
      <c r="U29" s="321">
        <f t="shared" si="7"/>
        <v>6298.8666666666668</v>
      </c>
    </row>
    <row r="30" spans="1:21" x14ac:dyDescent="0.3">
      <c r="A30" s="9"/>
      <c r="B30" s="9"/>
      <c r="C30" s="136" t="s">
        <v>274</v>
      </c>
      <c r="D30" s="9"/>
      <c r="E30" s="9"/>
      <c r="F30" s="321">
        <f t="shared" ref="F30:T30" si="8">SUM(F27:F29)</f>
        <v>10071</v>
      </c>
      <c r="G30" s="321">
        <f t="shared" si="8"/>
        <v>10071</v>
      </c>
      <c r="H30" s="321">
        <f t="shared" si="8"/>
        <v>19467</v>
      </c>
      <c r="I30" s="321">
        <f t="shared" si="8"/>
        <v>19959</v>
      </c>
      <c r="J30" s="321">
        <f t="shared" si="8"/>
        <v>20406</v>
      </c>
      <c r="K30" s="321">
        <f t="shared" si="8"/>
        <v>21390</v>
      </c>
      <c r="L30" s="321">
        <f t="shared" si="8"/>
        <v>24966</v>
      </c>
      <c r="M30" s="321">
        <f t="shared" si="8"/>
        <v>24966</v>
      </c>
      <c r="N30" s="321">
        <f t="shared" si="8"/>
        <v>24966</v>
      </c>
      <c r="O30" s="321">
        <f t="shared" si="8"/>
        <v>22233</v>
      </c>
      <c r="P30" s="321">
        <f t="shared" si="8"/>
        <v>22233</v>
      </c>
      <c r="Q30" s="321">
        <f>SUM(Q27:Q29)</f>
        <v>23112</v>
      </c>
      <c r="R30" s="321">
        <f t="shared" si="8"/>
        <v>10071</v>
      </c>
      <c r="S30" s="321">
        <f t="shared" si="8"/>
        <v>10071</v>
      </c>
      <c r="T30" s="321">
        <f t="shared" si="8"/>
        <v>19467</v>
      </c>
      <c r="U30" s="321">
        <f t="shared" si="7"/>
        <v>18896.599999999999</v>
      </c>
    </row>
    <row r="31" spans="1:21" x14ac:dyDescent="0.3">
      <c r="A31" s="9"/>
      <c r="B31" s="9"/>
      <c r="C31" s="136" t="s">
        <v>295</v>
      </c>
      <c r="D31" s="9"/>
      <c r="E31" s="9"/>
      <c r="F31" s="333">
        <v>15000</v>
      </c>
      <c r="G31" s="333">
        <v>15000</v>
      </c>
      <c r="H31" s="333">
        <v>25000</v>
      </c>
      <c r="I31" s="333">
        <v>25000</v>
      </c>
      <c r="J31" s="333">
        <v>25000</v>
      </c>
      <c r="K31" s="333">
        <v>25000</v>
      </c>
      <c r="L31" s="333">
        <v>25000</v>
      </c>
      <c r="M31" s="333">
        <v>25000</v>
      </c>
      <c r="N31" s="333">
        <v>25000</v>
      </c>
      <c r="O31" s="333">
        <v>25000</v>
      </c>
      <c r="P31" s="333">
        <v>25000</v>
      </c>
      <c r="Q31" s="333">
        <v>25000</v>
      </c>
      <c r="R31" s="333">
        <f>'IS 2024'!F31</f>
        <v>15000</v>
      </c>
      <c r="S31" s="333">
        <f>'IS 2024'!G31</f>
        <v>15000</v>
      </c>
      <c r="T31" s="333">
        <f>'IS 2024'!H31</f>
        <v>25000</v>
      </c>
      <c r="U31" s="333">
        <f t="shared" si="7"/>
        <v>22333.333333333332</v>
      </c>
    </row>
    <row r="32" spans="1:21" x14ac:dyDescent="0.3">
      <c r="A32" s="9"/>
      <c r="B32" s="9"/>
      <c r="C32" s="136" t="s">
        <v>273</v>
      </c>
      <c r="D32" s="9"/>
      <c r="E32" s="9"/>
      <c r="F32" s="322">
        <f>F30/F$31</f>
        <v>0.6714</v>
      </c>
      <c r="G32" s="322">
        <f t="shared" ref="G32:T32" si="9">G30/G$31</f>
        <v>0.6714</v>
      </c>
      <c r="H32" s="322">
        <f t="shared" si="9"/>
        <v>0.77868000000000004</v>
      </c>
      <c r="I32" s="322">
        <f t="shared" si="9"/>
        <v>0.79835999999999996</v>
      </c>
      <c r="J32" s="322">
        <f t="shared" si="9"/>
        <v>0.81623999999999997</v>
      </c>
      <c r="K32" s="322">
        <f t="shared" si="9"/>
        <v>0.85560000000000003</v>
      </c>
      <c r="L32" s="322">
        <f t="shared" si="9"/>
        <v>0.99863999999999997</v>
      </c>
      <c r="M32" s="322">
        <f t="shared" si="9"/>
        <v>0.99863999999999997</v>
      </c>
      <c r="N32" s="322">
        <f t="shared" si="9"/>
        <v>0.99863999999999997</v>
      </c>
      <c r="O32" s="322">
        <f t="shared" si="9"/>
        <v>0.88932</v>
      </c>
      <c r="P32" s="322">
        <f t="shared" si="9"/>
        <v>0.88932</v>
      </c>
      <c r="Q32" s="322">
        <f t="shared" si="9"/>
        <v>0.92447999999999997</v>
      </c>
      <c r="R32" s="322">
        <f t="shared" si="9"/>
        <v>0.6714</v>
      </c>
      <c r="S32" s="322">
        <f t="shared" si="9"/>
        <v>0.6714</v>
      </c>
      <c r="T32" s="322">
        <f t="shared" si="9"/>
        <v>0.77868000000000004</v>
      </c>
      <c r="U32" s="322">
        <f>AVERAGE(F32:T32)</f>
        <v>0.82747999999999999</v>
      </c>
    </row>
    <row r="33" spans="1:21" x14ac:dyDescent="0.3">
      <c r="A33" s="9"/>
      <c r="B33" s="9"/>
      <c r="C33" s="136"/>
      <c r="D33" s="9"/>
      <c r="E33" s="9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9"/>
    </row>
    <row r="34" spans="1:21" x14ac:dyDescent="0.3">
      <c r="A34" s="143"/>
      <c r="B34" s="143"/>
      <c r="C34" s="146" t="s">
        <v>114</v>
      </c>
      <c r="D34" s="143"/>
      <c r="E34" s="143"/>
      <c r="F34" s="201">
        <f>SUM(F14+F22+F30)</f>
        <v>31047</v>
      </c>
      <c r="G34" s="201">
        <f>G14+G22+G30</f>
        <v>31047</v>
      </c>
      <c r="H34" s="201">
        <f t="shared" ref="H34:S34" si="10">H14+H22+H30</f>
        <v>48839</v>
      </c>
      <c r="I34" s="201">
        <f t="shared" si="10"/>
        <v>52523</v>
      </c>
      <c r="J34" s="201">
        <f t="shared" si="10"/>
        <v>53570</v>
      </c>
      <c r="K34" s="201">
        <f t="shared" si="10"/>
        <v>56338</v>
      </c>
      <c r="L34" s="201">
        <f t="shared" si="10"/>
        <v>62721</v>
      </c>
      <c r="M34" s="201">
        <f t="shared" si="10"/>
        <v>62690</v>
      </c>
      <c r="N34" s="201">
        <f>N14+N22+N30</f>
        <v>61702</v>
      </c>
      <c r="O34" s="201">
        <f t="shared" si="10"/>
        <v>54136</v>
      </c>
      <c r="P34" s="201">
        <f>P14+P22+P30</f>
        <v>54039</v>
      </c>
      <c r="Q34" s="201">
        <f t="shared" si="10"/>
        <v>54409</v>
      </c>
      <c r="R34" s="201">
        <f t="shared" si="10"/>
        <v>31047</v>
      </c>
      <c r="S34" s="201">
        <f t="shared" si="10"/>
        <v>31047</v>
      </c>
      <c r="T34" s="201">
        <f>T14+T22+T30</f>
        <v>48839</v>
      </c>
      <c r="U34" s="201">
        <f>SUM(F34:Q34)</f>
        <v>623061</v>
      </c>
    </row>
    <row r="35" spans="1:21" x14ac:dyDescent="0.3">
      <c r="A35" s="145"/>
      <c r="B35" s="145"/>
      <c r="C35" s="152" t="s">
        <v>115</v>
      </c>
      <c r="D35" s="145"/>
      <c r="E35" s="145"/>
      <c r="F35" s="331">
        <f>SUM(F37:F42)</f>
        <v>-3334</v>
      </c>
      <c r="G35" s="331">
        <f t="shared" ref="G35:T35" si="11">SUM(G37:G42)</f>
        <v>-3334</v>
      </c>
      <c r="H35" s="331">
        <f t="shared" si="11"/>
        <v>-3334</v>
      </c>
      <c r="I35" s="331">
        <f t="shared" si="11"/>
        <v>-3334</v>
      </c>
      <c r="J35" s="331">
        <f t="shared" si="11"/>
        <v>-3334</v>
      </c>
      <c r="K35" s="331">
        <f t="shared" si="11"/>
        <v>-3334</v>
      </c>
      <c r="L35" s="331">
        <f t="shared" si="11"/>
        <v>-3334</v>
      </c>
      <c r="M35" s="331">
        <f t="shared" si="11"/>
        <v>-3334</v>
      </c>
      <c r="N35" s="331">
        <f t="shared" si="11"/>
        <v>-3334</v>
      </c>
      <c r="O35" s="331">
        <f t="shared" si="11"/>
        <v>-3334</v>
      </c>
      <c r="P35" s="331">
        <f t="shared" si="11"/>
        <v>-3334</v>
      </c>
      <c r="Q35" s="331">
        <f t="shared" si="11"/>
        <v>-3334</v>
      </c>
      <c r="R35" s="331">
        <f t="shared" si="11"/>
        <v>-3334</v>
      </c>
      <c r="S35" s="331">
        <f t="shared" si="11"/>
        <v>-3334</v>
      </c>
      <c r="T35" s="331">
        <f t="shared" si="11"/>
        <v>-3334</v>
      </c>
      <c r="U35" s="331">
        <f t="shared" ref="U35:U75" si="12">SUM(F35:Q35)</f>
        <v>-40008</v>
      </c>
    </row>
    <row r="36" spans="1:21" x14ac:dyDescent="0.3">
      <c r="A36" s="328"/>
      <c r="B36" s="328"/>
      <c r="C36" s="329"/>
      <c r="D36" s="328"/>
      <c r="E36" s="328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</row>
    <row r="37" spans="1:21" x14ac:dyDescent="0.3">
      <c r="A37" s="9"/>
      <c r="B37" s="9"/>
      <c r="C37" s="136" t="s">
        <v>201</v>
      </c>
      <c r="D37" s="9"/>
      <c r="E37" s="9"/>
      <c r="F37" s="372">
        <v>-1654</v>
      </c>
      <c r="G37" s="372">
        <v>-1654</v>
      </c>
      <c r="H37" s="372">
        <v>-1654</v>
      </c>
      <c r="I37" s="372">
        <v>-1654</v>
      </c>
      <c r="J37" s="372">
        <v>-1654</v>
      </c>
      <c r="K37" s="372">
        <v>-1654</v>
      </c>
      <c r="L37" s="372">
        <v>-1654</v>
      </c>
      <c r="M37" s="372">
        <v>-1654</v>
      </c>
      <c r="N37" s="372">
        <v>-1654</v>
      </c>
      <c r="O37" s="372">
        <v>-1654</v>
      </c>
      <c r="P37" s="372">
        <v>-1654</v>
      </c>
      <c r="Q37" s="372">
        <v>-1654</v>
      </c>
      <c r="R37" s="372">
        <v>-1654</v>
      </c>
      <c r="S37" s="372">
        <v>-1654</v>
      </c>
      <c r="T37" s="372">
        <v>-1654</v>
      </c>
      <c r="U37" s="372">
        <f t="shared" si="12"/>
        <v>-19848</v>
      </c>
    </row>
    <row r="38" spans="1:21" x14ac:dyDescent="0.3">
      <c r="A38" s="9"/>
      <c r="B38" s="9"/>
      <c r="C38" s="136" t="s">
        <v>125</v>
      </c>
      <c r="D38" s="9"/>
      <c r="E38" s="9"/>
      <c r="F38" s="374">
        <v>-750</v>
      </c>
      <c r="G38" s="374">
        <v>-750</v>
      </c>
      <c r="H38" s="374">
        <v>-750</v>
      </c>
      <c r="I38" s="374">
        <v>-750</v>
      </c>
      <c r="J38" s="374">
        <v>-750</v>
      </c>
      <c r="K38" s="374">
        <v>-750</v>
      </c>
      <c r="L38" s="374">
        <v>-750</v>
      </c>
      <c r="M38" s="374">
        <v>-750</v>
      </c>
      <c r="N38" s="374">
        <v>-750</v>
      </c>
      <c r="O38" s="374">
        <v>-750</v>
      </c>
      <c r="P38" s="374">
        <v>-750</v>
      </c>
      <c r="Q38" s="374">
        <v>-750</v>
      </c>
      <c r="R38" s="374">
        <v>-750</v>
      </c>
      <c r="S38" s="374">
        <v>-750</v>
      </c>
      <c r="T38" s="374">
        <v>-750</v>
      </c>
      <c r="U38" s="372">
        <f t="shared" si="12"/>
        <v>-9000</v>
      </c>
    </row>
    <row r="39" spans="1:21" x14ac:dyDescent="0.3">
      <c r="A39" s="9"/>
      <c r="B39" s="9"/>
      <c r="C39" s="136" t="s">
        <v>270</v>
      </c>
      <c r="D39" s="9"/>
      <c r="E39" s="9"/>
      <c r="F39" s="374">
        <v>-600</v>
      </c>
      <c r="G39" s="374">
        <v>-600</v>
      </c>
      <c r="H39" s="374">
        <v>-600</v>
      </c>
      <c r="I39" s="374">
        <v>-600</v>
      </c>
      <c r="J39" s="374">
        <v>-600</v>
      </c>
      <c r="K39" s="374">
        <v>-600</v>
      </c>
      <c r="L39" s="374">
        <v>-600</v>
      </c>
      <c r="M39" s="374">
        <v>-600</v>
      </c>
      <c r="N39" s="374">
        <v>-600</v>
      </c>
      <c r="O39" s="374">
        <v>-600</v>
      </c>
      <c r="P39" s="374">
        <v>-600</v>
      </c>
      <c r="Q39" s="374">
        <v>-600</v>
      </c>
      <c r="R39" s="374">
        <v>-600</v>
      </c>
      <c r="S39" s="374">
        <v>-600</v>
      </c>
      <c r="T39" s="374">
        <v>-600</v>
      </c>
      <c r="U39" s="372">
        <f t="shared" si="12"/>
        <v>-7200</v>
      </c>
    </row>
    <row r="40" spans="1:21" x14ac:dyDescent="0.3">
      <c r="A40" s="9"/>
      <c r="B40" s="9"/>
      <c r="C40" s="136" t="s">
        <v>294</v>
      </c>
      <c r="D40" s="9"/>
      <c r="E40" s="9"/>
      <c r="F40" s="374">
        <v>-205</v>
      </c>
      <c r="G40" s="374">
        <v>-205</v>
      </c>
      <c r="H40" s="374">
        <v>-205</v>
      </c>
      <c r="I40" s="374">
        <v>-205</v>
      </c>
      <c r="J40" s="374">
        <v>-205</v>
      </c>
      <c r="K40" s="374">
        <v>-205</v>
      </c>
      <c r="L40" s="374">
        <v>-205</v>
      </c>
      <c r="M40" s="374">
        <v>-205</v>
      </c>
      <c r="N40" s="374">
        <v>-205</v>
      </c>
      <c r="O40" s="374">
        <v>-205</v>
      </c>
      <c r="P40" s="374">
        <v>-205</v>
      </c>
      <c r="Q40" s="374">
        <v>-205</v>
      </c>
      <c r="R40" s="374">
        <v>-205</v>
      </c>
      <c r="S40" s="374">
        <v>-205</v>
      </c>
      <c r="T40" s="374">
        <v>-205</v>
      </c>
      <c r="U40" s="372">
        <f t="shared" si="12"/>
        <v>-2460</v>
      </c>
    </row>
    <row r="41" spans="1:21" x14ac:dyDescent="0.3">
      <c r="A41" s="9"/>
      <c r="B41" s="9"/>
      <c r="C41" s="136" t="s">
        <v>271</v>
      </c>
      <c r="D41" s="9"/>
      <c r="E41" s="9"/>
      <c r="F41" s="374">
        <v>-125</v>
      </c>
      <c r="G41" s="374">
        <v>-125</v>
      </c>
      <c r="H41" s="374">
        <v>-125</v>
      </c>
      <c r="I41" s="374">
        <v>-125</v>
      </c>
      <c r="J41" s="374">
        <v>-125</v>
      </c>
      <c r="K41" s="374">
        <v>-125</v>
      </c>
      <c r="L41" s="374">
        <v>-125</v>
      </c>
      <c r="M41" s="374">
        <v>-125</v>
      </c>
      <c r="N41" s="374">
        <v>-125</v>
      </c>
      <c r="O41" s="374">
        <v>-125</v>
      </c>
      <c r="P41" s="374">
        <v>-125</v>
      </c>
      <c r="Q41" s="374">
        <v>-125</v>
      </c>
      <c r="R41" s="374">
        <v>-125</v>
      </c>
      <c r="S41" s="374">
        <v>-125</v>
      </c>
      <c r="T41" s="374">
        <v>-125</v>
      </c>
      <c r="U41" s="372"/>
    </row>
    <row r="42" spans="1:21" x14ac:dyDescent="0.3">
      <c r="A42" s="9"/>
      <c r="B42" s="9"/>
      <c r="C42" s="136" t="s">
        <v>206</v>
      </c>
      <c r="D42" s="9"/>
      <c r="E42" s="9"/>
      <c r="F42" s="330" t="s">
        <v>190</v>
      </c>
      <c r="G42" s="330" t="s">
        <v>190</v>
      </c>
      <c r="H42" s="330" t="s">
        <v>190</v>
      </c>
      <c r="I42" s="330" t="s">
        <v>190</v>
      </c>
      <c r="J42" s="330" t="s">
        <v>190</v>
      </c>
      <c r="K42" s="330" t="s">
        <v>190</v>
      </c>
      <c r="L42" s="330" t="s">
        <v>190</v>
      </c>
      <c r="M42" s="330" t="s">
        <v>190</v>
      </c>
      <c r="N42" s="330" t="s">
        <v>190</v>
      </c>
      <c r="O42" s="330" t="s">
        <v>190</v>
      </c>
      <c r="P42" s="330" t="s">
        <v>190</v>
      </c>
      <c r="Q42" s="330" t="s">
        <v>190</v>
      </c>
      <c r="R42" s="330" t="s">
        <v>190</v>
      </c>
      <c r="S42" s="330" t="s">
        <v>190</v>
      </c>
      <c r="T42" s="330" t="s">
        <v>190</v>
      </c>
      <c r="U42" s="204"/>
    </row>
    <row r="43" spans="1:21" x14ac:dyDescent="0.3">
      <c r="A43" s="9"/>
      <c r="B43" s="9"/>
      <c r="C43" s="134"/>
      <c r="D43" s="9"/>
      <c r="E43" s="9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204"/>
    </row>
    <row r="44" spans="1:21" x14ac:dyDescent="0.3">
      <c r="A44" s="155"/>
      <c r="B44" s="155"/>
      <c r="C44" s="156" t="s">
        <v>4</v>
      </c>
      <c r="D44" s="155"/>
      <c r="E44" s="155"/>
      <c r="F44" s="380">
        <f>SUM(F34+F35)</f>
        <v>27713</v>
      </c>
      <c r="G44" s="380">
        <f t="shared" ref="G44:T44" si="13">SUM(G34+G35)</f>
        <v>27713</v>
      </c>
      <c r="H44" s="380">
        <f t="shared" si="13"/>
        <v>45505</v>
      </c>
      <c r="I44" s="380">
        <f t="shared" si="13"/>
        <v>49189</v>
      </c>
      <c r="J44" s="380">
        <f t="shared" si="13"/>
        <v>50236</v>
      </c>
      <c r="K44" s="380">
        <f t="shared" si="13"/>
        <v>53004</v>
      </c>
      <c r="L44" s="380">
        <f t="shared" si="13"/>
        <v>59387</v>
      </c>
      <c r="M44" s="380">
        <f t="shared" si="13"/>
        <v>59356</v>
      </c>
      <c r="N44" s="380">
        <f t="shared" si="13"/>
        <v>58368</v>
      </c>
      <c r="O44" s="380">
        <f t="shared" si="13"/>
        <v>50802</v>
      </c>
      <c r="P44" s="380">
        <f t="shared" si="13"/>
        <v>50705</v>
      </c>
      <c r="Q44" s="380">
        <f t="shared" si="13"/>
        <v>51075</v>
      </c>
      <c r="R44" s="380">
        <f t="shared" si="13"/>
        <v>27713</v>
      </c>
      <c r="S44" s="380">
        <f t="shared" si="13"/>
        <v>27713</v>
      </c>
      <c r="T44" s="380">
        <f t="shared" si="13"/>
        <v>45505</v>
      </c>
      <c r="U44" s="381">
        <f t="shared" si="12"/>
        <v>583053</v>
      </c>
    </row>
    <row r="45" spans="1:21" ht="15" customHeight="1" x14ac:dyDescent="0.3">
      <c r="A45" s="9"/>
      <c r="B45" s="9"/>
      <c r="C45" s="134"/>
      <c r="D45" s="9"/>
      <c r="E45" s="9"/>
      <c r="F45" s="330"/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204"/>
    </row>
    <row r="46" spans="1:21" ht="15" customHeight="1" x14ac:dyDescent="0.3">
      <c r="A46" s="9"/>
      <c r="B46" s="9"/>
      <c r="C46" s="135" t="s">
        <v>5</v>
      </c>
      <c r="D46" s="9"/>
      <c r="E46" s="9"/>
      <c r="F46" s="330"/>
      <c r="G46" s="330"/>
      <c r="H46" s="330"/>
      <c r="I46" s="330"/>
      <c r="J46" s="330"/>
      <c r="K46" s="330"/>
      <c r="L46" s="330"/>
      <c r="M46" s="330"/>
      <c r="N46" s="330"/>
      <c r="O46" s="330"/>
      <c r="P46" s="330"/>
      <c r="Q46" s="330"/>
      <c r="R46" s="330"/>
      <c r="S46" s="330"/>
      <c r="T46" s="330"/>
      <c r="U46" s="204"/>
    </row>
    <row r="47" spans="1:21" ht="15" customHeight="1" x14ac:dyDescent="0.3">
      <c r="A47" s="9"/>
      <c r="B47" s="9"/>
      <c r="C47" s="136" t="s">
        <v>291</v>
      </c>
      <c r="D47" s="9"/>
      <c r="E47" s="9"/>
      <c r="F47" s="372">
        <v>-1500</v>
      </c>
      <c r="G47" s="372">
        <v>-1500</v>
      </c>
      <c r="H47" s="372">
        <v>-1500</v>
      </c>
      <c r="I47" s="372">
        <v>-1500</v>
      </c>
      <c r="J47" s="372">
        <v>-1500</v>
      </c>
      <c r="K47" s="372">
        <v>-1500</v>
      </c>
      <c r="L47" s="372">
        <v>-1500</v>
      </c>
      <c r="M47" s="372">
        <v>-1500</v>
      </c>
      <c r="N47" s="372">
        <v>-1500</v>
      </c>
      <c r="O47" s="372">
        <v>-1500</v>
      </c>
      <c r="P47" s="372">
        <v>-1500</v>
      </c>
      <c r="Q47" s="372">
        <v>-1500</v>
      </c>
      <c r="R47" s="372">
        <v>-1500</v>
      </c>
      <c r="S47" s="372">
        <v>-1500</v>
      </c>
      <c r="T47" s="372">
        <v>-1500</v>
      </c>
      <c r="U47" s="372">
        <f t="shared" si="12"/>
        <v>-18000</v>
      </c>
    </row>
    <row r="48" spans="1:21" ht="15" customHeight="1" x14ac:dyDescent="0.3">
      <c r="A48" s="9"/>
      <c r="B48" s="9"/>
      <c r="C48" s="136" t="s">
        <v>289</v>
      </c>
      <c r="D48" s="9"/>
      <c r="E48" s="9"/>
      <c r="F48" s="372">
        <v>750</v>
      </c>
      <c r="G48" s="372">
        <v>750</v>
      </c>
      <c r="H48" s="372">
        <v>750</v>
      </c>
      <c r="I48" s="372">
        <v>750</v>
      </c>
      <c r="J48" s="372">
        <v>750</v>
      </c>
      <c r="K48" s="372">
        <v>750</v>
      </c>
      <c r="L48" s="372">
        <v>750</v>
      </c>
      <c r="M48" s="372">
        <v>750</v>
      </c>
      <c r="N48" s="372">
        <v>750</v>
      </c>
      <c r="O48" s="372">
        <v>750</v>
      </c>
      <c r="P48" s="372">
        <v>750</v>
      </c>
      <c r="Q48" s="372">
        <v>750</v>
      </c>
      <c r="R48" s="372">
        <v>750</v>
      </c>
      <c r="S48" s="372">
        <v>750</v>
      </c>
      <c r="T48" s="372">
        <v>750</v>
      </c>
      <c r="U48" s="372">
        <f t="shared" si="12"/>
        <v>9000</v>
      </c>
    </row>
    <row r="49" spans="1:21" ht="15" customHeight="1" x14ac:dyDescent="0.3">
      <c r="A49" s="9"/>
      <c r="B49" s="9"/>
      <c r="C49" s="136" t="s">
        <v>292</v>
      </c>
      <c r="D49" s="9"/>
      <c r="E49" s="9"/>
      <c r="F49" s="372">
        <v>-493</v>
      </c>
      <c r="G49" s="372">
        <v>-493</v>
      </c>
      <c r="H49" s="372">
        <v>-493</v>
      </c>
      <c r="I49" s="372">
        <v>-493</v>
      </c>
      <c r="J49" s="372">
        <v>-493</v>
      </c>
      <c r="K49" s="372">
        <v>-493</v>
      </c>
      <c r="L49" s="372">
        <v>-493</v>
      </c>
      <c r="M49" s="372">
        <v>-493</v>
      </c>
      <c r="N49" s="372">
        <v>-493</v>
      </c>
      <c r="O49" s="372">
        <v>-493</v>
      </c>
      <c r="P49" s="372">
        <v>-493</v>
      </c>
      <c r="Q49" s="372">
        <v>-493</v>
      </c>
      <c r="R49" s="372">
        <v>-493</v>
      </c>
      <c r="S49" s="372">
        <v>-493</v>
      </c>
      <c r="T49" s="372">
        <v>-493</v>
      </c>
      <c r="U49" s="372">
        <f t="shared" si="12"/>
        <v>-5916</v>
      </c>
    </row>
    <row r="50" spans="1:21" ht="15" customHeight="1" x14ac:dyDescent="0.3">
      <c r="A50" s="9"/>
      <c r="B50" s="9"/>
      <c r="C50" s="136" t="s">
        <v>290</v>
      </c>
      <c r="D50" s="9"/>
      <c r="E50" s="9"/>
      <c r="F50" s="372">
        <v>-200</v>
      </c>
      <c r="G50" s="372">
        <v>-200</v>
      </c>
      <c r="H50" s="372">
        <v>-200</v>
      </c>
      <c r="I50" s="372">
        <v>-200</v>
      </c>
      <c r="J50" s="372">
        <v>-200</v>
      </c>
      <c r="K50" s="372">
        <v>-200</v>
      </c>
      <c r="L50" s="372">
        <v>-200</v>
      </c>
      <c r="M50" s="372">
        <v>-200</v>
      </c>
      <c r="N50" s="372">
        <v>-200</v>
      </c>
      <c r="O50" s="372">
        <v>-200</v>
      </c>
      <c r="P50" s="372">
        <v>-200</v>
      </c>
      <c r="Q50" s="372">
        <v>-200</v>
      </c>
      <c r="R50" s="372">
        <v>-200</v>
      </c>
      <c r="S50" s="372">
        <v>-200</v>
      </c>
      <c r="T50" s="372">
        <v>-200</v>
      </c>
      <c r="U50" s="372">
        <f t="shared" si="12"/>
        <v>-2400</v>
      </c>
    </row>
    <row r="51" spans="1:21" ht="15" customHeight="1" x14ac:dyDescent="0.3">
      <c r="A51" s="9"/>
      <c r="B51" s="9"/>
      <c r="C51" s="136" t="s">
        <v>119</v>
      </c>
      <c r="D51" s="9"/>
      <c r="E51" s="9"/>
      <c r="F51" s="334" t="s">
        <v>190</v>
      </c>
      <c r="G51" s="334" t="s">
        <v>190</v>
      </c>
      <c r="H51" s="334" t="s">
        <v>190</v>
      </c>
      <c r="I51" s="334" t="s">
        <v>190</v>
      </c>
      <c r="J51" s="334" t="s">
        <v>190</v>
      </c>
      <c r="K51" s="334" t="s">
        <v>190</v>
      </c>
      <c r="L51" s="334" t="s">
        <v>190</v>
      </c>
      <c r="M51" s="334" t="s">
        <v>190</v>
      </c>
      <c r="N51" s="334" t="s">
        <v>190</v>
      </c>
      <c r="O51" s="334" t="s">
        <v>190</v>
      </c>
      <c r="P51" s="334" t="s">
        <v>190</v>
      </c>
      <c r="Q51" s="334" t="s">
        <v>190</v>
      </c>
      <c r="R51" s="334" t="s">
        <v>190</v>
      </c>
      <c r="S51" s="334" t="s">
        <v>190</v>
      </c>
      <c r="T51" s="334" t="s">
        <v>190</v>
      </c>
      <c r="U51" s="321">
        <f t="shared" si="12"/>
        <v>0</v>
      </c>
    </row>
    <row r="52" spans="1:21" ht="15" customHeight="1" x14ac:dyDescent="0.3">
      <c r="A52" s="9"/>
      <c r="B52" s="9"/>
      <c r="C52" s="136" t="s">
        <v>120</v>
      </c>
      <c r="D52" s="9"/>
      <c r="E52" s="9"/>
      <c r="F52" s="334" t="s">
        <v>190</v>
      </c>
      <c r="G52" s="334" t="s">
        <v>190</v>
      </c>
      <c r="H52" s="334" t="s">
        <v>190</v>
      </c>
      <c r="I52" s="334" t="s">
        <v>190</v>
      </c>
      <c r="J52" s="334" t="s">
        <v>190</v>
      </c>
      <c r="K52" s="334" t="s">
        <v>190</v>
      </c>
      <c r="L52" s="334" t="s">
        <v>190</v>
      </c>
      <c r="M52" s="334" t="s">
        <v>190</v>
      </c>
      <c r="N52" s="334" t="s">
        <v>190</v>
      </c>
      <c r="O52" s="334" t="s">
        <v>190</v>
      </c>
      <c r="P52" s="334" t="s">
        <v>190</v>
      </c>
      <c r="Q52" s="334" t="s">
        <v>190</v>
      </c>
      <c r="R52" s="334" t="s">
        <v>190</v>
      </c>
      <c r="S52" s="334" t="s">
        <v>190</v>
      </c>
      <c r="T52" s="334" t="s">
        <v>190</v>
      </c>
      <c r="U52" s="321">
        <f t="shared" si="12"/>
        <v>0</v>
      </c>
    </row>
    <row r="53" spans="1:21" ht="15" customHeight="1" x14ac:dyDescent="0.3">
      <c r="A53" s="9"/>
      <c r="B53" s="9"/>
      <c r="C53" s="136"/>
      <c r="D53" s="9"/>
      <c r="E53" s="9"/>
      <c r="F53" s="330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204"/>
    </row>
    <row r="54" spans="1:21" x14ac:dyDescent="0.3">
      <c r="A54" s="147"/>
      <c r="B54" s="147"/>
      <c r="C54" s="173" t="s">
        <v>123</v>
      </c>
      <c r="D54" s="147"/>
      <c r="E54" s="147"/>
      <c r="F54" s="201">
        <f t="shared" ref="F54:T54" si="14">SUM(F47:F52)</f>
        <v>-1443</v>
      </c>
      <c r="G54" s="201">
        <f t="shared" si="14"/>
        <v>-1443</v>
      </c>
      <c r="H54" s="201">
        <f t="shared" si="14"/>
        <v>-1443</v>
      </c>
      <c r="I54" s="201">
        <f t="shared" si="14"/>
        <v>-1443</v>
      </c>
      <c r="J54" s="201">
        <f t="shared" si="14"/>
        <v>-1443</v>
      </c>
      <c r="K54" s="201">
        <f t="shared" si="14"/>
        <v>-1443</v>
      </c>
      <c r="L54" s="201">
        <f t="shared" si="14"/>
        <v>-1443</v>
      </c>
      <c r="M54" s="201">
        <f t="shared" si="14"/>
        <v>-1443</v>
      </c>
      <c r="N54" s="201">
        <f t="shared" si="14"/>
        <v>-1443</v>
      </c>
      <c r="O54" s="201">
        <f t="shared" si="14"/>
        <v>-1443</v>
      </c>
      <c r="P54" s="201">
        <f t="shared" si="14"/>
        <v>-1443</v>
      </c>
      <c r="Q54" s="201">
        <f t="shared" si="14"/>
        <v>-1443</v>
      </c>
      <c r="R54" s="201">
        <f t="shared" si="14"/>
        <v>-1443</v>
      </c>
      <c r="S54" s="201">
        <f t="shared" si="14"/>
        <v>-1443</v>
      </c>
      <c r="T54" s="201">
        <f t="shared" si="14"/>
        <v>-1443</v>
      </c>
      <c r="U54" s="201">
        <f t="shared" si="12"/>
        <v>-17316</v>
      </c>
    </row>
    <row r="55" spans="1:21" x14ac:dyDescent="0.3">
      <c r="A55" s="148"/>
      <c r="B55" s="148"/>
      <c r="C55" s="184" t="s">
        <v>124</v>
      </c>
      <c r="D55" s="148"/>
      <c r="E55" s="148"/>
      <c r="F55" s="203">
        <v>-5063</v>
      </c>
      <c r="G55" s="203">
        <v>-5063</v>
      </c>
      <c r="H55" s="203">
        <v>-5063</v>
      </c>
      <c r="I55" s="203">
        <v>-5063</v>
      </c>
      <c r="J55" s="203">
        <v>-5063</v>
      </c>
      <c r="K55" s="203">
        <v>-5063</v>
      </c>
      <c r="L55" s="203">
        <v>-5063</v>
      </c>
      <c r="M55" s="203">
        <v>-5063</v>
      </c>
      <c r="N55" s="203">
        <v>-5063</v>
      </c>
      <c r="O55" s="203">
        <v>-5063</v>
      </c>
      <c r="P55" s="203">
        <v>-5063</v>
      </c>
      <c r="Q55" s="203">
        <v>-5063</v>
      </c>
      <c r="R55" s="203">
        <v>-5063</v>
      </c>
      <c r="S55" s="203">
        <v>-5063</v>
      </c>
      <c r="T55" s="203">
        <v>-5063</v>
      </c>
      <c r="U55" s="203">
        <f t="shared" si="12"/>
        <v>-60756</v>
      </c>
    </row>
    <row r="56" spans="1:21" x14ac:dyDescent="0.3">
      <c r="A56" s="9"/>
      <c r="B56" s="9"/>
      <c r="C56" s="134"/>
      <c r="D56" s="9"/>
      <c r="E56" s="9"/>
      <c r="F56" s="330"/>
      <c r="G56" s="330"/>
      <c r="H56" s="330"/>
      <c r="I56" s="330"/>
      <c r="J56" s="330"/>
      <c r="K56" s="330"/>
      <c r="L56" s="330"/>
      <c r="M56" s="330"/>
      <c r="N56" s="330"/>
      <c r="O56" s="330"/>
      <c r="P56" s="330"/>
      <c r="Q56" s="330"/>
      <c r="R56" s="330"/>
      <c r="S56" s="330"/>
      <c r="T56" s="330"/>
      <c r="U56" s="204"/>
    </row>
    <row r="57" spans="1:21" x14ac:dyDescent="0.3">
      <c r="A57" s="9"/>
      <c r="B57" s="9"/>
      <c r="C57" s="135" t="s">
        <v>24</v>
      </c>
      <c r="D57" s="9"/>
      <c r="E57" s="9"/>
      <c r="F57" s="330"/>
      <c r="G57" s="330"/>
      <c r="H57" s="330"/>
      <c r="I57" s="330"/>
      <c r="J57" s="330"/>
      <c r="K57" s="330"/>
      <c r="L57" s="330"/>
      <c r="M57" s="330"/>
      <c r="N57" s="330"/>
      <c r="O57" s="330"/>
      <c r="P57" s="330"/>
      <c r="Q57" s="330"/>
      <c r="R57" s="330"/>
      <c r="S57" s="330"/>
      <c r="T57" s="330"/>
      <c r="U57" s="204"/>
    </row>
    <row r="58" spans="1:21" x14ac:dyDescent="0.3">
      <c r="A58" s="9"/>
      <c r="B58" s="9"/>
      <c r="C58" s="136" t="s">
        <v>269</v>
      </c>
      <c r="D58" s="9"/>
      <c r="E58" s="9"/>
      <c r="F58" s="372">
        <v>-1750</v>
      </c>
      <c r="G58" s="372">
        <v>-1750</v>
      </c>
      <c r="H58" s="372">
        <v>-1750</v>
      </c>
      <c r="I58" s="372">
        <v>-1750</v>
      </c>
      <c r="J58" s="372">
        <v>-1750</v>
      </c>
      <c r="K58" s="372">
        <v>-1750</v>
      </c>
      <c r="L58" s="372">
        <v>-1750</v>
      </c>
      <c r="M58" s="372">
        <v>-1750</v>
      </c>
      <c r="N58" s="372">
        <v>-1750</v>
      </c>
      <c r="O58" s="372">
        <v>-1750</v>
      </c>
      <c r="P58" s="372">
        <v>-1750</v>
      </c>
      <c r="Q58" s="372">
        <v>-1750</v>
      </c>
      <c r="R58" s="372">
        <v>-1750</v>
      </c>
      <c r="S58" s="372">
        <v>-1750</v>
      </c>
      <c r="T58" s="372">
        <v>-1750</v>
      </c>
      <c r="U58" s="372">
        <f t="shared" si="12"/>
        <v>-21000</v>
      </c>
    </row>
    <row r="59" spans="1:21" x14ac:dyDescent="0.3">
      <c r="A59" s="9"/>
      <c r="B59" s="9"/>
      <c r="C59" s="136" t="s">
        <v>219</v>
      </c>
      <c r="D59" s="9"/>
      <c r="E59" s="9"/>
      <c r="F59" s="372">
        <v>-2550</v>
      </c>
      <c r="G59" s="372">
        <v>-2550</v>
      </c>
      <c r="H59" s="372">
        <v>-2550</v>
      </c>
      <c r="I59" s="372">
        <v>-2550</v>
      </c>
      <c r="J59" s="372">
        <v>-2550</v>
      </c>
      <c r="K59" s="372">
        <v>-2550</v>
      </c>
      <c r="L59" s="372">
        <v>-2550</v>
      </c>
      <c r="M59" s="372">
        <v>-2550</v>
      </c>
      <c r="N59" s="372">
        <v>-2550</v>
      </c>
      <c r="O59" s="372">
        <v>-2550</v>
      </c>
      <c r="P59" s="372">
        <v>-2550</v>
      </c>
      <c r="Q59" s="372">
        <v>-2550</v>
      </c>
      <c r="R59" s="372">
        <v>-2550</v>
      </c>
      <c r="S59" s="372">
        <v>-2550</v>
      </c>
      <c r="T59" s="372">
        <v>-2550</v>
      </c>
      <c r="U59" s="372">
        <f t="shared" si="12"/>
        <v>-30600</v>
      </c>
    </row>
    <row r="60" spans="1:21" x14ac:dyDescent="0.3">
      <c r="A60" s="9"/>
      <c r="B60" s="9"/>
      <c r="C60" s="136" t="s">
        <v>125</v>
      </c>
      <c r="D60" s="9"/>
      <c r="E60" s="9"/>
      <c r="F60" s="372">
        <v>-1700</v>
      </c>
      <c r="G60" s="372">
        <v>-1700</v>
      </c>
      <c r="H60" s="372">
        <v>-1700</v>
      </c>
      <c r="I60" s="372">
        <v>-1700</v>
      </c>
      <c r="J60" s="372">
        <v>-1700</v>
      </c>
      <c r="K60" s="372">
        <v>-1700</v>
      </c>
      <c r="L60" s="372">
        <v>-1700</v>
      </c>
      <c r="M60" s="372">
        <v>-1700</v>
      </c>
      <c r="N60" s="372">
        <v>-1700</v>
      </c>
      <c r="O60" s="372">
        <v>-1700</v>
      </c>
      <c r="P60" s="372">
        <v>-1700</v>
      </c>
      <c r="Q60" s="372">
        <v>-1700</v>
      </c>
      <c r="R60" s="372">
        <v>-1700</v>
      </c>
      <c r="S60" s="372">
        <v>-1700</v>
      </c>
      <c r="T60" s="372">
        <v>-1700</v>
      </c>
      <c r="U60" s="372">
        <f t="shared" si="12"/>
        <v>-20400</v>
      </c>
    </row>
    <row r="61" spans="1:21" x14ac:dyDescent="0.3">
      <c r="A61" s="9"/>
      <c r="B61" s="9"/>
      <c r="C61" s="136" t="s">
        <v>270</v>
      </c>
      <c r="D61" s="9"/>
      <c r="E61" s="9"/>
      <c r="F61" s="372">
        <v>-900</v>
      </c>
      <c r="G61" s="372">
        <v>-900</v>
      </c>
      <c r="H61" s="372">
        <v>-900</v>
      </c>
      <c r="I61" s="372">
        <v>-900</v>
      </c>
      <c r="J61" s="372">
        <v>-900</v>
      </c>
      <c r="K61" s="372">
        <v>-900</v>
      </c>
      <c r="L61" s="372">
        <v>-900</v>
      </c>
      <c r="M61" s="372">
        <v>-900</v>
      </c>
      <c r="N61" s="372">
        <v>-900</v>
      </c>
      <c r="O61" s="372">
        <v>-900</v>
      </c>
      <c r="P61" s="372">
        <v>-900</v>
      </c>
      <c r="Q61" s="372">
        <v>-900</v>
      </c>
      <c r="R61" s="372">
        <v>-900</v>
      </c>
      <c r="S61" s="372">
        <v>-900</v>
      </c>
      <c r="T61" s="372">
        <v>-900</v>
      </c>
      <c r="U61" s="372">
        <f t="shared" si="12"/>
        <v>-10800</v>
      </c>
    </row>
    <row r="62" spans="1:21" x14ac:dyDescent="0.3">
      <c r="A62" s="9"/>
      <c r="B62" s="9"/>
      <c r="C62" s="136" t="s">
        <v>61</v>
      </c>
      <c r="D62" s="9"/>
      <c r="E62" s="9"/>
      <c r="F62" s="372">
        <v>-900</v>
      </c>
      <c r="G62" s="372">
        <v>-900</v>
      </c>
      <c r="H62" s="372">
        <v>-900</v>
      </c>
      <c r="I62" s="372">
        <v>-900</v>
      </c>
      <c r="J62" s="372">
        <v>-900</v>
      </c>
      <c r="K62" s="372">
        <v>-900</v>
      </c>
      <c r="L62" s="372">
        <v>-900</v>
      </c>
      <c r="M62" s="372">
        <v>-900</v>
      </c>
      <c r="N62" s="372">
        <v>-900</v>
      </c>
      <c r="O62" s="372">
        <v>-900</v>
      </c>
      <c r="P62" s="372">
        <v>-900</v>
      </c>
      <c r="Q62" s="372">
        <v>-900</v>
      </c>
      <c r="R62" s="372">
        <v>-900</v>
      </c>
      <c r="S62" s="372">
        <v>-900</v>
      </c>
      <c r="T62" s="372">
        <v>-900</v>
      </c>
      <c r="U62" s="372">
        <f t="shared" si="12"/>
        <v>-10800</v>
      </c>
    </row>
    <row r="63" spans="1:21" x14ac:dyDescent="0.3">
      <c r="A63" s="9"/>
      <c r="B63" s="9"/>
      <c r="C63" s="136" t="s">
        <v>293</v>
      </c>
      <c r="D63" s="9"/>
      <c r="E63" s="9"/>
      <c r="F63" s="330" t="s">
        <v>190</v>
      </c>
      <c r="G63" s="330" t="s">
        <v>190</v>
      </c>
      <c r="H63" s="330" t="s">
        <v>190</v>
      </c>
      <c r="I63" s="330" t="s">
        <v>190</v>
      </c>
      <c r="J63" s="330" t="s">
        <v>190</v>
      </c>
      <c r="K63" s="330" t="s">
        <v>190</v>
      </c>
      <c r="L63" s="330" t="s">
        <v>190</v>
      </c>
      <c r="M63" s="330" t="s">
        <v>190</v>
      </c>
      <c r="N63" s="330" t="s">
        <v>190</v>
      </c>
      <c r="O63" s="330" t="s">
        <v>190</v>
      </c>
      <c r="P63" s="330" t="s">
        <v>190</v>
      </c>
      <c r="Q63" s="330" t="s">
        <v>190</v>
      </c>
      <c r="R63" s="330" t="s">
        <v>190</v>
      </c>
      <c r="S63" s="330" t="s">
        <v>190</v>
      </c>
      <c r="T63" s="330" t="s">
        <v>190</v>
      </c>
      <c r="U63" s="204"/>
    </row>
    <row r="64" spans="1:21" x14ac:dyDescent="0.3">
      <c r="A64" s="9"/>
      <c r="B64" s="9"/>
      <c r="C64" s="136" t="s">
        <v>127</v>
      </c>
      <c r="D64" s="9"/>
      <c r="E64" s="9"/>
      <c r="F64" s="330" t="s">
        <v>190</v>
      </c>
      <c r="G64" s="330" t="s">
        <v>190</v>
      </c>
      <c r="H64" s="330" t="s">
        <v>190</v>
      </c>
      <c r="I64" s="330" t="s">
        <v>190</v>
      </c>
      <c r="J64" s="330" t="s">
        <v>190</v>
      </c>
      <c r="K64" s="330" t="s">
        <v>190</v>
      </c>
      <c r="L64" s="330" t="s">
        <v>190</v>
      </c>
      <c r="M64" s="330" t="s">
        <v>190</v>
      </c>
      <c r="N64" s="330" t="s">
        <v>190</v>
      </c>
      <c r="O64" s="330" t="s">
        <v>190</v>
      </c>
      <c r="P64" s="330" t="s">
        <v>190</v>
      </c>
      <c r="Q64" s="330" t="s">
        <v>190</v>
      </c>
      <c r="R64" s="330" t="s">
        <v>190</v>
      </c>
      <c r="S64" s="330" t="s">
        <v>190</v>
      </c>
      <c r="T64" s="330" t="s">
        <v>190</v>
      </c>
      <c r="U64" s="204"/>
    </row>
    <row r="65" spans="1:21" x14ac:dyDescent="0.3">
      <c r="A65" s="9"/>
      <c r="B65" s="9"/>
      <c r="C65" s="136" t="s">
        <v>128</v>
      </c>
      <c r="D65" s="9"/>
      <c r="E65" s="9"/>
      <c r="F65" s="330" t="s">
        <v>190</v>
      </c>
      <c r="G65" s="330" t="s">
        <v>190</v>
      </c>
      <c r="H65" s="330" t="s">
        <v>190</v>
      </c>
      <c r="I65" s="330" t="s">
        <v>190</v>
      </c>
      <c r="J65" s="330" t="s">
        <v>190</v>
      </c>
      <c r="K65" s="330" t="s">
        <v>190</v>
      </c>
      <c r="L65" s="330" t="s">
        <v>190</v>
      </c>
      <c r="M65" s="330" t="s">
        <v>190</v>
      </c>
      <c r="N65" s="330" t="s">
        <v>190</v>
      </c>
      <c r="O65" s="330" t="s">
        <v>190</v>
      </c>
      <c r="P65" s="330" t="s">
        <v>190</v>
      </c>
      <c r="Q65" s="330" t="s">
        <v>190</v>
      </c>
      <c r="R65" s="330" t="s">
        <v>190</v>
      </c>
      <c r="S65" s="330" t="s">
        <v>190</v>
      </c>
      <c r="T65" s="330" t="s">
        <v>190</v>
      </c>
      <c r="U65" s="204"/>
    </row>
    <row r="66" spans="1:21" x14ac:dyDescent="0.3">
      <c r="A66" s="9"/>
      <c r="B66" s="9"/>
      <c r="C66" s="136"/>
      <c r="D66" s="9"/>
      <c r="E66" s="9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204"/>
    </row>
    <row r="67" spans="1:21" s="108" customFormat="1" ht="14.4" customHeight="1" x14ac:dyDescent="0.3">
      <c r="A67" s="160"/>
      <c r="B67" s="160"/>
      <c r="C67" s="161" t="s">
        <v>136</v>
      </c>
      <c r="D67" s="160"/>
      <c r="E67" s="160"/>
      <c r="F67" s="382">
        <f t="shared" ref="F67:T67" si="15">SUM(F58:F65)</f>
        <v>-7800</v>
      </c>
      <c r="G67" s="382">
        <f t="shared" si="15"/>
        <v>-7800</v>
      </c>
      <c r="H67" s="382">
        <f t="shared" si="15"/>
        <v>-7800</v>
      </c>
      <c r="I67" s="382">
        <f t="shared" si="15"/>
        <v>-7800</v>
      </c>
      <c r="J67" s="382">
        <f t="shared" si="15"/>
        <v>-7800</v>
      </c>
      <c r="K67" s="382">
        <f t="shared" si="15"/>
        <v>-7800</v>
      </c>
      <c r="L67" s="382">
        <f t="shared" si="15"/>
        <v>-7800</v>
      </c>
      <c r="M67" s="382">
        <f t="shared" si="15"/>
        <v>-7800</v>
      </c>
      <c r="N67" s="382">
        <f t="shared" si="15"/>
        <v>-7800</v>
      </c>
      <c r="O67" s="382">
        <f t="shared" si="15"/>
        <v>-7800</v>
      </c>
      <c r="P67" s="382">
        <f t="shared" si="15"/>
        <v>-7800</v>
      </c>
      <c r="Q67" s="382">
        <f t="shared" si="15"/>
        <v>-7800</v>
      </c>
      <c r="R67" s="382">
        <f t="shared" si="15"/>
        <v>-7800</v>
      </c>
      <c r="S67" s="382">
        <f t="shared" si="15"/>
        <v>-7800</v>
      </c>
      <c r="T67" s="382">
        <f t="shared" si="15"/>
        <v>-7800</v>
      </c>
      <c r="U67" s="201">
        <f t="shared" si="12"/>
        <v>-93600</v>
      </c>
    </row>
    <row r="68" spans="1:21" s="108" customFormat="1" ht="14.4" customHeight="1" x14ac:dyDescent="0.3">
      <c r="A68" s="163"/>
      <c r="B68" s="163"/>
      <c r="C68" s="164" t="s">
        <v>6</v>
      </c>
      <c r="D68" s="163"/>
      <c r="E68" s="163"/>
      <c r="F68" s="383">
        <f t="shared" ref="F68:T68" si="16">F34+F35+F54+F67</f>
        <v>18470</v>
      </c>
      <c r="G68" s="383">
        <f t="shared" si="16"/>
        <v>18470</v>
      </c>
      <c r="H68" s="383">
        <f t="shared" si="16"/>
        <v>36262</v>
      </c>
      <c r="I68" s="383">
        <f t="shared" si="16"/>
        <v>39946</v>
      </c>
      <c r="J68" s="383">
        <f t="shared" si="16"/>
        <v>40993</v>
      </c>
      <c r="K68" s="383">
        <f t="shared" si="16"/>
        <v>43761</v>
      </c>
      <c r="L68" s="383">
        <f t="shared" si="16"/>
        <v>50144</v>
      </c>
      <c r="M68" s="383">
        <f t="shared" si="16"/>
        <v>50113</v>
      </c>
      <c r="N68" s="383">
        <f t="shared" si="16"/>
        <v>49125</v>
      </c>
      <c r="O68" s="383">
        <f t="shared" si="16"/>
        <v>41559</v>
      </c>
      <c r="P68" s="383">
        <f t="shared" si="16"/>
        <v>41462</v>
      </c>
      <c r="Q68" s="383">
        <f t="shared" si="16"/>
        <v>41832</v>
      </c>
      <c r="R68" s="383">
        <f t="shared" si="16"/>
        <v>18470</v>
      </c>
      <c r="S68" s="383">
        <f t="shared" si="16"/>
        <v>18470</v>
      </c>
      <c r="T68" s="383">
        <f t="shared" si="16"/>
        <v>36262</v>
      </c>
      <c r="U68" s="203">
        <f t="shared" si="12"/>
        <v>472137</v>
      </c>
    </row>
    <row r="69" spans="1:21" s="106" customFormat="1" ht="14.4" customHeight="1" x14ac:dyDescent="0.3">
      <c r="A69" s="335"/>
      <c r="B69" s="335"/>
      <c r="C69" s="336"/>
      <c r="D69" s="335"/>
      <c r="E69" s="335"/>
      <c r="F69" s="384"/>
      <c r="G69" s="384"/>
      <c r="H69" s="384"/>
      <c r="I69" s="384"/>
      <c r="J69" s="384"/>
      <c r="K69" s="384"/>
      <c r="L69" s="384"/>
      <c r="M69" s="384"/>
      <c r="N69" s="384"/>
      <c r="O69" s="384"/>
      <c r="P69" s="384"/>
      <c r="Q69" s="384"/>
      <c r="R69" s="384"/>
      <c r="S69" s="384"/>
      <c r="T69" s="384"/>
      <c r="U69" s="348"/>
    </row>
    <row r="70" spans="1:21" s="108" customFormat="1" ht="14.4" customHeight="1" x14ac:dyDescent="0.3">
      <c r="A70" s="106"/>
      <c r="B70" s="106"/>
      <c r="C70" s="137" t="s">
        <v>137</v>
      </c>
      <c r="D70" s="106"/>
      <c r="E70" s="106"/>
      <c r="F70" s="385">
        <v>-1711</v>
      </c>
      <c r="G70" s="385">
        <v>-1711</v>
      </c>
      <c r="H70" s="385">
        <v>-1711</v>
      </c>
      <c r="I70" s="385">
        <v>-1711</v>
      </c>
      <c r="J70" s="385">
        <v>-1711</v>
      </c>
      <c r="K70" s="385">
        <v>-1711</v>
      </c>
      <c r="L70" s="385">
        <v>-1711</v>
      </c>
      <c r="M70" s="385">
        <v>-1711</v>
      </c>
      <c r="N70" s="385">
        <v>-1711</v>
      </c>
      <c r="O70" s="385">
        <v>-1711</v>
      </c>
      <c r="P70" s="385">
        <v>-1711</v>
      </c>
      <c r="Q70" s="385">
        <v>-1711</v>
      </c>
      <c r="R70" s="385">
        <v>-1450</v>
      </c>
      <c r="S70" s="385">
        <v>-1450</v>
      </c>
      <c r="T70" s="385">
        <v>-1450</v>
      </c>
      <c r="U70" s="372">
        <f t="shared" si="12"/>
        <v>-20532</v>
      </c>
    </row>
    <row r="71" spans="1:21" s="108" customFormat="1" ht="25.05" customHeight="1" x14ac:dyDescent="0.3">
      <c r="A71" s="106"/>
      <c r="B71" s="106"/>
      <c r="C71" s="137" t="s">
        <v>8</v>
      </c>
      <c r="D71" s="106"/>
      <c r="E71" s="106"/>
      <c r="F71" s="386">
        <f>F68+F70</f>
        <v>16759</v>
      </c>
      <c r="G71" s="386">
        <f t="shared" ref="G71:T71" si="17">G68+G70</f>
        <v>16759</v>
      </c>
      <c r="H71" s="386">
        <f t="shared" si="17"/>
        <v>34551</v>
      </c>
      <c r="I71" s="386">
        <f t="shared" si="17"/>
        <v>38235</v>
      </c>
      <c r="J71" s="386">
        <f t="shared" si="17"/>
        <v>39282</v>
      </c>
      <c r="K71" s="386">
        <f t="shared" si="17"/>
        <v>42050</v>
      </c>
      <c r="L71" s="386">
        <f t="shared" si="17"/>
        <v>48433</v>
      </c>
      <c r="M71" s="386">
        <f t="shared" si="17"/>
        <v>48402</v>
      </c>
      <c r="N71" s="386">
        <f t="shared" si="17"/>
        <v>47414</v>
      </c>
      <c r="O71" s="386">
        <f t="shared" si="17"/>
        <v>39848</v>
      </c>
      <c r="P71" s="386">
        <f t="shared" si="17"/>
        <v>39751</v>
      </c>
      <c r="Q71" s="386">
        <f t="shared" si="17"/>
        <v>40121</v>
      </c>
      <c r="R71" s="386">
        <f t="shared" si="17"/>
        <v>17020</v>
      </c>
      <c r="S71" s="386">
        <f t="shared" si="17"/>
        <v>17020</v>
      </c>
      <c r="T71" s="387">
        <f t="shared" si="17"/>
        <v>34812</v>
      </c>
      <c r="U71" s="321">
        <f t="shared" si="12"/>
        <v>451605</v>
      </c>
    </row>
    <row r="72" spans="1:21" s="108" customFormat="1" ht="25.05" customHeight="1" x14ac:dyDescent="0.3">
      <c r="A72" s="106"/>
      <c r="B72" s="106"/>
      <c r="C72" s="140" t="s">
        <v>138</v>
      </c>
      <c r="D72" s="141"/>
      <c r="E72" s="106"/>
      <c r="F72" s="377">
        <f>('BS 2023'!F27)*0.2</f>
        <v>-30000</v>
      </c>
      <c r="G72" s="377">
        <f>('BS 2023'!G27)*0.2</f>
        <v>-29340</v>
      </c>
      <c r="H72" s="377">
        <f>('BS 2023'!H27)*0.2</f>
        <v>-28680</v>
      </c>
      <c r="I72" s="377">
        <f>('BS 2023'!I27)*0.2</f>
        <v>-28020</v>
      </c>
      <c r="J72" s="377">
        <f>('BS 2023'!J27)*0.2</f>
        <v>-27360</v>
      </c>
      <c r="K72" s="377">
        <f>('BS 2023'!K27)*0.2</f>
        <v>-26700</v>
      </c>
      <c r="L72" s="377">
        <f>('BS 2023'!L27)*0.2</f>
        <v>-26040</v>
      </c>
      <c r="M72" s="377">
        <f>('BS 2023'!M27)*0.2</f>
        <v>-25380</v>
      </c>
      <c r="N72" s="377">
        <f>('BS 2023'!N27)*0.2</f>
        <v>-24720</v>
      </c>
      <c r="O72" s="377">
        <f>('BS 2023'!O27)*0.2</f>
        <v>-24060</v>
      </c>
      <c r="P72" s="377">
        <f>('BS 2023'!P27)*0.2</f>
        <v>-23400</v>
      </c>
      <c r="Q72" s="377">
        <f>('BS 2023'!Q27)*0.2</f>
        <v>-22740</v>
      </c>
      <c r="R72" s="377">
        <f>('BS 2023'!R27)*0.2</f>
        <v>-22080</v>
      </c>
      <c r="S72" s="377">
        <f>('BS 2023'!S27)*0.2</f>
        <v>-21420</v>
      </c>
      <c r="T72" s="377">
        <f>('BS 2023'!T27)*0.2</f>
        <v>-20760</v>
      </c>
      <c r="U72" s="377">
        <f>SUM(F72:Q72)</f>
        <v>-316440</v>
      </c>
    </row>
    <row r="73" spans="1:21" s="108" customFormat="1" ht="25.05" customHeight="1" x14ac:dyDescent="0.3">
      <c r="A73" s="106"/>
      <c r="B73" s="106"/>
      <c r="C73" s="137" t="s">
        <v>10</v>
      </c>
      <c r="D73" s="106"/>
      <c r="E73" s="106"/>
      <c r="F73" s="386">
        <f t="shared" ref="F73:T73" si="18">F34+F35+F54+F67</f>
        <v>18470</v>
      </c>
      <c r="G73" s="386">
        <f t="shared" si="18"/>
        <v>18470</v>
      </c>
      <c r="H73" s="386">
        <f t="shared" si="18"/>
        <v>36262</v>
      </c>
      <c r="I73" s="386">
        <f t="shared" si="18"/>
        <v>39946</v>
      </c>
      <c r="J73" s="386">
        <f t="shared" si="18"/>
        <v>40993</v>
      </c>
      <c r="K73" s="386">
        <f t="shared" si="18"/>
        <v>43761</v>
      </c>
      <c r="L73" s="386">
        <f t="shared" si="18"/>
        <v>50144</v>
      </c>
      <c r="M73" s="386">
        <f t="shared" si="18"/>
        <v>50113</v>
      </c>
      <c r="N73" s="386">
        <f t="shared" si="18"/>
        <v>49125</v>
      </c>
      <c r="O73" s="386">
        <f t="shared" si="18"/>
        <v>41559</v>
      </c>
      <c r="P73" s="386">
        <f t="shared" si="18"/>
        <v>41462</v>
      </c>
      <c r="Q73" s="386">
        <f t="shared" si="18"/>
        <v>41832</v>
      </c>
      <c r="R73" s="386">
        <f t="shared" si="18"/>
        <v>18470</v>
      </c>
      <c r="S73" s="386">
        <f t="shared" si="18"/>
        <v>18470</v>
      </c>
      <c r="T73" s="387">
        <f t="shared" si="18"/>
        <v>36262</v>
      </c>
      <c r="U73" s="321">
        <f t="shared" si="12"/>
        <v>472137</v>
      </c>
    </row>
    <row r="74" spans="1:21" s="108" customFormat="1" ht="25.05" customHeight="1" x14ac:dyDescent="0.3">
      <c r="A74" s="106"/>
      <c r="B74" s="106"/>
      <c r="C74" s="140" t="s">
        <v>11</v>
      </c>
      <c r="D74" s="106"/>
      <c r="E74" s="106"/>
      <c r="F74" s="377">
        <f>(F73*0.2)*-1</f>
        <v>-3694</v>
      </c>
      <c r="G74" s="377">
        <f t="shared" ref="G74:T74" si="19">(G73*0.2)*-1</f>
        <v>-3694</v>
      </c>
      <c r="H74" s="377">
        <f t="shared" si="19"/>
        <v>-7252.4000000000005</v>
      </c>
      <c r="I74" s="377">
        <f t="shared" si="19"/>
        <v>-7989.2000000000007</v>
      </c>
      <c r="J74" s="377">
        <f t="shared" si="19"/>
        <v>-8198.6</v>
      </c>
      <c r="K74" s="377">
        <f t="shared" si="19"/>
        <v>-8752.2000000000007</v>
      </c>
      <c r="L74" s="377">
        <f t="shared" si="19"/>
        <v>-10028.800000000001</v>
      </c>
      <c r="M74" s="377">
        <f t="shared" si="19"/>
        <v>-10022.6</v>
      </c>
      <c r="N74" s="377">
        <f t="shared" si="19"/>
        <v>-9825</v>
      </c>
      <c r="O74" s="377">
        <f t="shared" si="19"/>
        <v>-8311.8000000000011</v>
      </c>
      <c r="P74" s="377">
        <f t="shared" si="19"/>
        <v>-8292.4</v>
      </c>
      <c r="Q74" s="377">
        <f t="shared" si="19"/>
        <v>-8366.4</v>
      </c>
      <c r="R74" s="377">
        <f t="shared" si="19"/>
        <v>-3694</v>
      </c>
      <c r="S74" s="377">
        <f t="shared" si="19"/>
        <v>-3694</v>
      </c>
      <c r="T74" s="377">
        <f t="shared" si="19"/>
        <v>-7252.4000000000005</v>
      </c>
      <c r="U74" s="377">
        <f t="shared" si="12"/>
        <v>-94427.400000000009</v>
      </c>
    </row>
    <row r="75" spans="1:21" s="108" customFormat="1" ht="14.4" customHeight="1" x14ac:dyDescent="0.3">
      <c r="A75" s="166"/>
      <c r="B75" s="166"/>
      <c r="C75" s="167" t="s">
        <v>12</v>
      </c>
      <c r="D75" s="166"/>
      <c r="E75" s="166"/>
      <c r="F75" s="378">
        <f>F73+F74</f>
        <v>14776</v>
      </c>
      <c r="G75" s="378">
        <f>G73+G74</f>
        <v>14776</v>
      </c>
      <c r="H75" s="378">
        <f t="shared" ref="H75:T75" si="20">H73+H74</f>
        <v>29009.599999999999</v>
      </c>
      <c r="I75" s="378">
        <f t="shared" si="20"/>
        <v>31956.799999999999</v>
      </c>
      <c r="J75" s="378">
        <f t="shared" si="20"/>
        <v>32794.400000000001</v>
      </c>
      <c r="K75" s="378">
        <f t="shared" si="20"/>
        <v>35008.800000000003</v>
      </c>
      <c r="L75" s="378">
        <f t="shared" si="20"/>
        <v>40115.199999999997</v>
      </c>
      <c r="M75" s="378">
        <f t="shared" si="20"/>
        <v>40090.400000000001</v>
      </c>
      <c r="N75" s="378">
        <f t="shared" si="20"/>
        <v>39300</v>
      </c>
      <c r="O75" s="378">
        <f t="shared" si="20"/>
        <v>33247.199999999997</v>
      </c>
      <c r="P75" s="378">
        <f t="shared" si="20"/>
        <v>33169.599999999999</v>
      </c>
      <c r="Q75" s="378">
        <f t="shared" si="20"/>
        <v>33465.599999999999</v>
      </c>
      <c r="R75" s="378">
        <f t="shared" si="20"/>
        <v>14776</v>
      </c>
      <c r="S75" s="378">
        <f t="shared" si="20"/>
        <v>14776</v>
      </c>
      <c r="T75" s="378">
        <f t="shared" si="20"/>
        <v>29009.599999999999</v>
      </c>
      <c r="U75" s="379">
        <f t="shared" si="12"/>
        <v>377709.59999999992</v>
      </c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</row>
    <row r="80" spans="1:21" x14ac:dyDescent="0.3">
      <c r="F80"/>
    </row>
    <row r="81" spans="6:7" x14ac:dyDescent="0.3">
      <c r="F81"/>
    </row>
    <row r="82" spans="6:7" x14ac:dyDescent="0.3">
      <c r="F82"/>
    </row>
    <row r="83" spans="6:7" x14ac:dyDescent="0.3">
      <c r="F83"/>
    </row>
    <row r="84" spans="6:7" x14ac:dyDescent="0.3">
      <c r="F84"/>
    </row>
    <row r="85" spans="6:7" x14ac:dyDescent="0.3">
      <c r="F85"/>
    </row>
    <row r="86" spans="6:7" x14ac:dyDescent="0.3">
      <c r="F86"/>
    </row>
    <row r="87" spans="6:7" x14ac:dyDescent="0.3">
      <c r="F87"/>
    </row>
    <row r="88" spans="6:7" x14ac:dyDescent="0.3">
      <c r="F88"/>
    </row>
    <row r="89" spans="6:7" x14ac:dyDescent="0.3">
      <c r="F89"/>
      <c r="G89" s="1"/>
    </row>
    <row r="90" spans="6:7" x14ac:dyDescent="0.3">
      <c r="F90"/>
    </row>
    <row r="91" spans="6:7" x14ac:dyDescent="0.3">
      <c r="F91"/>
    </row>
    <row r="92" spans="6:7" x14ac:dyDescent="0.3">
      <c r="F92"/>
    </row>
    <row r="93" spans="6:7" x14ac:dyDescent="0.3">
      <c r="F93"/>
    </row>
  </sheetData>
  <mergeCells count="1">
    <mergeCell ref="C10:D10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5A0F-C2A6-4DF8-816A-CC39E2F00761}">
  <sheetPr codeName="Sheet22"/>
  <dimension ref="A2:V81"/>
  <sheetViews>
    <sheetView showGridLines="0" zoomScale="91" zoomScaleNormal="91" workbookViewId="0">
      <selection activeCell="J83" sqref="J83"/>
    </sheetView>
  </sheetViews>
  <sheetFormatPr defaultRowHeight="14.4" x14ac:dyDescent="0.3"/>
  <cols>
    <col min="1" max="1" width="2.77734375" customWidth="1"/>
    <col min="3" max="3" width="8.88671875" customWidth="1"/>
    <col min="7" max="7" width="12.44140625" customWidth="1"/>
    <col min="8" max="8" width="11.109375" customWidth="1"/>
    <col min="9" max="14" width="11.21875" bestFit="1" customWidth="1"/>
    <col min="15" max="15" width="9.88671875" customWidth="1"/>
    <col min="16" max="18" width="11.21875" bestFit="1" customWidth="1"/>
    <col min="19" max="19" width="9.5546875" customWidth="1"/>
    <col min="20" max="21" width="11.21875" bestFit="1" customWidth="1"/>
    <col min="22" max="22" width="11.33203125" customWidth="1"/>
  </cols>
  <sheetData>
    <row r="2" spans="1:22" ht="18" x14ac:dyDescent="0.35">
      <c r="A2" s="128" t="s">
        <v>142</v>
      </c>
      <c r="C2" s="127"/>
      <c r="D2" s="9"/>
    </row>
    <row r="4" spans="1:22" x14ac:dyDescent="0.3">
      <c r="A4" s="142"/>
      <c r="B4" s="173" t="s">
        <v>64</v>
      </c>
      <c r="C4" s="147"/>
      <c r="D4" s="147"/>
      <c r="E4" s="147"/>
      <c r="F4" s="147"/>
      <c r="G4" s="175">
        <v>44927</v>
      </c>
      <c r="H4" s="175">
        <v>44958</v>
      </c>
      <c r="I4" s="175">
        <v>44986</v>
      </c>
      <c r="J4" s="175">
        <v>45017</v>
      </c>
      <c r="K4" s="175">
        <v>45047</v>
      </c>
      <c r="L4" s="175">
        <v>45078</v>
      </c>
      <c r="M4" s="175">
        <v>45108</v>
      </c>
      <c r="N4" s="175">
        <v>45139</v>
      </c>
      <c r="O4" s="175">
        <v>45170</v>
      </c>
      <c r="P4" s="175">
        <v>45200</v>
      </c>
      <c r="Q4" s="175">
        <v>45231</v>
      </c>
      <c r="R4" s="175">
        <v>45261</v>
      </c>
      <c r="S4" s="175">
        <v>45292</v>
      </c>
      <c r="T4" s="175">
        <v>45323</v>
      </c>
      <c r="U4" s="175">
        <v>45352</v>
      </c>
      <c r="V4" s="175" t="s">
        <v>72</v>
      </c>
    </row>
    <row r="5" spans="1:22" x14ac:dyDescent="0.3"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3">
      <c r="B6" s="14" t="s">
        <v>168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x14ac:dyDescent="0.3">
      <c r="A7" s="147"/>
      <c r="B7" s="173" t="s">
        <v>145</v>
      </c>
      <c r="C7" s="147"/>
      <c r="D7" s="147"/>
      <c r="E7" s="147"/>
      <c r="F7" s="147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</row>
    <row r="8" spans="1:22" x14ac:dyDescent="0.3">
      <c r="B8" s="302" t="s">
        <v>37</v>
      </c>
      <c r="C8" s="303"/>
      <c r="D8" s="303"/>
      <c r="E8" s="303"/>
      <c r="F8" s="303"/>
      <c r="G8" s="304">
        <f>SUM(G14+G22+G30)</f>
        <v>31047</v>
      </c>
      <c r="H8" s="304">
        <f t="shared" ref="H8:U8" si="0">SUM(H14+H22+H30)</f>
        <v>31047</v>
      </c>
      <c r="I8" s="304">
        <f t="shared" si="0"/>
        <v>48839</v>
      </c>
      <c r="J8" s="304">
        <f t="shared" si="0"/>
        <v>52523</v>
      </c>
      <c r="K8" s="304">
        <f t="shared" si="0"/>
        <v>53570</v>
      </c>
      <c r="L8" s="304">
        <f t="shared" si="0"/>
        <v>56338</v>
      </c>
      <c r="M8" s="304">
        <f t="shared" si="0"/>
        <v>62721</v>
      </c>
      <c r="N8" s="304">
        <f t="shared" si="0"/>
        <v>62690</v>
      </c>
      <c r="O8" s="304">
        <f t="shared" si="0"/>
        <v>61702</v>
      </c>
      <c r="P8" s="304">
        <f t="shared" si="0"/>
        <v>54136</v>
      </c>
      <c r="Q8" s="304">
        <f t="shared" si="0"/>
        <v>54039</v>
      </c>
      <c r="R8" s="304">
        <f t="shared" si="0"/>
        <v>54409</v>
      </c>
      <c r="S8" s="304">
        <f t="shared" si="0"/>
        <v>31047</v>
      </c>
      <c r="T8" s="304">
        <f t="shared" si="0"/>
        <v>31047</v>
      </c>
      <c r="U8" s="304">
        <f t="shared" si="0"/>
        <v>48839</v>
      </c>
      <c r="V8" s="351">
        <f>SUM(G8:R8)</f>
        <v>623061</v>
      </c>
    </row>
    <row r="9" spans="1:22" x14ac:dyDescent="0.3">
      <c r="B9" s="302"/>
      <c r="C9" s="303"/>
      <c r="D9" s="303"/>
      <c r="E9" s="303"/>
      <c r="F9" s="303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194"/>
    </row>
    <row r="10" spans="1:22" x14ac:dyDescent="0.3">
      <c r="B10" s="323"/>
      <c r="C10" s="343" t="str">
        <f>'IS 2023'!C10</f>
        <v>AC 7kW @ 45p Kw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338" t="str">
        <f>'IS 2023'!U10</f>
        <v>Average</v>
      </c>
    </row>
    <row r="11" spans="1:22" x14ac:dyDescent="0.3">
      <c r="B11" s="324"/>
      <c r="C11" s="342" t="str">
        <f>'IS 2023'!C11</f>
        <v>Subscription</v>
      </c>
      <c r="E11" s="9"/>
      <c r="F11" s="9"/>
      <c r="G11" s="321">
        <f>'IS 2023'!F11</f>
        <v>4191</v>
      </c>
      <c r="H11" s="321">
        <f>'IS 2023'!G11</f>
        <v>4191</v>
      </c>
      <c r="I11" s="321">
        <f>'IS 2023'!H11</f>
        <v>4191</v>
      </c>
      <c r="J11" s="321">
        <f>'IS 2023'!I11</f>
        <v>4891</v>
      </c>
      <c r="K11" s="321">
        <f>'IS 2023'!J11</f>
        <v>5191</v>
      </c>
      <c r="L11" s="321">
        <f>'IS 2023'!K11</f>
        <v>5391</v>
      </c>
      <c r="M11" s="321">
        <f>'IS 2023'!L11</f>
        <v>5222</v>
      </c>
      <c r="N11" s="321">
        <f>'IS 2023'!M11</f>
        <v>5191</v>
      </c>
      <c r="O11" s="321">
        <f>'IS 2023'!N11</f>
        <v>5203</v>
      </c>
      <c r="P11" s="321">
        <f>'IS 2023'!O11</f>
        <v>5203</v>
      </c>
      <c r="Q11" s="321">
        <f>'IS 2023'!P11</f>
        <v>5191</v>
      </c>
      <c r="R11" s="321">
        <f>'IS 2023'!Q11</f>
        <v>5187</v>
      </c>
      <c r="S11" s="321">
        <f>'IS 2023'!R11</f>
        <v>4191</v>
      </c>
      <c r="T11" s="321">
        <f>'IS 2023'!S11</f>
        <v>4191</v>
      </c>
      <c r="U11" s="321">
        <f>'IS 2023'!T11</f>
        <v>4191</v>
      </c>
      <c r="V11" s="321">
        <f>'IS 2023'!U11</f>
        <v>4787.7333333333336</v>
      </c>
    </row>
    <row r="12" spans="1:22" x14ac:dyDescent="0.3">
      <c r="B12" s="324"/>
      <c r="C12" s="342" t="str">
        <f>'IS 2023'!C12</f>
        <v>PAYG</v>
      </c>
      <c r="E12" s="9"/>
      <c r="F12" s="9"/>
      <c r="G12" s="321">
        <f>'IS 2023'!F12</f>
        <v>2357</v>
      </c>
      <c r="H12" s="321">
        <f>'IS 2023'!G12</f>
        <v>2357</v>
      </c>
      <c r="I12" s="321">
        <f>'IS 2023'!H12</f>
        <v>2357</v>
      </c>
      <c r="J12" s="321">
        <f>'IS 2023'!I12</f>
        <v>3357</v>
      </c>
      <c r="K12" s="321">
        <f>'IS 2023'!J12</f>
        <v>3557</v>
      </c>
      <c r="L12" s="321">
        <f>'IS 2023'!K12</f>
        <v>3757</v>
      </c>
      <c r="M12" s="321">
        <f>'IS 2023'!L12</f>
        <v>3557</v>
      </c>
      <c r="N12" s="321">
        <f>'IS 2023'!M12</f>
        <v>3557</v>
      </c>
      <c r="O12" s="321">
        <f>'IS 2023'!N12</f>
        <v>3557</v>
      </c>
      <c r="P12" s="321">
        <f>'IS 2023'!O12</f>
        <v>3557</v>
      </c>
      <c r="Q12" s="321">
        <f>'IS 2023'!P12</f>
        <v>3557</v>
      </c>
      <c r="R12" s="321">
        <f>'IS 2023'!Q12</f>
        <v>3557</v>
      </c>
      <c r="S12" s="321">
        <f>'IS 2023'!R12</f>
        <v>2357</v>
      </c>
      <c r="T12" s="321">
        <f>'IS 2023'!S12</f>
        <v>2357</v>
      </c>
      <c r="U12" s="321">
        <f>'IS 2023'!T12</f>
        <v>2357</v>
      </c>
      <c r="V12" s="321">
        <f>'IS 2023'!U12</f>
        <v>3077</v>
      </c>
    </row>
    <row r="13" spans="1:22" x14ac:dyDescent="0.3">
      <c r="B13" s="324"/>
      <c r="C13" s="342" t="str">
        <f>'IS 2023'!C13</f>
        <v>Drop By</v>
      </c>
      <c r="E13" s="9"/>
      <c r="F13" s="9"/>
      <c r="G13" s="321">
        <f>'IS 2023'!F13</f>
        <v>3357</v>
      </c>
      <c r="H13" s="321">
        <f>'IS 2023'!G13</f>
        <v>3357</v>
      </c>
      <c r="I13" s="321">
        <f>'IS 2023'!H13</f>
        <v>3357</v>
      </c>
      <c r="J13" s="321">
        <f>'IS 2023'!I13</f>
        <v>4357</v>
      </c>
      <c r="K13" s="321">
        <f>'IS 2023'!J13</f>
        <v>4010</v>
      </c>
      <c r="L13" s="321">
        <f>'IS 2023'!K13</f>
        <v>4410</v>
      </c>
      <c r="M13" s="321">
        <f>'IS 2023'!L13</f>
        <v>4010</v>
      </c>
      <c r="N13" s="321">
        <f>'IS 2023'!M13</f>
        <v>4010</v>
      </c>
      <c r="O13" s="321">
        <f>'IS 2023'!N13</f>
        <v>4010</v>
      </c>
      <c r="P13" s="321">
        <f>'IS 2023'!O13</f>
        <v>4010</v>
      </c>
      <c r="Q13" s="321">
        <f>'IS 2023'!P13</f>
        <v>4010</v>
      </c>
      <c r="R13" s="321">
        <f>'IS 2023'!Q13</f>
        <v>4010</v>
      </c>
      <c r="S13" s="321">
        <f>'IS 2023'!R13</f>
        <v>3357</v>
      </c>
      <c r="T13" s="321">
        <f>'IS 2023'!S13</f>
        <v>3357</v>
      </c>
      <c r="U13" s="321">
        <f>'IS 2023'!T13</f>
        <v>3357</v>
      </c>
      <c r="V13" s="321">
        <f>'IS 2023'!U13</f>
        <v>3798.6</v>
      </c>
    </row>
    <row r="14" spans="1:22" x14ac:dyDescent="0.3">
      <c r="B14" s="324"/>
      <c r="C14" s="342" t="str">
        <f>'IS 2023'!C14</f>
        <v>Total</v>
      </c>
      <c r="E14" s="9"/>
      <c r="F14" s="9"/>
      <c r="G14" s="321">
        <f>'IS 2023'!F14</f>
        <v>9905</v>
      </c>
      <c r="H14" s="321">
        <f>'IS 2023'!G14</f>
        <v>9905</v>
      </c>
      <c r="I14" s="321">
        <f>'IS 2023'!H14</f>
        <v>9905</v>
      </c>
      <c r="J14" s="321">
        <f>'IS 2023'!I14</f>
        <v>12605</v>
      </c>
      <c r="K14" s="321">
        <f>'IS 2023'!J14</f>
        <v>12758</v>
      </c>
      <c r="L14" s="321">
        <f>'IS 2023'!K14</f>
        <v>13558</v>
      </c>
      <c r="M14" s="321">
        <f>'IS 2023'!L14</f>
        <v>12789</v>
      </c>
      <c r="N14" s="321">
        <f>'IS 2023'!M14</f>
        <v>12758</v>
      </c>
      <c r="O14" s="321">
        <f>'IS 2023'!N14</f>
        <v>12770</v>
      </c>
      <c r="P14" s="321">
        <f>'IS 2023'!O14</f>
        <v>12770</v>
      </c>
      <c r="Q14" s="321">
        <f>'IS 2023'!P14</f>
        <v>12758</v>
      </c>
      <c r="R14" s="321">
        <f>'IS 2023'!Q14</f>
        <v>12754</v>
      </c>
      <c r="S14" s="321">
        <f>'IS 2023'!R14</f>
        <v>9905</v>
      </c>
      <c r="T14" s="321">
        <f>'IS 2023'!S14</f>
        <v>9905</v>
      </c>
      <c r="U14" s="321">
        <f>'IS 2023'!T14</f>
        <v>9905</v>
      </c>
      <c r="V14" s="321">
        <f>'IS 2023'!U14</f>
        <v>11663.333333333334</v>
      </c>
    </row>
    <row r="15" spans="1:22" x14ac:dyDescent="0.3">
      <c r="B15" s="324"/>
      <c r="C15" s="365" t="str">
        <f>'IS 2023'!C15</f>
        <v>Max Traffic Total</v>
      </c>
      <c r="D15" s="366"/>
      <c r="E15" s="367"/>
      <c r="F15" s="367"/>
      <c r="G15" s="333">
        <f>'IS 2023'!F15</f>
        <v>15000</v>
      </c>
      <c r="H15" s="333">
        <f>'IS 2023'!G15</f>
        <v>15000</v>
      </c>
      <c r="I15" s="333">
        <f>'IS 2023'!H15</f>
        <v>15000</v>
      </c>
      <c r="J15" s="333">
        <f>'IS 2023'!I15</f>
        <v>15000</v>
      </c>
      <c r="K15" s="333">
        <f>'IS 2023'!J15</f>
        <v>15000</v>
      </c>
      <c r="L15" s="333">
        <f>'IS 2023'!K15</f>
        <v>15000</v>
      </c>
      <c r="M15" s="333">
        <f>'IS 2023'!L15</f>
        <v>15000</v>
      </c>
      <c r="N15" s="333">
        <f>'IS 2023'!M15</f>
        <v>15000</v>
      </c>
      <c r="O15" s="333">
        <f>'IS 2023'!N15</f>
        <v>15000</v>
      </c>
      <c r="P15" s="333">
        <f>'IS 2023'!O15</f>
        <v>15000</v>
      </c>
      <c r="Q15" s="333">
        <f>'IS 2023'!P15</f>
        <v>15000</v>
      </c>
      <c r="R15" s="333">
        <f>'IS 2023'!Q15</f>
        <v>15000</v>
      </c>
      <c r="S15" s="333">
        <f>'IS 2023'!R15</f>
        <v>15000</v>
      </c>
      <c r="T15" s="333">
        <f>'IS 2023'!S15</f>
        <v>15000</v>
      </c>
      <c r="U15" s="333">
        <f>'IS 2023'!T15</f>
        <v>15000</v>
      </c>
      <c r="V15" s="321">
        <f>'IS 2023'!U15</f>
        <v>15000</v>
      </c>
    </row>
    <row r="16" spans="1:22" x14ac:dyDescent="0.3">
      <c r="B16" s="324"/>
      <c r="C16" s="342" t="str">
        <f>'IS 2023'!C16</f>
        <v>Percentage</v>
      </c>
      <c r="E16" s="9"/>
      <c r="F16" s="9"/>
      <c r="G16" s="322">
        <f>'IS 2023'!F16</f>
        <v>0.66033333333333333</v>
      </c>
      <c r="H16" s="322">
        <f>'IS 2023'!G16</f>
        <v>0.66033333333333333</v>
      </c>
      <c r="I16" s="322">
        <f>'IS 2023'!H16</f>
        <v>0.66033333333333333</v>
      </c>
      <c r="J16" s="322">
        <f>'IS 2023'!I16</f>
        <v>0.84033333333333338</v>
      </c>
      <c r="K16" s="322">
        <f>'IS 2023'!J16</f>
        <v>0.85053333333333336</v>
      </c>
      <c r="L16" s="322">
        <f>'IS 2023'!K16</f>
        <v>0.90386666666666671</v>
      </c>
      <c r="M16" s="322">
        <f>'IS 2023'!L16</f>
        <v>0.85260000000000002</v>
      </c>
      <c r="N16" s="322">
        <f>'IS 2023'!M16</f>
        <v>0.85053333333333336</v>
      </c>
      <c r="O16" s="322">
        <f>'IS 2023'!N16</f>
        <v>0.85133333333333339</v>
      </c>
      <c r="P16" s="322">
        <f>'IS 2023'!O16</f>
        <v>0.85133333333333339</v>
      </c>
      <c r="Q16" s="322">
        <f>'IS 2023'!P16</f>
        <v>0.85053333333333336</v>
      </c>
      <c r="R16" s="322">
        <f>'IS 2023'!Q16</f>
        <v>0.85026666666666662</v>
      </c>
      <c r="S16" s="322">
        <f>'IS 2023'!R16</f>
        <v>0.66033333333333333</v>
      </c>
      <c r="T16" s="322">
        <f>'IS 2023'!S16</f>
        <v>0.66033333333333333</v>
      </c>
      <c r="U16" s="322">
        <f>'IS 2023'!T16</f>
        <v>0.66033333333333333</v>
      </c>
      <c r="V16" s="322">
        <f>'IS 2023'!U16</f>
        <v>0.77755555555555567</v>
      </c>
    </row>
    <row r="17" spans="2:22" x14ac:dyDescent="0.3">
      <c r="B17" s="324"/>
      <c r="C17" s="340"/>
      <c r="E17" s="9"/>
      <c r="F17" s="9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</row>
    <row r="18" spans="2:22" x14ac:dyDescent="0.3">
      <c r="B18" s="324"/>
      <c r="C18" s="343" t="str">
        <f>'IS 2023'!C18</f>
        <v>Fast AC 43kW DC 50kW</v>
      </c>
      <c r="E18" s="9"/>
      <c r="F18" s="9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</row>
    <row r="19" spans="2:22" x14ac:dyDescent="0.3">
      <c r="B19" s="324"/>
      <c r="C19" s="342" t="str">
        <f>'IS 2023'!C19</f>
        <v>Subscription</v>
      </c>
      <c r="E19" s="9"/>
      <c r="F19" s="9"/>
      <c r="G19" s="321">
        <f>'IS 2023'!F19</f>
        <v>4357</v>
      </c>
      <c r="H19" s="321">
        <f>'IS 2023'!G19</f>
        <v>4357</v>
      </c>
      <c r="I19" s="321">
        <f>'IS 2023'!H19</f>
        <v>6489</v>
      </c>
      <c r="J19" s="321">
        <f>'IS 2023'!I19</f>
        <v>6653</v>
      </c>
      <c r="K19" s="321">
        <f>'IS 2023'!J19</f>
        <v>6802</v>
      </c>
      <c r="L19" s="321">
        <f>'IS 2023'!K19</f>
        <v>7130</v>
      </c>
      <c r="M19" s="321">
        <f>'IS 2023'!L19</f>
        <v>8322</v>
      </c>
      <c r="N19" s="321">
        <f>'IS 2023'!M19</f>
        <v>8322</v>
      </c>
      <c r="O19" s="321">
        <f>'IS 2023'!N19</f>
        <v>8322</v>
      </c>
      <c r="P19" s="321">
        <f>'IS 2023'!O19</f>
        <v>6311</v>
      </c>
      <c r="Q19" s="321">
        <f>'IS 2023'!P19</f>
        <v>6271</v>
      </c>
      <c r="R19" s="321">
        <f>'IS 2023'!Q19</f>
        <v>6100</v>
      </c>
      <c r="S19" s="321">
        <f>'IS 2023'!R19</f>
        <v>4357</v>
      </c>
      <c r="T19" s="321">
        <f>'IS 2023'!S19</f>
        <v>4357</v>
      </c>
      <c r="U19" s="321">
        <f>'IS 2023'!T19</f>
        <v>6489</v>
      </c>
      <c r="V19" s="321">
        <f>'IS 2023'!U19</f>
        <v>6309.2666666666664</v>
      </c>
    </row>
    <row r="20" spans="2:22" x14ac:dyDescent="0.3">
      <c r="B20" s="324"/>
      <c r="C20" s="342" t="str">
        <f>'IS 2023'!C20</f>
        <v>PAYG</v>
      </c>
      <c r="E20" s="9"/>
      <c r="F20" s="9"/>
      <c r="G20" s="321">
        <f>'IS 2023'!F20</f>
        <v>2357</v>
      </c>
      <c r="H20" s="321">
        <f>'IS 2023'!G20</f>
        <v>2357</v>
      </c>
      <c r="I20" s="321">
        <f>'IS 2023'!H20</f>
        <v>6489</v>
      </c>
      <c r="J20" s="321">
        <f>'IS 2023'!I20</f>
        <v>6653</v>
      </c>
      <c r="K20" s="321">
        <f>'IS 2023'!J20</f>
        <v>6802</v>
      </c>
      <c r="L20" s="321">
        <f>'IS 2023'!K20</f>
        <v>7130</v>
      </c>
      <c r="M20" s="321">
        <f>'IS 2023'!L20</f>
        <v>8322</v>
      </c>
      <c r="N20" s="321">
        <f>'IS 2023'!M20</f>
        <v>8322</v>
      </c>
      <c r="O20" s="321">
        <f>'IS 2023'!N20</f>
        <v>8322</v>
      </c>
      <c r="P20" s="321">
        <f>'IS 2023'!O20</f>
        <v>6411</v>
      </c>
      <c r="Q20" s="321">
        <f>'IS 2023'!P20</f>
        <v>6334</v>
      </c>
      <c r="R20" s="321">
        <f>'IS 2023'!Q20</f>
        <v>6232</v>
      </c>
      <c r="S20" s="321">
        <f>'IS 2023'!R20</f>
        <v>2357</v>
      </c>
      <c r="T20" s="321">
        <f>'IS 2023'!S20</f>
        <v>2357</v>
      </c>
      <c r="U20" s="321">
        <f>'IS 2023'!T20</f>
        <v>6489</v>
      </c>
      <c r="V20" s="321">
        <f>'IS 2023'!U20</f>
        <v>5795.6</v>
      </c>
    </row>
    <row r="21" spans="2:22" x14ac:dyDescent="0.3">
      <c r="B21" s="324"/>
      <c r="C21" s="342" t="str">
        <f>'IS 2023'!C21</f>
        <v>Drop By</v>
      </c>
      <c r="E21" s="9"/>
      <c r="F21" s="9"/>
      <c r="G21" s="321">
        <f>'IS 2023'!F21</f>
        <v>4357</v>
      </c>
      <c r="H21" s="321">
        <f>'IS 2023'!G21</f>
        <v>4357</v>
      </c>
      <c r="I21" s="321">
        <f>'IS 2023'!H21</f>
        <v>6489</v>
      </c>
      <c r="J21" s="321">
        <f>'IS 2023'!I21</f>
        <v>6653</v>
      </c>
      <c r="K21" s="321">
        <f>'IS 2023'!J21</f>
        <v>6802</v>
      </c>
      <c r="L21" s="321">
        <f>'IS 2023'!K21</f>
        <v>7130</v>
      </c>
      <c r="M21" s="321">
        <f>'IS 2023'!L21</f>
        <v>8322</v>
      </c>
      <c r="N21" s="321">
        <f>'IS 2023'!M21</f>
        <v>8322</v>
      </c>
      <c r="O21" s="321">
        <f>'IS 2023'!N21</f>
        <v>7322</v>
      </c>
      <c r="P21" s="321">
        <f>'IS 2023'!O21</f>
        <v>6411</v>
      </c>
      <c r="Q21" s="321">
        <f>'IS 2023'!P21</f>
        <v>6443</v>
      </c>
      <c r="R21" s="321">
        <f>'IS 2023'!Q21</f>
        <v>6211</v>
      </c>
      <c r="S21" s="321">
        <f>'IS 2023'!R21</f>
        <v>4357</v>
      </c>
      <c r="T21" s="321">
        <f>'IS 2023'!S21</f>
        <v>4357</v>
      </c>
      <c r="U21" s="321">
        <f>'IS 2023'!T21</f>
        <v>6489</v>
      </c>
      <c r="V21" s="321">
        <f>'IS 2023'!U21</f>
        <v>6268.1333333333332</v>
      </c>
    </row>
    <row r="22" spans="2:22" x14ac:dyDescent="0.3">
      <c r="B22" s="324"/>
      <c r="C22" s="342" t="str">
        <f>'IS 2023'!C22</f>
        <v>Total</v>
      </c>
      <c r="E22" s="9"/>
      <c r="F22" s="9"/>
      <c r="G22" s="321">
        <f>'IS 2023'!F22</f>
        <v>11071</v>
      </c>
      <c r="H22" s="321">
        <f>'IS 2023'!G22</f>
        <v>11071</v>
      </c>
      <c r="I22" s="321">
        <f>'IS 2023'!H22</f>
        <v>19467</v>
      </c>
      <c r="J22" s="321">
        <f>'IS 2023'!I22</f>
        <v>19959</v>
      </c>
      <c r="K22" s="321">
        <f>'IS 2023'!J22</f>
        <v>20406</v>
      </c>
      <c r="L22" s="321">
        <f>'IS 2023'!K22</f>
        <v>21390</v>
      </c>
      <c r="M22" s="321">
        <f>'IS 2023'!L22</f>
        <v>24966</v>
      </c>
      <c r="N22" s="321">
        <f>'IS 2023'!M22</f>
        <v>24966</v>
      </c>
      <c r="O22" s="321">
        <f>'IS 2023'!N22</f>
        <v>23966</v>
      </c>
      <c r="P22" s="321">
        <f>'IS 2023'!O22</f>
        <v>19133</v>
      </c>
      <c r="Q22" s="321">
        <f>'IS 2023'!P22</f>
        <v>19048</v>
      </c>
      <c r="R22" s="321">
        <f>'IS 2023'!Q22</f>
        <v>18543</v>
      </c>
      <c r="S22" s="321">
        <f>'IS 2023'!R22</f>
        <v>11071</v>
      </c>
      <c r="T22" s="321">
        <f>'IS 2023'!S22</f>
        <v>11071</v>
      </c>
      <c r="U22" s="321">
        <f>'IS 2023'!T22</f>
        <v>19467</v>
      </c>
      <c r="V22" s="321">
        <f>'IS 2023'!U22</f>
        <v>18373</v>
      </c>
    </row>
    <row r="23" spans="2:22" x14ac:dyDescent="0.3">
      <c r="B23" s="324"/>
      <c r="C23" s="365" t="str">
        <f>'IS 2023'!C23</f>
        <v>Max Traffic Total</v>
      </c>
      <c r="D23" s="366"/>
      <c r="E23" s="367"/>
      <c r="F23" s="367"/>
      <c r="G23" s="350">
        <f>'IS 2023'!F23</f>
        <v>15000</v>
      </c>
      <c r="H23" s="349">
        <f>'IS 2023'!G23</f>
        <v>15000</v>
      </c>
      <c r="I23" s="349">
        <f>'IS 2023'!H23</f>
        <v>21000</v>
      </c>
      <c r="J23" s="349">
        <f>'IS 2023'!I23</f>
        <v>21000</v>
      </c>
      <c r="K23" s="349">
        <f>'IS 2023'!J23</f>
        <v>22000</v>
      </c>
      <c r="L23" s="349">
        <f>'IS 2023'!K23</f>
        <v>22000</v>
      </c>
      <c r="M23" s="349">
        <f>'IS 2023'!L23</f>
        <v>24000</v>
      </c>
      <c r="N23" s="349">
        <f>'IS 2023'!M23</f>
        <v>24000</v>
      </c>
      <c r="O23" s="349">
        <f>'IS 2023'!N23</f>
        <v>23000</v>
      </c>
      <c r="P23" s="349">
        <f>'IS 2023'!O23</f>
        <v>22000</v>
      </c>
      <c r="Q23" s="349">
        <f>'IS 2023'!P23</f>
        <v>21000</v>
      </c>
      <c r="R23" s="349">
        <f>'IS 2023'!Q23</f>
        <v>21000</v>
      </c>
      <c r="S23" s="349">
        <f>'IS 2023'!R23</f>
        <v>16000</v>
      </c>
      <c r="T23" s="349">
        <f>'IS 2023'!S23</f>
        <v>16000</v>
      </c>
      <c r="U23" s="349">
        <f>'IS 2023'!T23</f>
        <v>21000</v>
      </c>
      <c r="V23" s="321">
        <f>'IS 2023'!U23</f>
        <v>20266.666666666668</v>
      </c>
    </row>
    <row r="24" spans="2:22" x14ac:dyDescent="0.3">
      <c r="B24" s="324"/>
      <c r="C24" s="342" t="str">
        <f>'IS 2023'!C24</f>
        <v>Percentage</v>
      </c>
      <c r="E24" s="9"/>
      <c r="F24" s="9"/>
      <c r="G24" s="322">
        <f>'IS 2023'!F24</f>
        <v>0.73806666666666665</v>
      </c>
      <c r="H24" s="322">
        <f>'IS 2023'!G24</f>
        <v>0.73806666666666665</v>
      </c>
      <c r="I24" s="322">
        <f>'IS 2023'!H24</f>
        <v>0.92700000000000005</v>
      </c>
      <c r="J24" s="322">
        <f>'IS 2023'!I24</f>
        <v>0.9504285714285714</v>
      </c>
      <c r="K24" s="322">
        <f>'IS 2023'!J24</f>
        <v>0.92754545454545456</v>
      </c>
      <c r="L24" s="322">
        <f>'IS 2023'!K24</f>
        <v>0.97227272727272729</v>
      </c>
      <c r="M24" s="322">
        <f>'IS 2023'!L24</f>
        <v>1.0402499999999999</v>
      </c>
      <c r="N24" s="322">
        <f>'IS 2023'!M24</f>
        <v>1.0402499999999999</v>
      </c>
      <c r="O24" s="322">
        <f>'IS 2023'!N24</f>
        <v>1.042</v>
      </c>
      <c r="P24" s="322">
        <f>'IS 2023'!O24</f>
        <v>0.86968181818181822</v>
      </c>
      <c r="Q24" s="322">
        <f>'IS 2023'!P24</f>
        <v>0.9070476190476191</v>
      </c>
      <c r="R24" s="322">
        <f>'IS 2023'!Q24</f>
        <v>0.88300000000000001</v>
      </c>
      <c r="S24" s="322">
        <f>'IS 2023'!R24</f>
        <v>0.69193749999999998</v>
      </c>
      <c r="T24" s="322">
        <f>'IS 2023'!S24</f>
        <v>0.69193749999999998</v>
      </c>
      <c r="U24" s="322">
        <f>'IS 2023'!T24</f>
        <v>0.92700000000000005</v>
      </c>
      <c r="V24" s="322">
        <f>'IS 2023'!U24</f>
        <v>0.8897656349206351</v>
      </c>
    </row>
    <row r="25" spans="2:22" x14ac:dyDescent="0.3">
      <c r="B25" s="323"/>
      <c r="C25" s="340"/>
      <c r="E25" s="9"/>
      <c r="F25" s="9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321"/>
    </row>
    <row r="26" spans="2:22" x14ac:dyDescent="0.3">
      <c r="B26" s="324"/>
      <c r="C26" s="343" t="str">
        <f>'IS 2023'!C26</f>
        <v>Superfast DC 150+kW</v>
      </c>
      <c r="E26" s="9"/>
      <c r="F26" s="9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</row>
    <row r="27" spans="2:22" x14ac:dyDescent="0.3">
      <c r="B27" s="324"/>
      <c r="C27" s="342" t="str">
        <f>'IS 2023'!C27</f>
        <v>Subscription</v>
      </c>
      <c r="E27" s="9"/>
      <c r="F27" s="9"/>
      <c r="G27" s="321">
        <f>'IS 2023'!F27</f>
        <v>4357</v>
      </c>
      <c r="H27" s="321">
        <f>'IS 2023'!G27</f>
        <v>4357</v>
      </c>
      <c r="I27" s="321">
        <f>'IS 2023'!H27</f>
        <v>6489</v>
      </c>
      <c r="J27" s="321">
        <f>'IS 2023'!I27</f>
        <v>6653</v>
      </c>
      <c r="K27" s="321">
        <f>'IS 2023'!J27</f>
        <v>6802</v>
      </c>
      <c r="L27" s="321">
        <f>'IS 2023'!K27</f>
        <v>7130</v>
      </c>
      <c r="M27" s="321">
        <f>'IS 2023'!L27</f>
        <v>8322</v>
      </c>
      <c r="N27" s="321">
        <f>'IS 2023'!M27</f>
        <v>8322</v>
      </c>
      <c r="O27" s="321">
        <f>'IS 2023'!N27</f>
        <v>8322</v>
      </c>
      <c r="P27" s="321">
        <f>'IS 2023'!O27</f>
        <v>7411</v>
      </c>
      <c r="Q27" s="321">
        <f>'IS 2023'!P27</f>
        <v>7411</v>
      </c>
      <c r="R27" s="321">
        <f>'IS 2023'!Q27</f>
        <v>7704</v>
      </c>
      <c r="S27" s="321">
        <f>'IS 2023'!R27</f>
        <v>4357</v>
      </c>
      <c r="T27" s="321">
        <f>'IS 2023'!S27</f>
        <v>4357</v>
      </c>
      <c r="U27" s="321">
        <f>'IS 2023'!T27</f>
        <v>6489</v>
      </c>
      <c r="V27" s="321">
        <f>'IS 2023'!U27</f>
        <v>6565.5333333333338</v>
      </c>
    </row>
    <row r="28" spans="2:22" x14ac:dyDescent="0.3">
      <c r="B28" s="324"/>
      <c r="C28" s="342" t="str">
        <f>'IS 2023'!C28</f>
        <v>PAYG</v>
      </c>
      <c r="E28" s="9"/>
      <c r="F28" s="9"/>
      <c r="G28" s="321">
        <f>'IS 2023'!F28</f>
        <v>2357</v>
      </c>
      <c r="H28" s="321">
        <f>'IS 2023'!G28</f>
        <v>2357</v>
      </c>
      <c r="I28" s="321">
        <f>'IS 2023'!H28</f>
        <v>6489</v>
      </c>
      <c r="J28" s="321">
        <f>'IS 2023'!I28</f>
        <v>6653</v>
      </c>
      <c r="K28" s="321">
        <f>'IS 2023'!J28</f>
        <v>6802</v>
      </c>
      <c r="L28" s="321">
        <f>'IS 2023'!K28</f>
        <v>7130</v>
      </c>
      <c r="M28" s="321">
        <f>'IS 2023'!L28</f>
        <v>8322</v>
      </c>
      <c r="N28" s="321">
        <f>'IS 2023'!M28</f>
        <v>8322</v>
      </c>
      <c r="O28" s="321">
        <f>'IS 2023'!N28</f>
        <v>8322</v>
      </c>
      <c r="P28" s="321">
        <f>'IS 2023'!O28</f>
        <v>7411</v>
      </c>
      <c r="Q28" s="321">
        <f>'IS 2023'!P28</f>
        <v>7411</v>
      </c>
      <c r="R28" s="321">
        <f>'IS 2023'!Q28</f>
        <v>7704</v>
      </c>
      <c r="S28" s="321">
        <f>'IS 2023'!R28</f>
        <v>2357</v>
      </c>
      <c r="T28" s="321">
        <f>'IS 2023'!S28</f>
        <v>2357</v>
      </c>
      <c r="U28" s="321">
        <f>'IS 2023'!T28</f>
        <v>6489</v>
      </c>
      <c r="V28" s="321">
        <f>'IS 2023'!U28</f>
        <v>6032.2</v>
      </c>
    </row>
    <row r="29" spans="2:22" x14ac:dyDescent="0.3">
      <c r="B29" s="324"/>
      <c r="C29" s="342" t="str">
        <f>'IS 2023'!C29</f>
        <v>Drop By</v>
      </c>
      <c r="E29" s="9"/>
      <c r="F29" s="9"/>
      <c r="G29" s="321">
        <f>'IS 2023'!F29</f>
        <v>3357</v>
      </c>
      <c r="H29" s="321">
        <f>'IS 2023'!G29</f>
        <v>3357</v>
      </c>
      <c r="I29" s="321">
        <f>'IS 2023'!H29</f>
        <v>6489</v>
      </c>
      <c r="J29" s="321">
        <f>'IS 2023'!I29</f>
        <v>6653</v>
      </c>
      <c r="K29" s="321">
        <f>'IS 2023'!J29</f>
        <v>6802</v>
      </c>
      <c r="L29" s="321">
        <f>'IS 2023'!K29</f>
        <v>7130</v>
      </c>
      <c r="M29" s="321">
        <f>'IS 2023'!L29</f>
        <v>8322</v>
      </c>
      <c r="N29" s="321">
        <f>'IS 2023'!M29</f>
        <v>8322</v>
      </c>
      <c r="O29" s="321">
        <f>'IS 2023'!N29</f>
        <v>8322</v>
      </c>
      <c r="P29" s="321">
        <f>'IS 2023'!O29</f>
        <v>7411</v>
      </c>
      <c r="Q29" s="321">
        <f>'IS 2023'!P29</f>
        <v>7411</v>
      </c>
      <c r="R29" s="321">
        <f>'IS 2023'!Q29</f>
        <v>7704</v>
      </c>
      <c r="S29" s="321">
        <f>'IS 2023'!R29</f>
        <v>3357</v>
      </c>
      <c r="T29" s="321">
        <f>'IS 2023'!S29</f>
        <v>3357</v>
      </c>
      <c r="U29" s="321">
        <f>'IS 2023'!T29</f>
        <v>6489</v>
      </c>
      <c r="V29" s="321">
        <f>'IS 2023'!U29</f>
        <v>6298.8666666666668</v>
      </c>
    </row>
    <row r="30" spans="2:22" x14ac:dyDescent="0.3">
      <c r="B30" s="324"/>
      <c r="C30" s="342" t="str">
        <f>'IS 2023'!C30</f>
        <v>Total</v>
      </c>
      <c r="E30" s="9"/>
      <c r="F30" s="9"/>
      <c r="G30" s="321">
        <f>'IS 2023'!F30</f>
        <v>10071</v>
      </c>
      <c r="H30" s="321">
        <f>'IS 2023'!G30</f>
        <v>10071</v>
      </c>
      <c r="I30" s="321">
        <f>'IS 2023'!H30</f>
        <v>19467</v>
      </c>
      <c r="J30" s="321">
        <f>'IS 2023'!I30</f>
        <v>19959</v>
      </c>
      <c r="K30" s="321">
        <f>'IS 2023'!J30</f>
        <v>20406</v>
      </c>
      <c r="L30" s="321">
        <f>'IS 2023'!K30</f>
        <v>21390</v>
      </c>
      <c r="M30" s="321">
        <f>'IS 2023'!L30</f>
        <v>24966</v>
      </c>
      <c r="N30" s="321">
        <f>'IS 2023'!M30</f>
        <v>24966</v>
      </c>
      <c r="O30" s="321">
        <f>'IS 2023'!N30</f>
        <v>24966</v>
      </c>
      <c r="P30" s="321">
        <f>'IS 2023'!O30</f>
        <v>22233</v>
      </c>
      <c r="Q30" s="321">
        <f>'IS 2023'!P30</f>
        <v>22233</v>
      </c>
      <c r="R30" s="321">
        <f>'IS 2023'!Q30</f>
        <v>23112</v>
      </c>
      <c r="S30" s="321">
        <f>'IS 2023'!R30</f>
        <v>10071</v>
      </c>
      <c r="T30" s="321">
        <f>'IS 2023'!S30</f>
        <v>10071</v>
      </c>
      <c r="U30" s="321">
        <f>'IS 2023'!T30</f>
        <v>19467</v>
      </c>
      <c r="V30" s="321">
        <f>'IS 2023'!U30</f>
        <v>18896.599999999999</v>
      </c>
    </row>
    <row r="31" spans="2:22" x14ac:dyDescent="0.3">
      <c r="B31" s="324"/>
      <c r="C31" s="365" t="str">
        <f>'IS 2023'!C31</f>
        <v>Max Traffic Total</v>
      </c>
      <c r="D31" s="366"/>
      <c r="E31" s="367"/>
      <c r="F31" s="367"/>
      <c r="G31" s="350">
        <f>'IS 2023'!F31</f>
        <v>15000</v>
      </c>
      <c r="H31" s="350">
        <f>'IS 2023'!G31</f>
        <v>15000</v>
      </c>
      <c r="I31" s="350">
        <f>'IS 2023'!H31</f>
        <v>25000</v>
      </c>
      <c r="J31" s="350">
        <f>'IS 2023'!I31</f>
        <v>25000</v>
      </c>
      <c r="K31" s="350">
        <f>'IS 2023'!J31</f>
        <v>25000</v>
      </c>
      <c r="L31" s="350">
        <f>'IS 2023'!K31</f>
        <v>25000</v>
      </c>
      <c r="M31" s="350">
        <f>'IS 2023'!L31</f>
        <v>25000</v>
      </c>
      <c r="N31" s="350">
        <f>'IS 2023'!M31</f>
        <v>25000</v>
      </c>
      <c r="O31" s="350">
        <f>'IS 2023'!N31</f>
        <v>25000</v>
      </c>
      <c r="P31" s="350">
        <f>'IS 2023'!O31</f>
        <v>25000</v>
      </c>
      <c r="Q31" s="350">
        <f>'IS 2023'!P31</f>
        <v>25000</v>
      </c>
      <c r="R31" s="350">
        <f>'IS 2023'!Q31</f>
        <v>25000</v>
      </c>
      <c r="S31" s="350">
        <f>'IS 2023'!R31</f>
        <v>15000</v>
      </c>
      <c r="T31" s="350">
        <f>'IS 2023'!S31</f>
        <v>15000</v>
      </c>
      <c r="U31" s="350">
        <f>'IS 2023'!T31</f>
        <v>25000</v>
      </c>
      <c r="V31" s="321">
        <f>'IS 2023'!U31</f>
        <v>22333.333333333332</v>
      </c>
    </row>
    <row r="32" spans="2:22" x14ac:dyDescent="0.3">
      <c r="B32" s="302"/>
      <c r="C32" s="342" t="str">
        <f>'IS 2023'!C32</f>
        <v>Percentage</v>
      </c>
      <c r="E32" s="303"/>
      <c r="F32" s="303"/>
      <c r="G32" s="356">
        <f>'IS 2023'!F32</f>
        <v>0.6714</v>
      </c>
      <c r="H32" s="356">
        <f>'IS 2023'!G32</f>
        <v>0.6714</v>
      </c>
      <c r="I32" s="356">
        <f>'IS 2023'!H32</f>
        <v>0.77868000000000004</v>
      </c>
      <c r="J32" s="356">
        <f>'IS 2023'!I32</f>
        <v>0.79835999999999996</v>
      </c>
      <c r="K32" s="356">
        <f>'IS 2023'!J32</f>
        <v>0.81623999999999997</v>
      </c>
      <c r="L32" s="356">
        <f>'IS 2023'!K32</f>
        <v>0.85560000000000003</v>
      </c>
      <c r="M32" s="356">
        <f>'IS 2023'!L32</f>
        <v>0.99863999999999997</v>
      </c>
      <c r="N32" s="356">
        <f>'IS 2023'!M32</f>
        <v>0.99863999999999997</v>
      </c>
      <c r="O32" s="356">
        <f>'IS 2023'!N32</f>
        <v>0.99863999999999997</v>
      </c>
      <c r="P32" s="356">
        <f>'IS 2023'!O32</f>
        <v>0.88932</v>
      </c>
      <c r="Q32" s="356">
        <f>'IS 2023'!P32</f>
        <v>0.88932</v>
      </c>
      <c r="R32" s="356">
        <f>'IS 2023'!Q32</f>
        <v>0.92447999999999997</v>
      </c>
      <c r="S32" s="356">
        <f>'IS 2023'!R32</f>
        <v>0.6714</v>
      </c>
      <c r="T32" s="356">
        <f>'IS 2023'!S32</f>
        <v>0.6714</v>
      </c>
      <c r="U32" s="356">
        <f>'IS 2023'!T32</f>
        <v>0.77868000000000004</v>
      </c>
      <c r="V32" s="322">
        <f>'IS 2023'!U32</f>
        <v>0.82747999999999999</v>
      </c>
    </row>
    <row r="33" spans="1:22" x14ac:dyDescent="0.3">
      <c r="B33" s="302"/>
      <c r="C33" s="303"/>
      <c r="D33" s="340"/>
      <c r="E33" s="303"/>
      <c r="F33" s="303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5"/>
    </row>
    <row r="34" spans="1:22" x14ac:dyDescent="0.3">
      <c r="B34" s="341" t="s">
        <v>38</v>
      </c>
      <c r="G34" s="369">
        <v>-200</v>
      </c>
      <c r="H34" s="369">
        <v>-200</v>
      </c>
      <c r="I34" s="369">
        <v>-200</v>
      </c>
      <c r="J34" s="369">
        <v>-200</v>
      </c>
      <c r="K34" s="369">
        <v>-200</v>
      </c>
      <c r="L34" s="369">
        <v>-200</v>
      </c>
      <c r="M34" s="369">
        <v>-200</v>
      </c>
      <c r="N34" s="369">
        <v>-200</v>
      </c>
      <c r="O34" s="369">
        <v>-200</v>
      </c>
      <c r="P34" s="369">
        <v>-200</v>
      </c>
      <c r="Q34" s="369">
        <v>-200</v>
      </c>
      <c r="R34" s="369">
        <v>-200</v>
      </c>
      <c r="S34" s="369">
        <v>-200</v>
      </c>
      <c r="T34" s="369">
        <v>-200</v>
      </c>
      <c r="U34" s="369">
        <v>-200</v>
      </c>
      <c r="V34" s="369">
        <f>SUM(G34:R34)</f>
        <v>-2400</v>
      </c>
    </row>
    <row r="35" spans="1:22" x14ac:dyDescent="0.3">
      <c r="B35" s="341" t="s">
        <v>146</v>
      </c>
      <c r="G35" s="369">
        <f>'IS 2023'!F72</f>
        <v>-30000</v>
      </c>
      <c r="H35" s="369">
        <f>'IS 2023'!G72</f>
        <v>-29340</v>
      </c>
      <c r="I35" s="369">
        <f>'IS 2023'!H72</f>
        <v>-28680</v>
      </c>
      <c r="J35" s="369">
        <f>'IS 2023'!I72</f>
        <v>-28020</v>
      </c>
      <c r="K35" s="369">
        <f>'IS 2023'!J72</f>
        <v>-27360</v>
      </c>
      <c r="L35" s="369">
        <f>'IS 2023'!K72</f>
        <v>-26700</v>
      </c>
      <c r="M35" s="369">
        <f>'IS 2023'!L72</f>
        <v>-26040</v>
      </c>
      <c r="N35" s="369">
        <f>'IS 2023'!M72</f>
        <v>-25380</v>
      </c>
      <c r="O35" s="369">
        <f>'IS 2023'!N72</f>
        <v>-24720</v>
      </c>
      <c r="P35" s="369">
        <f>'IS 2023'!O72</f>
        <v>-24060</v>
      </c>
      <c r="Q35" s="369">
        <f>'IS 2023'!P72</f>
        <v>-23400</v>
      </c>
      <c r="R35" s="369">
        <f>'IS 2023'!Q72</f>
        <v>-22740</v>
      </c>
      <c r="S35" s="369">
        <f>'IS 2023'!R72</f>
        <v>-22080</v>
      </c>
      <c r="T35" s="369">
        <f>'IS 2023'!S72</f>
        <v>-21420</v>
      </c>
      <c r="U35" s="369">
        <f>'IS 2023'!T72</f>
        <v>-20760</v>
      </c>
    </row>
    <row r="36" spans="1:22" x14ac:dyDescent="0.3">
      <c r="B36" s="368" t="s">
        <v>147</v>
      </c>
      <c r="C36" s="366"/>
      <c r="D36" s="366"/>
      <c r="E36" s="366"/>
      <c r="F36" s="366"/>
      <c r="G36" s="370">
        <f>'IS 2023'!F74</f>
        <v>-3694</v>
      </c>
      <c r="H36" s="370">
        <f>'IS 2023'!G74</f>
        <v>-3694</v>
      </c>
      <c r="I36" s="370">
        <f>'IS 2023'!H74</f>
        <v>-7252.4000000000005</v>
      </c>
      <c r="J36" s="370">
        <f>'IS 2023'!I74</f>
        <v>-7989.2000000000007</v>
      </c>
      <c r="K36" s="370">
        <f>'IS 2023'!J74</f>
        <v>-8198.6</v>
      </c>
      <c r="L36" s="370">
        <f>'IS 2023'!K74</f>
        <v>-8752.2000000000007</v>
      </c>
      <c r="M36" s="370">
        <f>'IS 2023'!L74</f>
        <v>-10028.800000000001</v>
      </c>
      <c r="N36" s="370">
        <f>'IS 2023'!M74</f>
        <v>-10022.6</v>
      </c>
      <c r="O36" s="370">
        <f>'IS 2023'!N74</f>
        <v>-9825</v>
      </c>
      <c r="P36" s="370">
        <f>'IS 2023'!O74</f>
        <v>-8311.8000000000011</v>
      </c>
      <c r="Q36" s="370">
        <f>'IS 2023'!P74</f>
        <v>-8292.4</v>
      </c>
      <c r="R36" s="370">
        <f>'IS 2023'!Q74</f>
        <v>-8366.4</v>
      </c>
      <c r="S36" s="370">
        <f>'IS 2023'!R74</f>
        <v>-3694</v>
      </c>
      <c r="T36" s="370">
        <f>'IS 2023'!S74</f>
        <v>-3694</v>
      </c>
      <c r="U36" s="370">
        <f>'IS 2023'!T74</f>
        <v>-7252.4000000000005</v>
      </c>
    </row>
    <row r="37" spans="1:22" x14ac:dyDescent="0.3">
      <c r="B37" s="8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</row>
    <row r="38" spans="1:22" x14ac:dyDescent="0.3">
      <c r="A38" s="147"/>
      <c r="B38" s="176" t="s">
        <v>148</v>
      </c>
      <c r="C38" s="147"/>
      <c r="D38" s="147"/>
      <c r="E38" s="147"/>
      <c r="F38" s="147"/>
      <c r="G38" s="201">
        <f>'IS 2023'!F34</f>
        <v>31047</v>
      </c>
      <c r="H38" s="201">
        <f>'IS 2023'!G34</f>
        <v>31047</v>
      </c>
      <c r="I38" s="201">
        <f>'IS 2023'!H34</f>
        <v>48839</v>
      </c>
      <c r="J38" s="201">
        <f>'IS 2023'!I34</f>
        <v>52523</v>
      </c>
      <c r="K38" s="201">
        <f>'IS 2023'!J34</f>
        <v>53570</v>
      </c>
      <c r="L38" s="201">
        <f>'IS 2023'!K34</f>
        <v>56338</v>
      </c>
      <c r="M38" s="201">
        <f>'IS 2023'!L34</f>
        <v>62721</v>
      </c>
      <c r="N38" s="201">
        <f>'IS 2023'!M34</f>
        <v>62690</v>
      </c>
      <c r="O38" s="201">
        <f>'IS 2023'!N34</f>
        <v>61702</v>
      </c>
      <c r="P38" s="201">
        <f>'IS 2023'!O34</f>
        <v>54136</v>
      </c>
      <c r="Q38" s="201">
        <f>'IS 2023'!P34</f>
        <v>54039</v>
      </c>
      <c r="R38" s="201">
        <f>'IS 2023'!Q34</f>
        <v>54409</v>
      </c>
      <c r="S38" s="201">
        <f>'IS 2023'!R34</f>
        <v>31047</v>
      </c>
      <c r="T38" s="201">
        <f>'IS 2023'!S34</f>
        <v>31047</v>
      </c>
      <c r="U38" s="201">
        <f>'IS 2023'!T34</f>
        <v>48839</v>
      </c>
      <c r="V38" s="201">
        <f>SUM(G38:R38)</f>
        <v>623061</v>
      </c>
    </row>
    <row r="39" spans="1:22" x14ac:dyDescent="0.3">
      <c r="A39" s="148"/>
      <c r="B39" s="193" t="s">
        <v>149</v>
      </c>
      <c r="C39" s="148"/>
      <c r="D39" s="148"/>
      <c r="E39" s="148"/>
      <c r="F39" s="148"/>
      <c r="G39" s="352">
        <f>SUM(G34:G36)</f>
        <v>-33894</v>
      </c>
      <c r="H39" s="352">
        <f t="shared" ref="H39:U39" si="1">SUM(H34:H36)</f>
        <v>-33234</v>
      </c>
      <c r="I39" s="352">
        <f t="shared" si="1"/>
        <v>-36132.400000000001</v>
      </c>
      <c r="J39" s="352">
        <f t="shared" si="1"/>
        <v>-36209.199999999997</v>
      </c>
      <c r="K39" s="352">
        <f t="shared" si="1"/>
        <v>-35758.6</v>
      </c>
      <c r="L39" s="352">
        <f t="shared" si="1"/>
        <v>-35652.199999999997</v>
      </c>
      <c r="M39" s="352">
        <f t="shared" si="1"/>
        <v>-36268.800000000003</v>
      </c>
      <c r="N39" s="352">
        <f t="shared" si="1"/>
        <v>-35602.6</v>
      </c>
      <c r="O39" s="352">
        <f t="shared" si="1"/>
        <v>-34745</v>
      </c>
      <c r="P39" s="352">
        <f t="shared" si="1"/>
        <v>-32571.800000000003</v>
      </c>
      <c r="Q39" s="352">
        <f t="shared" si="1"/>
        <v>-31892.400000000001</v>
      </c>
      <c r="R39" s="352">
        <f t="shared" si="1"/>
        <v>-31306.400000000001</v>
      </c>
      <c r="S39" s="352">
        <f t="shared" si="1"/>
        <v>-25974</v>
      </c>
      <c r="T39" s="352">
        <f t="shared" si="1"/>
        <v>-25314</v>
      </c>
      <c r="U39" s="352">
        <f t="shared" si="1"/>
        <v>-28212.400000000001</v>
      </c>
      <c r="V39" s="203">
        <f>SUM(G39:R39)</f>
        <v>-413267.39999999997</v>
      </c>
    </row>
    <row r="40" spans="1:22" s="9" customFormat="1" x14ac:dyDescent="0.3">
      <c r="A40" s="344"/>
      <c r="B40" s="347"/>
      <c r="C40" s="344"/>
      <c r="D40" s="344"/>
      <c r="E40" s="344"/>
      <c r="F40" s="344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48"/>
      <c r="V40" s="348"/>
    </row>
    <row r="41" spans="1:22" x14ac:dyDescent="0.3">
      <c r="B41" s="307" t="s">
        <v>150</v>
      </c>
      <c r="C41" s="307"/>
      <c r="D41" s="307"/>
      <c r="E41" s="307"/>
      <c r="F41" s="307"/>
      <c r="G41" s="372">
        <f>SUM(G38+G39)</f>
        <v>-2847</v>
      </c>
      <c r="H41" s="372">
        <f>SUM(H38:H39)</f>
        <v>-2187</v>
      </c>
      <c r="I41" s="308">
        <f>SUM(I38:I39)</f>
        <v>12706.599999999999</v>
      </c>
      <c r="J41" s="308">
        <f t="shared" ref="J41:R41" si="2">SUM(J38:J39)</f>
        <v>16313.800000000003</v>
      </c>
      <c r="K41" s="308">
        <f t="shared" si="2"/>
        <v>17811.400000000001</v>
      </c>
      <c r="L41" s="308">
        <f t="shared" si="2"/>
        <v>20685.800000000003</v>
      </c>
      <c r="M41" s="308">
        <f t="shared" si="2"/>
        <v>26452.199999999997</v>
      </c>
      <c r="N41" s="308">
        <f t="shared" si="2"/>
        <v>27087.4</v>
      </c>
      <c r="O41" s="308">
        <f t="shared" si="2"/>
        <v>26957</v>
      </c>
      <c r="P41" s="308">
        <f t="shared" si="2"/>
        <v>21564.199999999997</v>
      </c>
      <c r="Q41" s="308">
        <f t="shared" si="2"/>
        <v>22146.6</v>
      </c>
      <c r="R41" s="308">
        <f t="shared" si="2"/>
        <v>23102.6</v>
      </c>
      <c r="S41" s="308">
        <f t="shared" ref="S41:U41" si="3">SUM(S38:S39)</f>
        <v>5073</v>
      </c>
      <c r="T41" s="308">
        <f t="shared" si="3"/>
        <v>5733</v>
      </c>
      <c r="U41" s="308">
        <f t="shared" si="3"/>
        <v>20626.599999999999</v>
      </c>
      <c r="V41" s="351">
        <f>SUM(G41:R41)</f>
        <v>209793.60000000003</v>
      </c>
    </row>
    <row r="42" spans="1:22" x14ac:dyDescent="0.3">
      <c r="B42" s="307" t="s">
        <v>194</v>
      </c>
      <c r="C42" s="307"/>
      <c r="D42" s="307"/>
      <c r="E42" s="307"/>
      <c r="F42" s="307"/>
      <c r="G42" s="372">
        <f>G41-'IS 2023'!F70</f>
        <v>-1136</v>
      </c>
      <c r="H42" s="372">
        <f>H41-'IS 2023'!G70</f>
        <v>-476</v>
      </c>
      <c r="I42" s="308">
        <f>I41-'IS 2023'!H70</f>
        <v>14417.599999999999</v>
      </c>
      <c r="J42" s="308">
        <f>J41-'IS 2023'!I70</f>
        <v>18024.800000000003</v>
      </c>
      <c r="K42" s="308">
        <f>K41-'IS 2023'!J70</f>
        <v>19522.400000000001</v>
      </c>
      <c r="L42" s="308">
        <f>L41-'IS 2023'!K70</f>
        <v>22396.800000000003</v>
      </c>
      <c r="M42" s="308">
        <f>M41-'IS 2023'!L70</f>
        <v>28163.199999999997</v>
      </c>
      <c r="N42" s="308">
        <f>N41-'IS 2023'!M70</f>
        <v>28798.400000000001</v>
      </c>
      <c r="O42" s="308">
        <f>O41-'IS 2023'!N70</f>
        <v>28668</v>
      </c>
      <c r="P42" s="308">
        <f>P41-'IS 2023'!O70</f>
        <v>23275.199999999997</v>
      </c>
      <c r="Q42" s="308">
        <f>Q41-'IS 2023'!P70</f>
        <v>23857.599999999999</v>
      </c>
      <c r="R42" s="308">
        <f>R41-'IS 2023'!Q70</f>
        <v>24813.599999999999</v>
      </c>
      <c r="S42" s="308">
        <f>S41-'IS 2023'!R70</f>
        <v>6523</v>
      </c>
      <c r="T42" s="308">
        <f>T41-'IS 2023'!S70</f>
        <v>7183</v>
      </c>
      <c r="U42" s="308">
        <f>'IS 2023'!T70+U41</f>
        <v>19176.599999999999</v>
      </c>
      <c r="V42" s="5"/>
    </row>
    <row r="43" spans="1:22" x14ac:dyDescent="0.3">
      <c r="B43" s="309" t="s">
        <v>151</v>
      </c>
      <c r="C43" s="307"/>
      <c r="D43" s="307"/>
      <c r="E43" s="307"/>
      <c r="F43" s="307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5"/>
    </row>
    <row r="44" spans="1:22" x14ac:dyDescent="0.3">
      <c r="B44" s="311" t="s">
        <v>152</v>
      </c>
      <c r="C44" s="307"/>
      <c r="D44" s="307"/>
      <c r="E44" s="307"/>
      <c r="F44" s="307"/>
      <c r="G44" s="308">
        <v>150000</v>
      </c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5"/>
    </row>
    <row r="45" spans="1:22" x14ac:dyDescent="0.3">
      <c r="B45" s="312" t="s">
        <v>116</v>
      </c>
      <c r="C45" s="307"/>
      <c r="D45" s="307"/>
      <c r="E45" s="307"/>
      <c r="F45" s="307"/>
      <c r="G45" s="308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5"/>
    </row>
    <row r="46" spans="1:22" x14ac:dyDescent="0.3">
      <c r="B46" s="311" t="s">
        <v>153</v>
      </c>
      <c r="C46" s="307"/>
      <c r="D46" s="307"/>
      <c r="E46" s="307"/>
      <c r="F46" s="307"/>
      <c r="G46" s="308">
        <f>SUM(G44:G45)</f>
        <v>150000</v>
      </c>
      <c r="H46" s="308">
        <f t="shared" ref="H46:R46" si="4">SUM(H44:H45)</f>
        <v>0</v>
      </c>
      <c r="I46" s="308">
        <f t="shared" si="4"/>
        <v>0</v>
      </c>
      <c r="J46" s="308">
        <f t="shared" si="4"/>
        <v>0</v>
      </c>
      <c r="K46" s="308">
        <f t="shared" si="4"/>
        <v>0</v>
      </c>
      <c r="L46" s="308">
        <f t="shared" si="4"/>
        <v>0</v>
      </c>
      <c r="M46" s="308">
        <f t="shared" si="4"/>
        <v>0</v>
      </c>
      <c r="N46" s="308">
        <f t="shared" si="4"/>
        <v>0</v>
      </c>
      <c r="O46" s="308">
        <f t="shared" si="4"/>
        <v>0</v>
      </c>
      <c r="P46" s="308">
        <f t="shared" si="4"/>
        <v>0</v>
      </c>
      <c r="Q46" s="308">
        <f t="shared" si="4"/>
        <v>0</v>
      </c>
      <c r="R46" s="308">
        <f t="shared" si="4"/>
        <v>0</v>
      </c>
      <c r="S46" s="308">
        <f t="shared" ref="S46:U46" si="5">SUM(S44:S45)</f>
        <v>0</v>
      </c>
      <c r="T46" s="308">
        <f t="shared" si="5"/>
        <v>0</v>
      </c>
      <c r="U46" s="308">
        <f t="shared" si="5"/>
        <v>0</v>
      </c>
      <c r="V46" s="5"/>
    </row>
    <row r="47" spans="1:22" x14ac:dyDescent="0.3">
      <c r="B47" s="313" t="s">
        <v>154</v>
      </c>
      <c r="C47" s="307"/>
      <c r="D47" s="307"/>
      <c r="E47" s="307"/>
      <c r="F47" s="307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5"/>
    </row>
    <row r="48" spans="1:22" x14ac:dyDescent="0.3">
      <c r="B48" s="302" t="s">
        <v>155</v>
      </c>
      <c r="C48" s="303"/>
      <c r="D48" s="303"/>
      <c r="E48" s="303"/>
      <c r="F48" s="303"/>
      <c r="G48" s="369">
        <v>-150000</v>
      </c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371"/>
      <c r="T48" s="371"/>
      <c r="U48" s="371"/>
      <c r="V48" s="5"/>
    </row>
    <row r="49" spans="1:22" x14ac:dyDescent="0.3">
      <c r="B49" s="305" t="s">
        <v>116</v>
      </c>
      <c r="C49" s="303"/>
      <c r="D49" s="303"/>
      <c r="E49" s="303"/>
      <c r="F49" s="303"/>
      <c r="G49" s="369"/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5"/>
    </row>
    <row r="50" spans="1:22" x14ac:dyDescent="0.3">
      <c r="B50" s="305" t="s">
        <v>117</v>
      </c>
      <c r="C50" s="303"/>
      <c r="D50" s="303"/>
      <c r="E50" s="303"/>
      <c r="F50" s="303"/>
      <c r="G50" s="369"/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5"/>
    </row>
    <row r="51" spans="1:22" x14ac:dyDescent="0.3">
      <c r="B51" s="305" t="s">
        <v>118</v>
      </c>
      <c r="C51" s="303"/>
      <c r="D51" s="303"/>
      <c r="E51" s="303"/>
      <c r="F51" s="303"/>
      <c r="G51" s="369"/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71"/>
      <c r="U51" s="371"/>
      <c r="V51" s="5"/>
    </row>
    <row r="52" spans="1:22" x14ac:dyDescent="0.3">
      <c r="B52" s="302" t="s">
        <v>156</v>
      </c>
      <c r="C52" s="303"/>
      <c r="D52" s="303"/>
      <c r="E52" s="303"/>
      <c r="F52" s="303"/>
      <c r="G52" s="371"/>
      <c r="H52" s="369">
        <v>-3300</v>
      </c>
      <c r="I52" s="369">
        <v>-3300</v>
      </c>
      <c r="J52" s="369">
        <v>-3300</v>
      </c>
      <c r="K52" s="369">
        <v>-3300</v>
      </c>
      <c r="L52" s="369">
        <v>-3300</v>
      </c>
      <c r="M52" s="369">
        <v>-3300</v>
      </c>
      <c r="N52" s="369">
        <v>-3300</v>
      </c>
      <c r="O52" s="369">
        <v>-3300</v>
      </c>
      <c r="P52" s="369">
        <v>-3300</v>
      </c>
      <c r="Q52" s="369">
        <v>-3300</v>
      </c>
      <c r="R52" s="369">
        <v>-3300</v>
      </c>
      <c r="S52" s="369">
        <v>-3300</v>
      </c>
      <c r="T52" s="369">
        <v>-3300</v>
      </c>
      <c r="U52" s="369">
        <v>-3300</v>
      </c>
      <c r="V52" s="194">
        <f>SUM(G52:R52)</f>
        <v>-36300</v>
      </c>
    </row>
    <row r="53" spans="1:22" x14ac:dyDescent="0.3">
      <c r="B53" s="305" t="s">
        <v>116</v>
      </c>
      <c r="C53" s="303"/>
      <c r="D53" s="303"/>
      <c r="E53" s="303"/>
      <c r="F53" s="303"/>
      <c r="G53" s="306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5"/>
    </row>
    <row r="54" spans="1:22" x14ac:dyDescent="0.3">
      <c r="B54" s="302" t="s">
        <v>157</v>
      </c>
      <c r="C54" s="303"/>
      <c r="D54" s="303"/>
      <c r="E54" s="303"/>
      <c r="F54" s="303"/>
      <c r="G54" s="304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5"/>
    </row>
    <row r="55" spans="1:22" x14ac:dyDescent="0.3">
      <c r="B55" s="305" t="s">
        <v>116</v>
      </c>
      <c r="C55" s="303"/>
      <c r="D55" s="303"/>
      <c r="E55" s="303"/>
      <c r="F55" s="303"/>
      <c r="G55" s="304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5"/>
    </row>
    <row r="56" spans="1:22" x14ac:dyDescent="0.3">
      <c r="B56" s="302" t="s">
        <v>158</v>
      </c>
      <c r="C56" s="303"/>
      <c r="D56" s="303"/>
      <c r="E56" s="303"/>
      <c r="F56" s="303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5"/>
    </row>
    <row r="57" spans="1:22" x14ac:dyDescent="0.3">
      <c r="B57" s="305" t="s">
        <v>116</v>
      </c>
      <c r="C57" s="303"/>
      <c r="D57" s="303"/>
      <c r="E57" s="303"/>
      <c r="F57" s="303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5"/>
    </row>
    <row r="58" spans="1:22" x14ac:dyDescent="0.3">
      <c r="B58" s="302" t="s">
        <v>159</v>
      </c>
      <c r="C58" s="303"/>
      <c r="D58" s="303"/>
      <c r="E58" s="303"/>
      <c r="F58" s="303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5"/>
    </row>
    <row r="59" spans="1:22" x14ac:dyDescent="0.3">
      <c r="B59" s="305" t="s">
        <v>116</v>
      </c>
      <c r="C59" s="303"/>
      <c r="D59" s="303"/>
      <c r="E59" s="303"/>
      <c r="F59" s="303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5"/>
    </row>
    <row r="60" spans="1:22" x14ac:dyDescent="0.3">
      <c r="B60" s="302" t="s">
        <v>45</v>
      </c>
      <c r="C60" s="303"/>
      <c r="D60" s="303"/>
      <c r="E60" s="303"/>
      <c r="F60" s="303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5"/>
    </row>
    <row r="61" spans="1:22" x14ac:dyDescent="0.3">
      <c r="B61" s="302" t="s">
        <v>160</v>
      </c>
      <c r="C61" s="303"/>
      <c r="D61" s="303"/>
      <c r="E61" s="303"/>
      <c r="F61" s="303"/>
      <c r="G61" s="304">
        <f>SUM(G48:G60)</f>
        <v>-150000</v>
      </c>
      <c r="H61" s="304">
        <f t="shared" ref="H61:R61" si="6">SUM(H48:H60)</f>
        <v>-3300</v>
      </c>
      <c r="I61" s="304">
        <f t="shared" si="6"/>
        <v>-3300</v>
      </c>
      <c r="J61" s="304">
        <f t="shared" si="6"/>
        <v>-3300</v>
      </c>
      <c r="K61" s="304">
        <f t="shared" si="6"/>
        <v>-3300</v>
      </c>
      <c r="L61" s="304">
        <f t="shared" si="6"/>
        <v>-3300</v>
      </c>
      <c r="M61" s="304">
        <f t="shared" si="6"/>
        <v>-3300</v>
      </c>
      <c r="N61" s="304">
        <f t="shared" si="6"/>
        <v>-3300</v>
      </c>
      <c r="O61" s="304">
        <f t="shared" si="6"/>
        <v>-3300</v>
      </c>
      <c r="P61" s="304">
        <f t="shared" si="6"/>
        <v>-3300</v>
      </c>
      <c r="Q61" s="304">
        <f t="shared" si="6"/>
        <v>-3300</v>
      </c>
      <c r="R61" s="304">
        <f t="shared" si="6"/>
        <v>-3300</v>
      </c>
      <c r="S61" s="304">
        <f t="shared" ref="S61:U61" si="7">SUM(S48:S60)</f>
        <v>-3300</v>
      </c>
      <c r="T61" s="304">
        <f t="shared" si="7"/>
        <v>-3300</v>
      </c>
      <c r="U61" s="304">
        <f t="shared" si="7"/>
        <v>-3300</v>
      </c>
      <c r="V61" s="5"/>
    </row>
    <row r="62" spans="1:22" x14ac:dyDescent="0.3">
      <c r="B62" s="302"/>
      <c r="C62" s="303"/>
      <c r="D62" s="303"/>
      <c r="E62" s="303"/>
      <c r="F62" s="303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5"/>
    </row>
    <row r="63" spans="1:22" x14ac:dyDescent="0.3">
      <c r="A63" s="197"/>
      <c r="B63" s="198" t="s">
        <v>161</v>
      </c>
      <c r="C63" s="197"/>
      <c r="D63" s="197"/>
      <c r="E63" s="197"/>
      <c r="F63" s="197"/>
      <c r="G63" s="205">
        <f>G73</f>
        <v>-2847</v>
      </c>
      <c r="H63" s="205">
        <f>H41+H61</f>
        <v>-5487</v>
      </c>
      <c r="I63" s="205">
        <f>I41+I61</f>
        <v>9406.5999999999985</v>
      </c>
      <c r="J63" s="205">
        <f>J41+J61</f>
        <v>13013.800000000003</v>
      </c>
      <c r="K63" s="205">
        <f t="shared" ref="K63:R63" si="8">K41+K61</f>
        <v>14511.400000000001</v>
      </c>
      <c r="L63" s="205">
        <f t="shared" si="8"/>
        <v>17385.800000000003</v>
      </c>
      <c r="M63" s="205">
        <f t="shared" si="8"/>
        <v>23152.199999999997</v>
      </c>
      <c r="N63" s="205">
        <f t="shared" si="8"/>
        <v>23787.4</v>
      </c>
      <c r="O63" s="205">
        <f t="shared" si="8"/>
        <v>23657</v>
      </c>
      <c r="P63" s="205">
        <f t="shared" si="8"/>
        <v>18264.199999999997</v>
      </c>
      <c r="Q63" s="205">
        <f t="shared" si="8"/>
        <v>18846.599999999999</v>
      </c>
      <c r="R63" s="205">
        <f t="shared" si="8"/>
        <v>19802.599999999999</v>
      </c>
      <c r="S63" s="205">
        <f t="shared" ref="S63:U63" si="9">S41+S61</f>
        <v>1773</v>
      </c>
      <c r="T63" s="205">
        <f t="shared" si="9"/>
        <v>2433</v>
      </c>
      <c r="U63" s="205">
        <f t="shared" si="9"/>
        <v>17326.599999999999</v>
      </c>
      <c r="V63" s="205">
        <f>SUM(G63:R63)</f>
        <v>173493.60000000003</v>
      </c>
    </row>
    <row r="64" spans="1:22" x14ac:dyDescent="0.3">
      <c r="A64" s="147"/>
      <c r="B64" s="173" t="s">
        <v>162</v>
      </c>
      <c r="C64" s="147"/>
      <c r="D64" s="147"/>
      <c r="E64" s="147"/>
      <c r="F64" s="147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</row>
    <row r="65" spans="1:22" s="9" customFormat="1" x14ac:dyDescent="0.3">
      <c r="A65" s="344"/>
      <c r="B65" s="345"/>
      <c r="C65" s="344"/>
      <c r="D65" s="344"/>
      <c r="E65" s="344"/>
      <c r="F65" s="344"/>
      <c r="G65" s="346"/>
      <c r="H65" s="346"/>
      <c r="I65" s="346"/>
      <c r="J65" s="346"/>
      <c r="K65" s="346"/>
      <c r="L65" s="346"/>
      <c r="M65" s="346"/>
      <c r="N65" s="346"/>
      <c r="O65" s="346"/>
      <c r="P65" s="346"/>
      <c r="Q65" s="346"/>
      <c r="R65" s="346"/>
      <c r="S65" s="346"/>
      <c r="T65" s="346"/>
      <c r="U65" s="346"/>
      <c r="V65" s="346"/>
    </row>
    <row r="66" spans="1:22" x14ac:dyDescent="0.3">
      <c r="B66" s="307" t="s">
        <v>153</v>
      </c>
      <c r="C66" s="307"/>
      <c r="D66" s="307"/>
      <c r="E66" s="307"/>
      <c r="F66" s="307"/>
      <c r="G66" s="308">
        <f>G46</f>
        <v>150000</v>
      </c>
      <c r="H66" s="308">
        <f>G66+H67</f>
        <v>146700</v>
      </c>
      <c r="I66" s="308">
        <f t="shared" ref="I66:U66" si="10">H66+I67</f>
        <v>143400</v>
      </c>
      <c r="J66" s="308">
        <f t="shared" si="10"/>
        <v>140100</v>
      </c>
      <c r="K66" s="308">
        <f t="shared" si="10"/>
        <v>136800</v>
      </c>
      <c r="L66" s="308">
        <f t="shared" si="10"/>
        <v>133500</v>
      </c>
      <c r="M66" s="308">
        <f t="shared" si="10"/>
        <v>130200</v>
      </c>
      <c r="N66" s="308">
        <f t="shared" si="10"/>
        <v>126900</v>
      </c>
      <c r="O66" s="308">
        <f t="shared" si="10"/>
        <v>123600</v>
      </c>
      <c r="P66" s="308">
        <f t="shared" si="10"/>
        <v>120300</v>
      </c>
      <c r="Q66" s="308">
        <f t="shared" si="10"/>
        <v>117000</v>
      </c>
      <c r="R66" s="308">
        <f t="shared" si="10"/>
        <v>113700</v>
      </c>
      <c r="S66" s="308">
        <f t="shared" si="10"/>
        <v>110400</v>
      </c>
      <c r="T66" s="308">
        <f t="shared" si="10"/>
        <v>107100</v>
      </c>
      <c r="U66" s="308">
        <f t="shared" si="10"/>
        <v>103800</v>
      </c>
      <c r="V66" s="5"/>
    </row>
    <row r="67" spans="1:22" x14ac:dyDescent="0.3">
      <c r="B67" s="307" t="s">
        <v>160</v>
      </c>
      <c r="C67" s="307"/>
      <c r="D67" s="307"/>
      <c r="E67" s="307"/>
      <c r="F67" s="307"/>
      <c r="G67" s="372">
        <f>G61</f>
        <v>-150000</v>
      </c>
      <c r="H67" s="372">
        <f t="shared" ref="H67:R67" si="11">H61</f>
        <v>-3300</v>
      </c>
      <c r="I67" s="372">
        <f t="shared" si="11"/>
        <v>-3300</v>
      </c>
      <c r="J67" s="372">
        <f t="shared" si="11"/>
        <v>-3300</v>
      </c>
      <c r="K67" s="372">
        <f t="shared" si="11"/>
        <v>-3300</v>
      </c>
      <c r="L67" s="372">
        <f t="shared" si="11"/>
        <v>-3300</v>
      </c>
      <c r="M67" s="372">
        <f t="shared" si="11"/>
        <v>-3300</v>
      </c>
      <c r="N67" s="372">
        <f t="shared" si="11"/>
        <v>-3300</v>
      </c>
      <c r="O67" s="372">
        <f t="shared" si="11"/>
        <v>-3300</v>
      </c>
      <c r="P67" s="372">
        <f t="shared" si="11"/>
        <v>-3300</v>
      </c>
      <c r="Q67" s="372">
        <f t="shared" si="11"/>
        <v>-3300</v>
      </c>
      <c r="R67" s="372">
        <f t="shared" si="11"/>
        <v>-3300</v>
      </c>
      <c r="S67" s="372">
        <f t="shared" ref="S67:U67" si="12">S61</f>
        <v>-3300</v>
      </c>
      <c r="T67" s="372">
        <f t="shared" si="12"/>
        <v>-3300</v>
      </c>
      <c r="U67" s="372">
        <f t="shared" si="12"/>
        <v>-3300</v>
      </c>
      <c r="V67" s="5"/>
    </row>
    <row r="68" spans="1:22" x14ac:dyDescent="0.3">
      <c r="B68" s="307" t="s">
        <v>37</v>
      </c>
      <c r="C68" s="307"/>
      <c r="D68" s="307"/>
      <c r="E68" s="307"/>
      <c r="F68" s="307"/>
      <c r="G68" s="308">
        <f>G38</f>
        <v>31047</v>
      </c>
      <c r="H68" s="308">
        <f t="shared" ref="H68:U68" si="13">H38</f>
        <v>31047</v>
      </c>
      <c r="I68" s="308">
        <f t="shared" si="13"/>
        <v>48839</v>
      </c>
      <c r="J68" s="308">
        <f t="shared" si="13"/>
        <v>52523</v>
      </c>
      <c r="K68" s="308">
        <f t="shared" si="13"/>
        <v>53570</v>
      </c>
      <c r="L68" s="308">
        <f t="shared" si="13"/>
        <v>56338</v>
      </c>
      <c r="M68" s="308">
        <f t="shared" si="13"/>
        <v>62721</v>
      </c>
      <c r="N68" s="308">
        <f t="shared" si="13"/>
        <v>62690</v>
      </c>
      <c r="O68" s="308">
        <f t="shared" si="13"/>
        <v>61702</v>
      </c>
      <c r="P68" s="308">
        <f t="shared" si="13"/>
        <v>54136</v>
      </c>
      <c r="Q68" s="308">
        <f t="shared" si="13"/>
        <v>54039</v>
      </c>
      <c r="R68" s="308">
        <f t="shared" si="13"/>
        <v>54409</v>
      </c>
      <c r="S68" s="308">
        <f t="shared" si="13"/>
        <v>31047</v>
      </c>
      <c r="T68" s="308">
        <f t="shared" si="13"/>
        <v>31047</v>
      </c>
      <c r="U68" s="308">
        <f t="shared" si="13"/>
        <v>48839</v>
      </c>
      <c r="V68" s="5"/>
    </row>
    <row r="69" spans="1:22" x14ac:dyDescent="0.3">
      <c r="B69" s="307" t="s">
        <v>38</v>
      </c>
      <c r="C69" s="307"/>
      <c r="D69" s="307"/>
      <c r="E69" s="307"/>
      <c r="F69" s="307"/>
      <c r="G69" s="372">
        <f>G34</f>
        <v>-200</v>
      </c>
      <c r="H69" s="372">
        <f t="shared" ref="H69:U69" si="14">H34</f>
        <v>-200</v>
      </c>
      <c r="I69" s="372">
        <f t="shared" si="14"/>
        <v>-200</v>
      </c>
      <c r="J69" s="372">
        <f t="shared" si="14"/>
        <v>-200</v>
      </c>
      <c r="K69" s="372">
        <f t="shared" si="14"/>
        <v>-200</v>
      </c>
      <c r="L69" s="372">
        <f t="shared" si="14"/>
        <v>-200</v>
      </c>
      <c r="M69" s="372">
        <f t="shared" si="14"/>
        <v>-200</v>
      </c>
      <c r="N69" s="372">
        <f t="shared" si="14"/>
        <v>-200</v>
      </c>
      <c r="O69" s="372">
        <f t="shared" si="14"/>
        <v>-200</v>
      </c>
      <c r="P69" s="372">
        <f t="shared" si="14"/>
        <v>-200</v>
      </c>
      <c r="Q69" s="372">
        <f t="shared" si="14"/>
        <v>-200</v>
      </c>
      <c r="R69" s="372">
        <f t="shared" si="14"/>
        <v>-200</v>
      </c>
      <c r="S69" s="372">
        <f t="shared" si="14"/>
        <v>-200</v>
      </c>
      <c r="T69" s="372">
        <f t="shared" si="14"/>
        <v>-200</v>
      </c>
      <c r="U69" s="372">
        <f t="shared" si="14"/>
        <v>-200</v>
      </c>
      <c r="V69" s="5"/>
    </row>
    <row r="70" spans="1:22" x14ac:dyDescent="0.3">
      <c r="B70" s="307" t="s">
        <v>163</v>
      </c>
      <c r="C70" s="307"/>
      <c r="D70" s="307"/>
      <c r="E70" s="307"/>
      <c r="F70" s="307"/>
      <c r="G70" s="308">
        <f>SUM(G66:G69)</f>
        <v>30847</v>
      </c>
      <c r="H70" s="308">
        <f t="shared" ref="H70:R70" si="15">SUM(H66:H69)</f>
        <v>174247</v>
      </c>
      <c r="I70" s="308">
        <f t="shared" si="15"/>
        <v>188739</v>
      </c>
      <c r="J70" s="308">
        <f t="shared" si="15"/>
        <v>189123</v>
      </c>
      <c r="K70" s="308">
        <f t="shared" si="15"/>
        <v>186870</v>
      </c>
      <c r="L70" s="308">
        <f t="shared" si="15"/>
        <v>186338</v>
      </c>
      <c r="M70" s="308">
        <f t="shared" si="15"/>
        <v>189421</v>
      </c>
      <c r="N70" s="308">
        <f t="shared" si="15"/>
        <v>186090</v>
      </c>
      <c r="O70" s="308">
        <f t="shared" si="15"/>
        <v>181802</v>
      </c>
      <c r="P70" s="308">
        <f t="shared" si="15"/>
        <v>170936</v>
      </c>
      <c r="Q70" s="308">
        <f t="shared" si="15"/>
        <v>167539</v>
      </c>
      <c r="R70" s="308">
        <f t="shared" si="15"/>
        <v>164609</v>
      </c>
      <c r="S70" s="308">
        <f t="shared" ref="S70:U70" si="16">SUM(S66:S69)</f>
        <v>137947</v>
      </c>
      <c r="T70" s="308">
        <f t="shared" si="16"/>
        <v>134647</v>
      </c>
      <c r="U70" s="308">
        <f t="shared" si="16"/>
        <v>149139</v>
      </c>
      <c r="V70" s="5"/>
    </row>
    <row r="71" spans="1:22" x14ac:dyDescent="0.3">
      <c r="B71" s="307" t="s">
        <v>146</v>
      </c>
      <c r="C71" s="307"/>
      <c r="D71" s="307"/>
      <c r="E71" s="307"/>
      <c r="F71" s="307"/>
      <c r="G71" s="372">
        <f>'IS 2023'!F72</f>
        <v>-30000</v>
      </c>
      <c r="H71" s="372">
        <f>'IS 2023'!G72</f>
        <v>-29340</v>
      </c>
      <c r="I71" s="372">
        <f>'IS 2023'!H72</f>
        <v>-28680</v>
      </c>
      <c r="J71" s="372">
        <f>'IS 2023'!I72</f>
        <v>-28020</v>
      </c>
      <c r="K71" s="372">
        <f>'IS 2023'!J72</f>
        <v>-27360</v>
      </c>
      <c r="L71" s="372">
        <f>'IS 2023'!K72</f>
        <v>-26700</v>
      </c>
      <c r="M71" s="372">
        <f>'IS 2023'!L72</f>
        <v>-26040</v>
      </c>
      <c r="N71" s="372">
        <f>'IS 2023'!M72</f>
        <v>-25380</v>
      </c>
      <c r="O71" s="372">
        <f>'IS 2023'!N72</f>
        <v>-24720</v>
      </c>
      <c r="P71" s="372">
        <f>'IS 2023'!O72</f>
        <v>-24060</v>
      </c>
      <c r="Q71" s="372">
        <f>'IS 2023'!P72</f>
        <v>-23400</v>
      </c>
      <c r="R71" s="372">
        <f>'IS 2023'!Q72</f>
        <v>-22740</v>
      </c>
      <c r="S71" s="372">
        <f>'IS 2023'!R72</f>
        <v>-22080</v>
      </c>
      <c r="T71" s="372">
        <f>'IS 2023'!S72</f>
        <v>-21420</v>
      </c>
      <c r="U71" s="372">
        <f>'IS 2023'!T72</f>
        <v>-20760</v>
      </c>
      <c r="V71" s="5"/>
    </row>
    <row r="72" spans="1:22" x14ac:dyDescent="0.3">
      <c r="B72" s="307" t="s">
        <v>147</v>
      </c>
      <c r="C72" s="307"/>
      <c r="D72" s="307"/>
      <c r="E72" s="307"/>
      <c r="F72" s="307"/>
      <c r="G72" s="369">
        <f>'IS 2023'!F74</f>
        <v>-3694</v>
      </c>
      <c r="H72" s="369">
        <f>'IS 2023'!G74</f>
        <v>-3694</v>
      </c>
      <c r="I72" s="369">
        <f>'IS 2023'!H74</f>
        <v>-7252.4000000000005</v>
      </c>
      <c r="J72" s="369">
        <f>'IS 2023'!I74</f>
        <v>-7989.2000000000007</v>
      </c>
      <c r="K72" s="369">
        <f>'IS 2023'!J74</f>
        <v>-8198.6</v>
      </c>
      <c r="L72" s="369">
        <f>'IS 2023'!K74</f>
        <v>-8752.2000000000007</v>
      </c>
      <c r="M72" s="369">
        <f>'IS 2023'!L74</f>
        <v>-10028.800000000001</v>
      </c>
      <c r="N72" s="369">
        <f>'IS 2023'!M74</f>
        <v>-10022.6</v>
      </c>
      <c r="O72" s="369">
        <f>'IS 2023'!N74</f>
        <v>-9825</v>
      </c>
      <c r="P72" s="369">
        <f>'IS 2023'!O74</f>
        <v>-8311.8000000000011</v>
      </c>
      <c r="Q72" s="369">
        <f>'IS 2023'!P74</f>
        <v>-8292.4</v>
      </c>
      <c r="R72" s="369">
        <f>'IS 2023'!Q74</f>
        <v>-8366.4</v>
      </c>
      <c r="S72" s="369">
        <f>'IS 2023'!R74</f>
        <v>-3694</v>
      </c>
      <c r="T72" s="369">
        <f>'IS 2023'!S74</f>
        <v>-3694</v>
      </c>
      <c r="U72" s="369">
        <f>'IS 2023'!T74</f>
        <v>-7252.4000000000005</v>
      </c>
      <c r="V72" s="5"/>
    </row>
    <row r="73" spans="1:22" x14ac:dyDescent="0.3">
      <c r="B73" s="307" t="s">
        <v>161</v>
      </c>
      <c r="C73" s="307"/>
      <c r="D73" s="307"/>
      <c r="E73" s="307"/>
      <c r="F73" s="307"/>
      <c r="G73" s="372">
        <f>SUM(G70:G72)</f>
        <v>-2847</v>
      </c>
      <c r="H73" s="308">
        <f>SUM(H70:H72)</f>
        <v>141213</v>
      </c>
      <c r="I73" s="308">
        <f t="shared" ref="I73:R73" si="17">SUM(I70:I72)</f>
        <v>152806.6</v>
      </c>
      <c r="J73" s="308">
        <f t="shared" si="17"/>
        <v>153113.79999999999</v>
      </c>
      <c r="K73" s="308">
        <f>SUM(K70:K72)</f>
        <v>151311.4</v>
      </c>
      <c r="L73" s="308">
        <f t="shared" si="17"/>
        <v>150885.79999999999</v>
      </c>
      <c r="M73" s="308">
        <f t="shared" si="17"/>
        <v>153352.20000000001</v>
      </c>
      <c r="N73" s="308">
        <f t="shared" si="17"/>
        <v>150687.4</v>
      </c>
      <c r="O73" s="308">
        <f t="shared" si="17"/>
        <v>147257</v>
      </c>
      <c r="P73" s="308">
        <f t="shared" si="17"/>
        <v>138564.20000000001</v>
      </c>
      <c r="Q73" s="308">
        <f t="shared" si="17"/>
        <v>135846.6</v>
      </c>
      <c r="R73" s="308">
        <f t="shared" si="17"/>
        <v>133502.6</v>
      </c>
      <c r="S73" s="308">
        <f t="shared" ref="S73:U73" si="18">SUM(S70:S72)</f>
        <v>112173</v>
      </c>
      <c r="T73" s="308">
        <f t="shared" si="18"/>
        <v>109533</v>
      </c>
      <c r="U73" s="308">
        <f t="shared" si="18"/>
        <v>121126.6</v>
      </c>
      <c r="V73" s="5"/>
    </row>
    <row r="74" spans="1:22" x14ac:dyDescent="0.3">
      <c r="B74" s="9"/>
      <c r="C74" s="9"/>
      <c r="D74" s="9"/>
      <c r="E74" s="9"/>
      <c r="F74" s="9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5"/>
    </row>
    <row r="75" spans="1:22" x14ac:dyDescent="0.3">
      <c r="A75" s="147"/>
      <c r="B75" s="173" t="s">
        <v>164</v>
      </c>
      <c r="C75" s="147"/>
      <c r="D75" s="147"/>
      <c r="E75" s="147"/>
      <c r="F75" s="147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</row>
    <row r="76" spans="1:22" s="9" customFormat="1" x14ac:dyDescent="0.3">
      <c r="A76" s="344"/>
      <c r="B76" s="345"/>
      <c r="C76" s="344"/>
      <c r="D76" s="344"/>
      <c r="E76" s="344"/>
      <c r="F76" s="344"/>
      <c r="G76" s="346"/>
      <c r="H76" s="346"/>
      <c r="I76" s="346"/>
      <c r="J76" s="346"/>
      <c r="K76" s="346"/>
      <c r="L76" s="346"/>
      <c r="M76" s="346"/>
      <c r="N76" s="346"/>
      <c r="O76" s="346"/>
      <c r="P76" s="346"/>
      <c r="Q76" s="346"/>
      <c r="R76" s="346"/>
      <c r="S76" s="346"/>
      <c r="T76" s="346"/>
      <c r="U76" s="346"/>
      <c r="V76" s="346"/>
    </row>
    <row r="77" spans="1:22" x14ac:dyDescent="0.3">
      <c r="B77" s="303" t="s">
        <v>165</v>
      </c>
      <c r="C77" s="303"/>
      <c r="D77" s="303"/>
      <c r="E77" s="303"/>
      <c r="F77" s="303"/>
      <c r="G77" s="304">
        <f>SUM(G41+G46)</f>
        <v>147153</v>
      </c>
      <c r="H77" s="304">
        <f t="shared" ref="H77:R77" si="19">SUM(H41+H46)</f>
        <v>-2187</v>
      </c>
      <c r="I77" s="304">
        <f>SUM(I41+I46)</f>
        <v>12706.599999999999</v>
      </c>
      <c r="J77" s="304">
        <f t="shared" si="19"/>
        <v>16313.800000000003</v>
      </c>
      <c r="K77" s="304">
        <f t="shared" si="19"/>
        <v>17811.400000000001</v>
      </c>
      <c r="L77" s="304">
        <f t="shared" si="19"/>
        <v>20685.800000000003</v>
      </c>
      <c r="M77" s="304">
        <f t="shared" si="19"/>
        <v>26452.199999999997</v>
      </c>
      <c r="N77" s="304">
        <f t="shared" si="19"/>
        <v>27087.4</v>
      </c>
      <c r="O77" s="304">
        <f t="shared" si="19"/>
        <v>26957</v>
      </c>
      <c r="P77" s="304">
        <f t="shared" si="19"/>
        <v>21564.199999999997</v>
      </c>
      <c r="Q77" s="304">
        <f t="shared" si="19"/>
        <v>22146.6</v>
      </c>
      <c r="R77" s="304">
        <f t="shared" si="19"/>
        <v>23102.6</v>
      </c>
      <c r="S77" s="304">
        <f t="shared" ref="S77:T77" si="20">SUM(S41+S46)</f>
        <v>5073</v>
      </c>
      <c r="T77" s="304">
        <f t="shared" si="20"/>
        <v>5733</v>
      </c>
      <c r="U77" s="304">
        <f>SUM(U41+U46)</f>
        <v>20626.599999999999</v>
      </c>
      <c r="V77" s="351">
        <f>SUM(G77:R77)</f>
        <v>359793.60000000003</v>
      </c>
    </row>
    <row r="78" spans="1:22" x14ac:dyDescent="0.3">
      <c r="B78" s="303" t="s">
        <v>166</v>
      </c>
      <c r="C78" s="303"/>
      <c r="D78" s="303"/>
      <c r="E78" s="303"/>
      <c r="F78" s="303"/>
      <c r="G78" s="369">
        <f>G73</f>
        <v>-2847</v>
      </c>
      <c r="H78" s="304">
        <f t="shared" ref="H78:R78" si="21">H73</f>
        <v>141213</v>
      </c>
      <c r="I78" s="304">
        <f t="shared" si="21"/>
        <v>152806.6</v>
      </c>
      <c r="J78" s="304">
        <f t="shared" si="21"/>
        <v>153113.79999999999</v>
      </c>
      <c r="K78" s="304">
        <f t="shared" si="21"/>
        <v>151311.4</v>
      </c>
      <c r="L78" s="304">
        <f t="shared" si="21"/>
        <v>150885.79999999999</v>
      </c>
      <c r="M78" s="304">
        <f t="shared" si="21"/>
        <v>153352.20000000001</v>
      </c>
      <c r="N78" s="304">
        <f t="shared" si="21"/>
        <v>150687.4</v>
      </c>
      <c r="O78" s="304">
        <f t="shared" si="21"/>
        <v>147257</v>
      </c>
      <c r="P78" s="304">
        <f t="shared" si="21"/>
        <v>138564.20000000001</v>
      </c>
      <c r="Q78" s="304">
        <f t="shared" si="21"/>
        <v>135846.6</v>
      </c>
      <c r="R78" s="304">
        <f t="shared" si="21"/>
        <v>133502.6</v>
      </c>
      <c r="S78" s="304">
        <f t="shared" ref="S78:T78" si="22">S73</f>
        <v>112173</v>
      </c>
      <c r="T78" s="304">
        <f t="shared" si="22"/>
        <v>109533</v>
      </c>
      <c r="U78" s="304">
        <f>U73</f>
        <v>121126.6</v>
      </c>
      <c r="V78" s="351">
        <f>SUM(G78:R78)</f>
        <v>1605693.5999999999</v>
      </c>
    </row>
    <row r="79" spans="1:22" x14ac:dyDescent="0.3">
      <c r="B79" s="303" t="s">
        <v>167</v>
      </c>
      <c r="C79" s="303"/>
      <c r="D79" s="303"/>
      <c r="E79" s="303"/>
      <c r="F79" s="303"/>
      <c r="G79" s="369">
        <f>G73</f>
        <v>-2847</v>
      </c>
      <c r="H79" s="304">
        <f t="shared" ref="H79:R79" si="23">H73</f>
        <v>141213</v>
      </c>
      <c r="I79" s="304">
        <f t="shared" si="23"/>
        <v>152806.6</v>
      </c>
      <c r="J79" s="304">
        <f t="shared" si="23"/>
        <v>153113.79999999999</v>
      </c>
      <c r="K79" s="304">
        <f t="shared" si="23"/>
        <v>151311.4</v>
      </c>
      <c r="L79" s="304">
        <f t="shared" si="23"/>
        <v>150885.79999999999</v>
      </c>
      <c r="M79" s="304">
        <f t="shared" si="23"/>
        <v>153352.20000000001</v>
      </c>
      <c r="N79" s="304">
        <f t="shared" si="23"/>
        <v>150687.4</v>
      </c>
      <c r="O79" s="304">
        <f t="shared" si="23"/>
        <v>147257</v>
      </c>
      <c r="P79" s="304">
        <f t="shared" si="23"/>
        <v>138564.20000000001</v>
      </c>
      <c r="Q79" s="304">
        <f t="shared" si="23"/>
        <v>135846.6</v>
      </c>
      <c r="R79" s="304">
        <f t="shared" si="23"/>
        <v>133502.6</v>
      </c>
      <c r="S79" s="304">
        <f t="shared" ref="S79:U79" si="24">S73</f>
        <v>112173</v>
      </c>
      <c r="T79" s="304">
        <f t="shared" si="24"/>
        <v>109533</v>
      </c>
      <c r="U79" s="304">
        <f t="shared" si="24"/>
        <v>121126.6</v>
      </c>
      <c r="V79" s="5"/>
    </row>
    <row r="80" spans="1:22" x14ac:dyDescent="0.3">
      <c r="B80" s="303" t="s">
        <v>159</v>
      </c>
      <c r="C80" s="303"/>
      <c r="D80" s="303"/>
      <c r="E80" s="303"/>
      <c r="F80" s="303"/>
      <c r="G80" s="371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5"/>
    </row>
    <row r="81" spans="2:22" x14ac:dyDescent="0.3">
      <c r="B81" s="303" t="s">
        <v>161</v>
      </c>
      <c r="C81" s="303"/>
      <c r="D81" s="303"/>
      <c r="E81" s="303"/>
      <c r="F81" s="303"/>
      <c r="G81" s="369">
        <f>G73</f>
        <v>-2847</v>
      </c>
      <c r="H81" s="304">
        <f t="shared" ref="H81:R81" si="25">H73</f>
        <v>141213</v>
      </c>
      <c r="I81" s="304">
        <f t="shared" si="25"/>
        <v>152806.6</v>
      </c>
      <c r="J81" s="304">
        <f t="shared" si="25"/>
        <v>153113.79999999999</v>
      </c>
      <c r="K81" s="304">
        <f t="shared" si="25"/>
        <v>151311.4</v>
      </c>
      <c r="L81" s="304">
        <f t="shared" si="25"/>
        <v>150885.79999999999</v>
      </c>
      <c r="M81" s="304">
        <f t="shared" si="25"/>
        <v>153352.20000000001</v>
      </c>
      <c r="N81" s="304">
        <f t="shared" si="25"/>
        <v>150687.4</v>
      </c>
      <c r="O81" s="304">
        <f t="shared" si="25"/>
        <v>147257</v>
      </c>
      <c r="P81" s="304">
        <f t="shared" si="25"/>
        <v>138564.20000000001</v>
      </c>
      <c r="Q81" s="304">
        <f t="shared" si="25"/>
        <v>135846.6</v>
      </c>
      <c r="R81" s="304">
        <f t="shared" si="25"/>
        <v>133502.6</v>
      </c>
      <c r="S81" s="304">
        <f t="shared" ref="S81:U81" si="26">S73</f>
        <v>112173</v>
      </c>
      <c r="T81" s="304">
        <f t="shared" si="26"/>
        <v>109533</v>
      </c>
      <c r="U81" s="304">
        <f t="shared" si="26"/>
        <v>121126.6</v>
      </c>
      <c r="V81" s="5"/>
    </row>
  </sheetData>
  <phoneticPr fontId="7" type="noConversion"/>
  <pageMargins left="0.7" right="0.7" top="0.75" bottom="0.75" header="0.3" footer="0.3"/>
  <ignoredErrors>
    <ignoredError sqref="R4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A605-5749-4E77-B2F3-60FEE105176F}">
  <sheetPr codeName="Sheet23"/>
  <dimension ref="A1:Y145"/>
  <sheetViews>
    <sheetView showGridLines="0" zoomScale="105" zoomScaleNormal="105" workbookViewId="0">
      <selection activeCell="T48" sqref="T48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5546875" style="125" bestFit="1" customWidth="1"/>
    <col min="7" max="7" width="9.6640625" customWidth="1"/>
    <col min="8" max="8" width="9.6640625" bestFit="1" customWidth="1"/>
    <col min="9" max="9" width="10.44140625" customWidth="1"/>
    <col min="10" max="13" width="9.5546875" bestFit="1" customWidth="1"/>
    <col min="14" max="14" width="9.5546875" customWidth="1"/>
    <col min="15" max="16" width="9.5546875" bestFit="1" customWidth="1"/>
    <col min="17" max="17" width="10" customWidth="1"/>
    <col min="18" max="18" width="9.5546875" bestFit="1" customWidth="1"/>
    <col min="19" max="19" width="9.33203125" customWidth="1"/>
    <col min="20" max="20" width="9.77734375" customWidth="1"/>
    <col min="21" max="21" width="10.5546875" bestFit="1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169</v>
      </c>
      <c r="F2"/>
    </row>
    <row r="3" spans="1:25" x14ac:dyDescent="0.3">
      <c r="B3" t="s">
        <v>140</v>
      </c>
      <c r="F3"/>
    </row>
    <row r="4" spans="1:25" x14ac:dyDescent="0.3">
      <c r="F4"/>
    </row>
    <row r="5" spans="1:25" x14ac:dyDescent="0.3">
      <c r="A5" s="147"/>
      <c r="B5" s="173" t="s">
        <v>170</v>
      </c>
      <c r="C5" s="147"/>
      <c r="D5" s="147"/>
      <c r="E5" s="147"/>
      <c r="F5" s="196">
        <v>2023</v>
      </c>
      <c r="G5" s="196">
        <v>2023</v>
      </c>
      <c r="H5" s="196">
        <v>2023</v>
      </c>
      <c r="I5" s="196">
        <v>2023</v>
      </c>
      <c r="J5" s="196">
        <v>2023</v>
      </c>
      <c r="K5" s="196">
        <v>2023</v>
      </c>
      <c r="L5" s="196">
        <v>2023</v>
      </c>
      <c r="M5" s="196">
        <v>2023</v>
      </c>
      <c r="N5" s="196">
        <v>2023</v>
      </c>
      <c r="O5" s="196">
        <v>2023</v>
      </c>
      <c r="P5" s="196">
        <v>2023</v>
      </c>
      <c r="Q5" s="196">
        <v>2023</v>
      </c>
      <c r="R5" s="196">
        <v>2024</v>
      </c>
      <c r="S5" s="196">
        <v>2024</v>
      </c>
      <c r="T5" s="196">
        <v>2024</v>
      </c>
      <c r="U5" s="147"/>
    </row>
    <row r="6" spans="1:25" ht="15" thickBot="1" x14ac:dyDescent="0.35">
      <c r="A6" s="158"/>
      <c r="B6" s="159" t="s">
        <v>64</v>
      </c>
      <c r="C6" s="148"/>
      <c r="D6" s="148"/>
      <c r="E6" s="148"/>
      <c r="F6" s="195" t="s">
        <v>25</v>
      </c>
      <c r="G6" s="195" t="s">
        <v>26</v>
      </c>
      <c r="H6" s="195" t="s">
        <v>27</v>
      </c>
      <c r="I6" s="195" t="s">
        <v>28</v>
      </c>
      <c r="J6" s="195" t="s">
        <v>29</v>
      </c>
      <c r="K6" s="195" t="s">
        <v>30</v>
      </c>
      <c r="L6" s="195" t="s">
        <v>31</v>
      </c>
      <c r="M6" s="195" t="s">
        <v>32</v>
      </c>
      <c r="N6" s="195" t="s">
        <v>33</v>
      </c>
      <c r="O6" s="195" t="s">
        <v>34</v>
      </c>
      <c r="P6" s="195" t="s">
        <v>35</v>
      </c>
      <c r="Q6" s="195" t="s">
        <v>36</v>
      </c>
      <c r="R6" s="195" t="s">
        <v>25</v>
      </c>
      <c r="S6" s="195" t="s">
        <v>26</v>
      </c>
      <c r="T6" s="195" t="s">
        <v>27</v>
      </c>
      <c r="U6" s="192" t="s">
        <v>72</v>
      </c>
    </row>
    <row r="7" spans="1:25" s="124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68" t="s">
        <v>297</v>
      </c>
      <c r="F8"/>
    </row>
    <row r="9" spans="1:25" x14ac:dyDescent="0.3">
      <c r="C9" s="169"/>
      <c r="F9"/>
    </row>
    <row r="10" spans="1:25" x14ac:dyDescent="0.3">
      <c r="C10" s="168" t="s">
        <v>48</v>
      </c>
      <c r="F10"/>
      <c r="G10" s="170"/>
      <c r="H10" s="170"/>
      <c r="I10" s="170"/>
      <c r="J10" s="170"/>
      <c r="K10" s="170"/>
      <c r="L10" s="169"/>
      <c r="M10" s="170"/>
      <c r="N10" s="170"/>
      <c r="O10" s="170"/>
      <c r="P10" s="170"/>
      <c r="Q10" s="170"/>
      <c r="R10" s="170"/>
      <c r="S10" s="170"/>
      <c r="T10" s="170"/>
      <c r="V10" s="1"/>
    </row>
    <row r="11" spans="1:25" x14ac:dyDescent="0.3">
      <c r="C11" s="169" t="s">
        <v>172</v>
      </c>
      <c r="F11" s="369">
        <f>'CF 2023'!G63</f>
        <v>-2847</v>
      </c>
      <c r="G11" s="420">
        <f>'CF 2023'!H63</f>
        <v>-5487</v>
      </c>
      <c r="H11" s="420">
        <f>'CF 2023'!I63</f>
        <v>9406.5999999999985</v>
      </c>
      <c r="I11" s="420">
        <f>'CF 2023'!J63</f>
        <v>13013.800000000003</v>
      </c>
      <c r="J11" s="420">
        <f>'CF 2023'!K63</f>
        <v>14511.400000000001</v>
      </c>
      <c r="K11" s="420">
        <f>'CF 2023'!L63</f>
        <v>17385.800000000003</v>
      </c>
      <c r="L11" s="420">
        <f>'CF 2023'!M63</f>
        <v>23152.199999999997</v>
      </c>
      <c r="M11" s="420">
        <f>'CF 2023'!N63</f>
        <v>23787.4</v>
      </c>
      <c r="N11" s="420">
        <f>'CF 2023'!O63</f>
        <v>23657</v>
      </c>
      <c r="O11" s="420">
        <f>'CF 2023'!P63</f>
        <v>18264.199999999997</v>
      </c>
      <c r="P11" s="420">
        <f>'CF 2023'!Q63</f>
        <v>18846.599999999999</v>
      </c>
      <c r="Q11" s="420">
        <f>'CF 2023'!R63</f>
        <v>19802.599999999999</v>
      </c>
      <c r="R11" s="420">
        <f>'CF 2023'!S63</f>
        <v>1773</v>
      </c>
      <c r="S11" s="420">
        <f>'CF 2023'!T63</f>
        <v>2433</v>
      </c>
      <c r="T11" s="420">
        <f>'CF 2023'!U63</f>
        <v>17326.599999999999</v>
      </c>
      <c r="U11" s="1"/>
      <c r="V11" s="1"/>
    </row>
    <row r="12" spans="1:25" x14ac:dyDescent="0.3">
      <c r="C12" s="169" t="s">
        <v>173</v>
      </c>
      <c r="F12" s="369"/>
      <c r="G12" s="421"/>
      <c r="H12" s="421"/>
      <c r="I12" s="421" t="s">
        <v>190</v>
      </c>
      <c r="J12" s="421"/>
      <c r="K12" s="421" t="s">
        <v>190</v>
      </c>
      <c r="L12" s="421"/>
      <c r="M12" s="421"/>
      <c r="N12" s="421"/>
      <c r="O12" s="421"/>
      <c r="P12" s="421"/>
      <c r="Q12" s="421"/>
      <c r="R12" s="421"/>
      <c r="S12" s="421" t="s">
        <v>190</v>
      </c>
      <c r="T12" s="421" t="s">
        <v>190</v>
      </c>
      <c r="V12" s="1"/>
    </row>
    <row r="13" spans="1:25" x14ac:dyDescent="0.3">
      <c r="C13" s="169" t="s">
        <v>174</v>
      </c>
      <c r="F13" s="371"/>
      <c r="G13" s="5"/>
      <c r="H13" s="5"/>
      <c r="I13" s="420"/>
      <c r="J13" s="5"/>
      <c r="K13" s="420"/>
      <c r="L13" s="5"/>
      <c r="M13" s="5"/>
      <c r="N13" s="5"/>
      <c r="O13" s="5"/>
      <c r="P13" s="5"/>
      <c r="Q13" s="5"/>
      <c r="R13" s="5"/>
      <c r="S13" s="420"/>
      <c r="T13" s="420"/>
      <c r="V13" s="1"/>
    </row>
    <row r="14" spans="1:25" x14ac:dyDescent="0.3">
      <c r="C14" s="169" t="s">
        <v>175</v>
      </c>
      <c r="F14" s="369">
        <f>SUM(F11:F13)</f>
        <v>-2847</v>
      </c>
      <c r="G14" s="420">
        <f t="shared" ref="G14:Q14" si="0">SUM(G11:G13)</f>
        <v>-5487</v>
      </c>
      <c r="H14" s="420">
        <f t="shared" si="0"/>
        <v>9406.5999999999985</v>
      </c>
      <c r="I14" s="420">
        <f t="shared" si="0"/>
        <v>13013.800000000003</v>
      </c>
      <c r="J14" s="420">
        <f t="shared" si="0"/>
        <v>14511.400000000001</v>
      </c>
      <c r="K14" s="420">
        <f t="shared" si="0"/>
        <v>17385.800000000003</v>
      </c>
      <c r="L14" s="420">
        <f t="shared" si="0"/>
        <v>23152.199999999997</v>
      </c>
      <c r="M14" s="420">
        <f t="shared" si="0"/>
        <v>23787.4</v>
      </c>
      <c r="N14" s="420">
        <f t="shared" si="0"/>
        <v>23657</v>
      </c>
      <c r="O14" s="420">
        <f t="shared" si="0"/>
        <v>18264.199999999997</v>
      </c>
      <c r="P14" s="420">
        <f t="shared" si="0"/>
        <v>18846.599999999999</v>
      </c>
      <c r="Q14" s="420">
        <f t="shared" si="0"/>
        <v>19802.599999999999</v>
      </c>
      <c r="R14" s="420">
        <f t="shared" ref="R14" si="1">SUM(R11:R13)</f>
        <v>1773</v>
      </c>
      <c r="S14" s="420">
        <f t="shared" ref="S14" si="2">SUM(S11:S13)</f>
        <v>2433</v>
      </c>
      <c r="T14" s="420">
        <f t="shared" ref="T14" si="3">SUM(T11:T13)</f>
        <v>17326.599999999999</v>
      </c>
      <c r="U14" s="351">
        <f>SUM(F14:Q14)</f>
        <v>173493.60000000003</v>
      </c>
      <c r="V14" s="1"/>
    </row>
    <row r="15" spans="1:25" x14ac:dyDescent="0.3">
      <c r="C15" s="168" t="s">
        <v>49</v>
      </c>
      <c r="F15" s="5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V15" s="1"/>
    </row>
    <row r="16" spans="1:25" x14ac:dyDescent="0.3">
      <c r="C16" s="171" t="s">
        <v>176</v>
      </c>
      <c r="F16" s="420">
        <f>ABS('CF 2023'!G66)-'IS 2023'!F70</f>
        <v>151711</v>
      </c>
      <c r="G16" s="420">
        <f>F16-'IS 2023'!G70</f>
        <v>153422</v>
      </c>
      <c r="H16" s="420">
        <f>G16-'IS 2023'!H70</f>
        <v>155133</v>
      </c>
      <c r="I16" s="420">
        <f>H16-'IS 2023'!I70</f>
        <v>156844</v>
      </c>
      <c r="J16" s="420">
        <f>I16-'IS 2023'!J70</f>
        <v>158555</v>
      </c>
      <c r="K16" s="420">
        <f>J16-'IS 2023'!K70</f>
        <v>160266</v>
      </c>
      <c r="L16" s="420">
        <f>K16-'IS 2023'!L70</f>
        <v>161977</v>
      </c>
      <c r="M16" s="420">
        <f>L16-'IS 2023'!M70</f>
        <v>163688</v>
      </c>
      <c r="N16" s="420">
        <f>M16-'IS 2023'!N70</f>
        <v>165399</v>
      </c>
      <c r="O16" s="420">
        <f>N16-'IS 2023'!O70</f>
        <v>167110</v>
      </c>
      <c r="P16" s="420">
        <f>O16-'IS 2023'!P70</f>
        <v>168821</v>
      </c>
      <c r="Q16" s="420">
        <f>P16-'IS 2023'!Q70</f>
        <v>170532</v>
      </c>
      <c r="R16" s="420">
        <f>'BS 2024'!F16</f>
        <v>171982</v>
      </c>
      <c r="S16" s="420">
        <f>R16-'IS 2024'!G70</f>
        <v>173432</v>
      </c>
      <c r="T16" s="420">
        <f>S16-'IS 2024'!H70</f>
        <v>174882</v>
      </c>
      <c r="V16" s="1"/>
    </row>
    <row r="17" spans="1:22" x14ac:dyDescent="0.3">
      <c r="C17" s="171" t="s">
        <v>177</v>
      </c>
      <c r="F17" s="5"/>
      <c r="G17" s="5"/>
      <c r="H17" s="5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V17" s="1"/>
    </row>
    <row r="18" spans="1:22" x14ac:dyDescent="0.3">
      <c r="C18" s="171" t="s">
        <v>178</v>
      </c>
      <c r="F18" s="420">
        <f>SUM(F16:F17)</f>
        <v>151711</v>
      </c>
      <c r="G18" s="420">
        <f t="shared" ref="G18:T18" si="4">SUM(G16:G17)</f>
        <v>153422</v>
      </c>
      <c r="H18" s="420">
        <f t="shared" si="4"/>
        <v>155133</v>
      </c>
      <c r="I18" s="420">
        <f t="shared" si="4"/>
        <v>156844</v>
      </c>
      <c r="J18" s="420">
        <f t="shared" si="4"/>
        <v>158555</v>
      </c>
      <c r="K18" s="420">
        <f t="shared" si="4"/>
        <v>160266</v>
      </c>
      <c r="L18" s="420">
        <f t="shared" si="4"/>
        <v>161977</v>
      </c>
      <c r="M18" s="420">
        <f t="shared" si="4"/>
        <v>163688</v>
      </c>
      <c r="N18" s="420">
        <f t="shared" si="4"/>
        <v>165399</v>
      </c>
      <c r="O18" s="420">
        <f t="shared" si="4"/>
        <v>167110</v>
      </c>
      <c r="P18" s="420">
        <f t="shared" si="4"/>
        <v>168821</v>
      </c>
      <c r="Q18" s="420">
        <f t="shared" si="4"/>
        <v>170532</v>
      </c>
      <c r="R18" s="420">
        <f t="shared" si="4"/>
        <v>171982</v>
      </c>
      <c r="S18" s="420">
        <f t="shared" si="4"/>
        <v>173432</v>
      </c>
      <c r="T18" s="420">
        <f t="shared" si="4"/>
        <v>174882</v>
      </c>
      <c r="V18" s="1"/>
    </row>
    <row r="19" spans="1:22" x14ac:dyDescent="0.3">
      <c r="A19" s="142"/>
      <c r="B19" s="147"/>
      <c r="C19" s="180" t="s">
        <v>179</v>
      </c>
      <c r="D19" s="147"/>
      <c r="E19" s="147"/>
      <c r="F19" s="201">
        <f>SUM(F17:F18)</f>
        <v>151711</v>
      </c>
      <c r="G19" s="201">
        <f t="shared" ref="G19:T19" si="5">SUM(G17:G18)</f>
        <v>153422</v>
      </c>
      <c r="H19" s="201">
        <f t="shared" si="5"/>
        <v>155133</v>
      </c>
      <c r="I19" s="201">
        <f t="shared" si="5"/>
        <v>156844</v>
      </c>
      <c r="J19" s="201">
        <f t="shared" si="5"/>
        <v>158555</v>
      </c>
      <c r="K19" s="201">
        <f t="shared" si="5"/>
        <v>160266</v>
      </c>
      <c r="L19" s="201">
        <f t="shared" si="5"/>
        <v>161977</v>
      </c>
      <c r="M19" s="201">
        <f t="shared" si="5"/>
        <v>163688</v>
      </c>
      <c r="N19" s="201">
        <f t="shared" si="5"/>
        <v>165399</v>
      </c>
      <c r="O19" s="201">
        <f t="shared" si="5"/>
        <v>167110</v>
      </c>
      <c r="P19" s="201">
        <f t="shared" si="5"/>
        <v>168821</v>
      </c>
      <c r="Q19" s="201">
        <f t="shared" si="5"/>
        <v>170532</v>
      </c>
      <c r="R19" s="201">
        <f t="shared" si="5"/>
        <v>171982</v>
      </c>
      <c r="S19" s="201">
        <f t="shared" si="5"/>
        <v>173432</v>
      </c>
      <c r="T19" s="201">
        <f t="shared" si="5"/>
        <v>174882</v>
      </c>
      <c r="U19" s="201">
        <f>SUM(F19:Q19)</f>
        <v>1933458</v>
      </c>
      <c r="V19" s="1"/>
    </row>
    <row r="20" spans="1:22" x14ac:dyDescent="0.3">
      <c r="A20" s="158"/>
      <c r="B20" s="148"/>
      <c r="C20" s="182" t="s">
        <v>50</v>
      </c>
      <c r="D20" s="148"/>
      <c r="E20" s="148"/>
      <c r="F20" s="203">
        <f>F14+F19</f>
        <v>148864</v>
      </c>
      <c r="G20" s="203">
        <f>G14+G19</f>
        <v>147935</v>
      </c>
      <c r="H20" s="203">
        <f t="shared" ref="H20:T20" si="6">H14+H19</f>
        <v>164539.6</v>
      </c>
      <c r="I20" s="203">
        <f t="shared" si="6"/>
        <v>169857.8</v>
      </c>
      <c r="J20" s="203">
        <f t="shared" si="6"/>
        <v>173066.4</v>
      </c>
      <c r="K20" s="203">
        <f t="shared" si="6"/>
        <v>177651.8</v>
      </c>
      <c r="L20" s="203">
        <f t="shared" si="6"/>
        <v>185129.2</v>
      </c>
      <c r="M20" s="203">
        <f t="shared" si="6"/>
        <v>187475.4</v>
      </c>
      <c r="N20" s="203">
        <f t="shared" si="6"/>
        <v>189056</v>
      </c>
      <c r="O20" s="203">
        <f t="shared" si="6"/>
        <v>185374.2</v>
      </c>
      <c r="P20" s="203">
        <f t="shared" si="6"/>
        <v>187667.6</v>
      </c>
      <c r="Q20" s="203">
        <f t="shared" si="6"/>
        <v>190334.6</v>
      </c>
      <c r="R20" s="203">
        <f t="shared" si="6"/>
        <v>173755</v>
      </c>
      <c r="S20" s="203">
        <f t="shared" si="6"/>
        <v>175865</v>
      </c>
      <c r="T20" s="203">
        <f t="shared" si="6"/>
        <v>192208.6</v>
      </c>
      <c r="U20" s="203">
        <f>SUM(F20:Q20)</f>
        <v>2106951.5999999996</v>
      </c>
      <c r="V20" s="1"/>
    </row>
    <row r="21" spans="1:22" x14ac:dyDescent="0.3">
      <c r="C21" s="179" t="s">
        <v>51</v>
      </c>
      <c r="F21" s="5"/>
      <c r="G21" s="5"/>
      <c r="H21" s="5"/>
      <c r="I21" s="421"/>
      <c r="J21" s="5"/>
      <c r="K21" s="421"/>
      <c r="L21" s="5"/>
      <c r="M21" s="5"/>
      <c r="N21" s="5"/>
      <c r="O21" s="5"/>
      <c r="P21" s="5"/>
      <c r="Q21" s="5"/>
      <c r="R21" s="5"/>
      <c r="S21" s="421"/>
      <c r="T21" s="421"/>
      <c r="U21" s="5"/>
      <c r="V21" s="1"/>
    </row>
    <row r="22" spans="1:22" x14ac:dyDescent="0.3">
      <c r="C22" s="171" t="s">
        <v>180</v>
      </c>
      <c r="F22" s="421"/>
      <c r="G22" s="421"/>
      <c r="H22" s="5"/>
      <c r="I22" s="5"/>
      <c r="J22" s="5"/>
      <c r="K22" s="5"/>
      <c r="L22" s="5"/>
      <c r="M22" s="5"/>
      <c r="N22" s="5"/>
      <c r="O22" s="5"/>
      <c r="P22" s="5"/>
      <c r="Q22" s="421"/>
      <c r="R22" s="5"/>
      <c r="S22" s="5"/>
      <c r="T22" s="5"/>
      <c r="U22" s="5"/>
      <c r="V22" s="1"/>
    </row>
    <row r="23" spans="1:22" x14ac:dyDescent="0.3">
      <c r="C23" s="171" t="s">
        <v>181</v>
      </c>
      <c r="F23" s="5"/>
      <c r="G23" s="5"/>
      <c r="H23" s="421"/>
      <c r="I23" s="5"/>
      <c r="J23" s="421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1"/>
    </row>
    <row r="24" spans="1:22" x14ac:dyDescent="0.3">
      <c r="C24" s="169" t="s">
        <v>182</v>
      </c>
      <c r="F24" s="369">
        <f>'CF 2023'!G72</f>
        <v>-3694</v>
      </c>
      <c r="G24" s="369">
        <f>'CF 2023'!H72</f>
        <v>-3694</v>
      </c>
      <c r="H24" s="369">
        <f>'CF 2023'!I72</f>
        <v>-7252.4000000000005</v>
      </c>
      <c r="I24" s="369">
        <f>'CF 2023'!J72</f>
        <v>-7989.2000000000007</v>
      </c>
      <c r="J24" s="369">
        <f>'CF 2023'!K72</f>
        <v>-8198.6</v>
      </c>
      <c r="K24" s="369">
        <f>'CF 2023'!L72</f>
        <v>-8752.2000000000007</v>
      </c>
      <c r="L24" s="369">
        <f>'CF 2023'!M72</f>
        <v>-10028.800000000001</v>
      </c>
      <c r="M24" s="369">
        <f>'CF 2023'!N72</f>
        <v>-10022.6</v>
      </c>
      <c r="N24" s="369">
        <f>'CF 2023'!O72</f>
        <v>-9825</v>
      </c>
      <c r="O24" s="369">
        <f>'CF 2023'!P72</f>
        <v>-8311.8000000000011</v>
      </c>
      <c r="P24" s="369">
        <f>'CF 2023'!Q72</f>
        <v>-8292.4</v>
      </c>
      <c r="Q24" s="369">
        <f>'CF 2023'!R72</f>
        <v>-8366.4</v>
      </c>
      <c r="R24" s="369">
        <f>'CF 2023'!S72</f>
        <v>-3694</v>
      </c>
      <c r="S24" s="369">
        <f>'CF 2023'!T72</f>
        <v>-3694</v>
      </c>
      <c r="T24" s="369">
        <f>'CF 2023'!U72</f>
        <v>-7252.4000000000005</v>
      </c>
      <c r="U24" s="5"/>
      <c r="V24" s="1"/>
    </row>
    <row r="25" spans="1:22" x14ac:dyDescent="0.3">
      <c r="A25" s="147"/>
      <c r="B25" s="147"/>
      <c r="C25" s="173" t="s">
        <v>183</v>
      </c>
      <c r="D25" s="147"/>
      <c r="E25" s="147"/>
      <c r="F25" s="201">
        <f>SUM(F22:F24)</f>
        <v>-3694</v>
      </c>
      <c r="G25" s="201">
        <f t="shared" ref="G25:I25" si="7">SUM(G22:G24)</f>
        <v>-3694</v>
      </c>
      <c r="H25" s="201">
        <f t="shared" si="7"/>
        <v>-7252.4000000000005</v>
      </c>
      <c r="I25" s="201">
        <f t="shared" si="7"/>
        <v>-7989.2000000000007</v>
      </c>
      <c r="J25" s="201">
        <f t="shared" ref="J25" si="8">SUM(J22:J24)</f>
        <v>-8198.6</v>
      </c>
      <c r="K25" s="201">
        <f t="shared" ref="K25:L25" si="9">SUM(K22:K24)</f>
        <v>-8752.2000000000007</v>
      </c>
      <c r="L25" s="201">
        <f t="shared" si="9"/>
        <v>-10028.800000000001</v>
      </c>
      <c r="M25" s="201">
        <f t="shared" ref="M25" si="10">SUM(M22:M24)</f>
        <v>-10022.6</v>
      </c>
      <c r="N25" s="201">
        <f t="shared" ref="N25:O25" si="11">SUM(N22:N24)</f>
        <v>-9825</v>
      </c>
      <c r="O25" s="201">
        <f t="shared" si="11"/>
        <v>-8311.8000000000011</v>
      </c>
      <c r="P25" s="201">
        <f t="shared" ref="P25" si="12">SUM(P22:P24)</f>
        <v>-8292.4</v>
      </c>
      <c r="Q25" s="201">
        <f t="shared" ref="Q25:R25" si="13">SUM(Q22:Q24)</f>
        <v>-8366.4</v>
      </c>
      <c r="R25" s="201">
        <f t="shared" si="13"/>
        <v>-3694</v>
      </c>
      <c r="S25" s="201">
        <f t="shared" ref="S25" si="14">SUM(S22:S24)</f>
        <v>-3694</v>
      </c>
      <c r="T25" s="201">
        <f t="shared" ref="T25" si="15">SUM(T22:T24)</f>
        <v>-7252.4000000000005</v>
      </c>
      <c r="U25" s="201">
        <f>SUM(F25:Q25)</f>
        <v>-94427.400000000009</v>
      </c>
      <c r="V25" s="1"/>
    </row>
    <row r="26" spans="1:22" x14ac:dyDescent="0.3">
      <c r="A26" s="148"/>
      <c r="B26" s="148"/>
      <c r="C26" s="184" t="s">
        <v>52</v>
      </c>
      <c r="D26" s="148"/>
      <c r="E26" s="148"/>
      <c r="F26" s="203"/>
      <c r="G26" s="422"/>
      <c r="H26" s="422"/>
      <c r="I26" s="203"/>
      <c r="J26" s="422"/>
      <c r="K26" s="203"/>
      <c r="L26" s="422"/>
      <c r="M26" s="422"/>
      <c r="N26" s="422"/>
      <c r="O26" s="422"/>
      <c r="P26" s="422"/>
      <c r="Q26" s="422"/>
      <c r="R26" s="422"/>
      <c r="S26" s="203"/>
      <c r="T26" s="203"/>
      <c r="U26" s="422"/>
      <c r="V26" s="1"/>
    </row>
    <row r="27" spans="1:22" x14ac:dyDescent="0.3">
      <c r="C27" s="168" t="s">
        <v>184</v>
      </c>
      <c r="F27" s="369">
        <f>'CF 2023'!G48</f>
        <v>-150000</v>
      </c>
      <c r="G27" s="369">
        <f>F27-'CF 2023'!H52</f>
        <v>-146700</v>
      </c>
      <c r="H27" s="369">
        <f>G27-'CF 2023'!I52</f>
        <v>-143400</v>
      </c>
      <c r="I27" s="369">
        <f>H27-'CF 2023'!J52</f>
        <v>-140100</v>
      </c>
      <c r="J27" s="369">
        <f>I27-'CF 2023'!K52</f>
        <v>-136800</v>
      </c>
      <c r="K27" s="369">
        <f>J27-'CF 2023'!L52</f>
        <v>-133500</v>
      </c>
      <c r="L27" s="369">
        <f>K27-'CF 2023'!M52</f>
        <v>-130200</v>
      </c>
      <c r="M27" s="369">
        <f>L27-'CF 2023'!N52</f>
        <v>-126900</v>
      </c>
      <c r="N27" s="369">
        <f>M27-'CF 2023'!O52</f>
        <v>-123600</v>
      </c>
      <c r="O27" s="369">
        <f>N27-'CF 2023'!P52</f>
        <v>-120300</v>
      </c>
      <c r="P27" s="369">
        <f>O27-'CF 2023'!Q52</f>
        <v>-117000</v>
      </c>
      <c r="Q27" s="369">
        <f>P27-'CF 2023'!R52</f>
        <v>-113700</v>
      </c>
      <c r="R27" s="369">
        <f>'BS 2024'!F31</f>
        <v>-110400</v>
      </c>
      <c r="S27" s="369">
        <f>'BS 2024'!G31</f>
        <v>-107100</v>
      </c>
      <c r="T27" s="369">
        <f>'BS 2024'!H31</f>
        <v>-103800</v>
      </c>
      <c r="U27" s="369">
        <f>SUM(F27:Q27)</f>
        <v>-1582200</v>
      </c>
      <c r="V27" s="1"/>
    </row>
    <row r="28" spans="1:22" ht="12.6" customHeight="1" x14ac:dyDescent="0.3">
      <c r="C28" s="169"/>
      <c r="F28" s="5"/>
      <c r="G28" s="5"/>
      <c r="H28" s="5"/>
      <c r="I28" s="5"/>
      <c r="J28" s="420" t="s">
        <v>190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1"/>
    </row>
    <row r="29" spans="1:22" x14ac:dyDescent="0.3">
      <c r="C29" s="168" t="s">
        <v>185</v>
      </c>
      <c r="F29" s="420"/>
      <c r="G29" s="420"/>
      <c r="H29" s="420"/>
      <c r="I29" s="5"/>
      <c r="J29" s="5"/>
      <c r="K29" s="5"/>
      <c r="L29" s="5"/>
      <c r="M29" s="5"/>
      <c r="N29" s="5"/>
      <c r="O29" s="5"/>
      <c r="P29" s="5"/>
      <c r="Q29" s="420"/>
      <c r="R29" s="5"/>
      <c r="S29" s="5"/>
      <c r="T29" s="5"/>
      <c r="U29" s="5"/>
      <c r="V29" s="1"/>
    </row>
    <row r="30" spans="1:22" x14ac:dyDescent="0.3">
      <c r="C30" s="171" t="s">
        <v>193</v>
      </c>
      <c r="F30" s="420"/>
      <c r="G30" s="420"/>
      <c r="H30" s="420"/>
      <c r="I30" s="5"/>
      <c r="J30" s="5"/>
      <c r="K30" s="5"/>
      <c r="L30" s="5"/>
      <c r="M30" s="5"/>
      <c r="N30" s="5"/>
      <c r="O30" s="5"/>
      <c r="P30" s="5"/>
      <c r="Q30" s="420"/>
      <c r="R30" s="5"/>
      <c r="S30" s="5"/>
      <c r="T30" s="5"/>
      <c r="U30" s="5"/>
      <c r="V30" s="1"/>
    </row>
    <row r="31" spans="1:22" x14ac:dyDescent="0.3">
      <c r="C31" s="168" t="s">
        <v>186</v>
      </c>
      <c r="F31" s="369">
        <f>SUM(F27:F29)</f>
        <v>-150000</v>
      </c>
      <c r="G31" s="369">
        <f t="shared" ref="G31:T31" si="16">SUM(G27:G29)</f>
        <v>-146700</v>
      </c>
      <c r="H31" s="369">
        <f t="shared" si="16"/>
        <v>-143400</v>
      </c>
      <c r="I31" s="369">
        <f t="shared" si="16"/>
        <v>-140100</v>
      </c>
      <c r="J31" s="369">
        <f t="shared" si="16"/>
        <v>-136800</v>
      </c>
      <c r="K31" s="369">
        <f t="shared" si="16"/>
        <v>-133500</v>
      </c>
      <c r="L31" s="369">
        <f t="shared" si="16"/>
        <v>-130200</v>
      </c>
      <c r="M31" s="369">
        <f t="shared" si="16"/>
        <v>-126900</v>
      </c>
      <c r="N31" s="369">
        <f t="shared" si="16"/>
        <v>-123600</v>
      </c>
      <c r="O31" s="369">
        <f t="shared" si="16"/>
        <v>-120300</v>
      </c>
      <c r="P31" s="369">
        <f t="shared" si="16"/>
        <v>-117000</v>
      </c>
      <c r="Q31" s="369">
        <f t="shared" si="16"/>
        <v>-113700</v>
      </c>
      <c r="R31" s="369">
        <f t="shared" si="16"/>
        <v>-110400</v>
      </c>
      <c r="S31" s="369">
        <f t="shared" si="16"/>
        <v>-107100</v>
      </c>
      <c r="T31" s="369">
        <f t="shared" si="16"/>
        <v>-103800</v>
      </c>
      <c r="U31" s="5"/>
      <c r="V31" s="1"/>
    </row>
    <row r="32" spans="1:22" x14ac:dyDescent="0.3">
      <c r="C32" s="168" t="s">
        <v>53</v>
      </c>
      <c r="F32" s="369">
        <f>F31+F24</f>
        <v>-153694</v>
      </c>
      <c r="G32" s="369">
        <f t="shared" ref="G32:I32" si="17">G31+G24</f>
        <v>-150394</v>
      </c>
      <c r="H32" s="369">
        <f t="shared" si="17"/>
        <v>-150652.4</v>
      </c>
      <c r="I32" s="369">
        <f t="shared" si="17"/>
        <v>-148089.20000000001</v>
      </c>
      <c r="J32" s="369">
        <f t="shared" ref="J32" si="18">J31+J24</f>
        <v>-144998.6</v>
      </c>
      <c r="K32" s="369">
        <f t="shared" ref="K32:L32" si="19">K31+K24</f>
        <v>-142252.20000000001</v>
      </c>
      <c r="L32" s="369">
        <f t="shared" si="19"/>
        <v>-140228.79999999999</v>
      </c>
      <c r="M32" s="369">
        <f t="shared" ref="M32" si="20">M31+M24</f>
        <v>-136922.6</v>
      </c>
      <c r="N32" s="369">
        <f t="shared" ref="N32:O32" si="21">N31+N24</f>
        <v>-133425</v>
      </c>
      <c r="O32" s="369">
        <f t="shared" si="21"/>
        <v>-128611.8</v>
      </c>
      <c r="P32" s="369">
        <f t="shared" ref="P32" si="22">P31+P24</f>
        <v>-125292.4</v>
      </c>
      <c r="Q32" s="369">
        <f t="shared" ref="Q32:R32" si="23">Q31+Q24</f>
        <v>-122066.4</v>
      </c>
      <c r="R32" s="369">
        <f t="shared" si="23"/>
        <v>-114094</v>
      </c>
      <c r="S32" s="369">
        <f t="shared" ref="S32" si="24">S31+S24</f>
        <v>-110794</v>
      </c>
      <c r="T32" s="369">
        <f t="shared" ref="T32" si="25">T31+T24</f>
        <v>-111052.4</v>
      </c>
      <c r="U32" s="5"/>
      <c r="V32" s="1"/>
    </row>
    <row r="33" spans="3:22" x14ac:dyDescent="0.3">
      <c r="C33" s="168" t="s">
        <v>54</v>
      </c>
      <c r="F33" s="423">
        <f>F20+F32</f>
        <v>-4830</v>
      </c>
      <c r="G33" s="423">
        <f t="shared" ref="G33:Q33" si="26">G20+G32</f>
        <v>-2459</v>
      </c>
      <c r="H33" s="424">
        <f t="shared" si="26"/>
        <v>13887.200000000012</v>
      </c>
      <c r="I33" s="424">
        <f t="shared" si="26"/>
        <v>21768.599999999977</v>
      </c>
      <c r="J33" s="424">
        <f t="shared" si="26"/>
        <v>28067.799999999988</v>
      </c>
      <c r="K33" s="424">
        <f t="shared" si="26"/>
        <v>35399.599999999977</v>
      </c>
      <c r="L33" s="424">
        <f t="shared" si="26"/>
        <v>44900.400000000023</v>
      </c>
      <c r="M33" s="424">
        <f t="shared" si="26"/>
        <v>50552.799999999988</v>
      </c>
      <c r="N33" s="424">
        <f t="shared" si="26"/>
        <v>55631</v>
      </c>
      <c r="O33" s="424">
        <f t="shared" si="26"/>
        <v>56762.400000000009</v>
      </c>
      <c r="P33" s="424">
        <f t="shared" si="26"/>
        <v>62375.200000000012</v>
      </c>
      <c r="Q33" s="424">
        <f t="shared" si="26"/>
        <v>68268.200000000012</v>
      </c>
      <c r="R33" s="424">
        <f t="shared" ref="R33" si="27">R20+R32</f>
        <v>59661</v>
      </c>
      <c r="S33" s="424">
        <f t="shared" ref="S33" si="28">S20+S32</f>
        <v>65071</v>
      </c>
      <c r="T33" s="424">
        <f t="shared" ref="T33" si="29">T20+T32</f>
        <v>81156.200000000012</v>
      </c>
      <c r="U33" s="425">
        <f>SUM(F33:Q33)</f>
        <v>430324.2</v>
      </c>
      <c r="V33" s="1"/>
    </row>
    <row r="34" spans="3:22" x14ac:dyDescent="0.3">
      <c r="C34" s="171" t="s">
        <v>56</v>
      </c>
      <c r="F34" s="371"/>
      <c r="G34" s="371"/>
      <c r="H34" s="421"/>
      <c r="I34" s="421"/>
      <c r="J34" s="420"/>
      <c r="K34" s="420"/>
      <c r="L34" s="420"/>
      <c r="M34" s="420"/>
      <c r="N34" s="420"/>
      <c r="O34" s="420"/>
      <c r="P34" s="420"/>
      <c r="Q34" s="421"/>
      <c r="R34" s="420"/>
      <c r="S34" s="420"/>
      <c r="T34" s="420"/>
      <c r="U34" s="5"/>
      <c r="V34" s="1"/>
    </row>
    <row r="35" spans="3:22" x14ac:dyDescent="0.3">
      <c r="C35" s="171" t="s">
        <v>58</v>
      </c>
      <c r="F35" s="369">
        <f>SUM(F33:F34)</f>
        <v>-4830</v>
      </c>
      <c r="G35" s="369">
        <f t="shared" ref="G35:T35" si="30">SUM(G33:G34)</f>
        <v>-2459</v>
      </c>
      <c r="H35" s="420">
        <f t="shared" si="30"/>
        <v>13887.200000000012</v>
      </c>
      <c r="I35" s="420">
        <f t="shared" si="30"/>
        <v>21768.599999999977</v>
      </c>
      <c r="J35" s="420">
        <f t="shared" si="30"/>
        <v>28067.799999999988</v>
      </c>
      <c r="K35" s="420">
        <f t="shared" si="30"/>
        <v>35399.599999999977</v>
      </c>
      <c r="L35" s="420">
        <f t="shared" si="30"/>
        <v>44900.400000000023</v>
      </c>
      <c r="M35" s="420">
        <f t="shared" si="30"/>
        <v>50552.799999999988</v>
      </c>
      <c r="N35" s="420">
        <f t="shared" si="30"/>
        <v>55631</v>
      </c>
      <c r="O35" s="420">
        <f t="shared" si="30"/>
        <v>56762.400000000009</v>
      </c>
      <c r="P35" s="420">
        <f t="shared" si="30"/>
        <v>62375.200000000012</v>
      </c>
      <c r="Q35" s="420">
        <f t="shared" si="30"/>
        <v>68268.200000000012</v>
      </c>
      <c r="R35" s="420">
        <f t="shared" si="30"/>
        <v>59661</v>
      </c>
      <c r="S35" s="420">
        <f t="shared" si="30"/>
        <v>65071</v>
      </c>
      <c r="T35" s="420">
        <f t="shared" si="30"/>
        <v>81156.200000000012</v>
      </c>
      <c r="U35" s="5"/>
      <c r="V35" s="1"/>
    </row>
    <row r="36" spans="3:22" x14ac:dyDescent="0.3">
      <c r="C36" s="178" t="s">
        <v>59</v>
      </c>
      <c r="F36" s="369">
        <f>F34+F35</f>
        <v>-4830</v>
      </c>
      <c r="G36" s="369">
        <f t="shared" ref="G36:T36" si="31">G34+G35</f>
        <v>-2459</v>
      </c>
      <c r="H36" s="420">
        <f t="shared" si="31"/>
        <v>13887.200000000012</v>
      </c>
      <c r="I36" s="420">
        <f t="shared" si="31"/>
        <v>21768.599999999977</v>
      </c>
      <c r="J36" s="420">
        <f t="shared" si="31"/>
        <v>28067.799999999988</v>
      </c>
      <c r="K36" s="420">
        <f t="shared" si="31"/>
        <v>35399.599999999977</v>
      </c>
      <c r="L36" s="420">
        <f t="shared" si="31"/>
        <v>44900.400000000023</v>
      </c>
      <c r="M36" s="420">
        <f t="shared" si="31"/>
        <v>50552.799999999988</v>
      </c>
      <c r="N36" s="420">
        <f t="shared" si="31"/>
        <v>55631</v>
      </c>
      <c r="O36" s="420">
        <f t="shared" si="31"/>
        <v>56762.400000000009</v>
      </c>
      <c r="P36" s="420">
        <f t="shared" si="31"/>
        <v>62375.200000000012</v>
      </c>
      <c r="Q36" s="420">
        <f t="shared" si="31"/>
        <v>68268.200000000012</v>
      </c>
      <c r="R36" s="420">
        <f t="shared" si="31"/>
        <v>59661</v>
      </c>
      <c r="S36" s="420">
        <f t="shared" si="31"/>
        <v>65071</v>
      </c>
      <c r="T36" s="420">
        <f t="shared" si="31"/>
        <v>81156.200000000012</v>
      </c>
      <c r="U36" s="5"/>
      <c r="V36" s="1"/>
    </row>
    <row r="37" spans="3:22" x14ac:dyDescent="0.3">
      <c r="C37" s="17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5"/>
      <c r="V37" s="1"/>
    </row>
    <row r="38" spans="3:22" x14ac:dyDescent="0.3">
      <c r="C38" s="171" t="s">
        <v>187</v>
      </c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V38" s="1"/>
    </row>
    <row r="39" spans="3:22" x14ac:dyDescent="0.3">
      <c r="C39" s="171" t="s">
        <v>188</v>
      </c>
      <c r="F3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V39" s="1"/>
    </row>
    <row r="40" spans="3:22" x14ac:dyDescent="0.3">
      <c r="C40" s="171" t="s">
        <v>189</v>
      </c>
      <c r="F40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V40" s="1"/>
    </row>
    <row r="41" spans="3:22" x14ac:dyDescent="0.3">
      <c r="C41" s="171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</sheetData>
  <phoneticPr fontId="7" type="noConversion"/>
  <pageMargins left="0.7" right="0.7" top="0.75" bottom="0.75" header="0.3" footer="0.3"/>
  <ignoredErrors>
    <ignoredError sqref="F19:G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867D-A35F-407E-8EA4-B2A4D82E260A}">
  <sheetPr codeName="Sheet1"/>
  <dimension ref="B2:V99"/>
  <sheetViews>
    <sheetView showGridLines="0" topLeftCell="A43" zoomScale="96" zoomScaleNormal="96" workbookViewId="0">
      <selection activeCell="K5" sqref="K5:V5"/>
    </sheetView>
  </sheetViews>
  <sheetFormatPr defaultRowHeight="14.4" x14ac:dyDescent="0.3"/>
  <cols>
    <col min="1" max="1" width="2.44140625" customWidth="1"/>
    <col min="5" max="5" width="12.6640625" customWidth="1"/>
    <col min="6" max="6" width="11.109375" customWidth="1"/>
    <col min="7" max="7" width="11.5546875" customWidth="1"/>
    <col min="8" max="9" width="11.6640625" customWidth="1"/>
    <col min="10" max="10" width="3.6640625" customWidth="1"/>
    <col min="11" max="11" width="12.77734375" customWidth="1"/>
    <col min="12" max="12" width="10.109375" bestFit="1" customWidth="1"/>
    <col min="13" max="13" width="10.33203125" customWidth="1"/>
    <col min="14" max="15" width="10.109375" customWidth="1"/>
    <col min="16" max="16" width="10" customWidth="1"/>
    <col min="17" max="18" width="10.109375" customWidth="1"/>
    <col min="19" max="20" width="9.77734375" customWidth="1"/>
    <col min="21" max="21" width="9.6640625" customWidth="1"/>
    <col min="22" max="22" width="9.77734375" customWidth="1"/>
  </cols>
  <sheetData>
    <row r="2" spans="2:22" x14ac:dyDescent="0.3">
      <c r="B2" s="173" t="s">
        <v>220</v>
      </c>
      <c r="C2" s="173"/>
      <c r="D2" s="173"/>
      <c r="E2" s="173"/>
      <c r="F2" s="147"/>
      <c r="G2" s="147"/>
      <c r="H2" s="147"/>
      <c r="I2" s="147"/>
      <c r="J2" s="147"/>
      <c r="K2" s="428" t="s">
        <v>224</v>
      </c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</row>
    <row r="4" spans="2:22" x14ac:dyDescent="0.3">
      <c r="B4" s="186" t="s">
        <v>20</v>
      </c>
      <c r="C4" s="186"/>
      <c r="D4" s="186"/>
      <c r="E4" s="187">
        <v>2023</v>
      </c>
      <c r="F4" s="187">
        <v>2024</v>
      </c>
      <c r="G4" s="187">
        <v>2025</v>
      </c>
      <c r="H4" s="187">
        <v>2026</v>
      </c>
      <c r="I4" s="187">
        <v>2027</v>
      </c>
      <c r="J4" s="186"/>
      <c r="K4" s="187" t="s">
        <v>25</v>
      </c>
      <c r="L4" s="187" t="s">
        <v>26</v>
      </c>
      <c r="M4" s="187" t="s">
        <v>27</v>
      </c>
      <c r="N4" s="187" t="s">
        <v>28</v>
      </c>
      <c r="O4" s="187" t="s">
        <v>29</v>
      </c>
      <c r="P4" s="187" t="s">
        <v>30</v>
      </c>
      <c r="Q4" s="187" t="s">
        <v>31</v>
      </c>
      <c r="R4" s="187" t="s">
        <v>32</v>
      </c>
      <c r="S4" s="187" t="s">
        <v>33</v>
      </c>
      <c r="T4" s="187" t="s">
        <v>34</v>
      </c>
      <c r="U4" s="187" t="s">
        <v>35</v>
      </c>
      <c r="V4" s="187" t="s">
        <v>36</v>
      </c>
    </row>
    <row r="5" spans="2:22" x14ac:dyDescent="0.3">
      <c r="B5" t="s">
        <v>37</v>
      </c>
      <c r="E5" s="194">
        <f>'CF 2023'!R68</f>
        <v>54409</v>
      </c>
      <c r="F5" s="194">
        <f>'Statements Summary 2024'!V5</f>
        <v>54409</v>
      </c>
      <c r="G5" s="194">
        <f>'Statements Summary 2025'!V5</f>
        <v>54409</v>
      </c>
      <c r="H5" s="194">
        <f>'Statements Summary 2026'!V5</f>
        <v>54409</v>
      </c>
      <c r="I5" s="194">
        <f>'Statements Summary 2027'!V5</f>
        <v>54409</v>
      </c>
      <c r="K5" s="194">
        <f>'CF 2023'!G68</f>
        <v>31047</v>
      </c>
      <c r="L5" s="194">
        <f>'CF 2023'!H68</f>
        <v>31047</v>
      </c>
      <c r="M5" s="194">
        <f>'CF 2023'!I68</f>
        <v>48839</v>
      </c>
      <c r="N5" s="194">
        <f>'CF 2023'!J68</f>
        <v>52523</v>
      </c>
      <c r="O5" s="194">
        <f>'CF 2023'!K68</f>
        <v>53570</v>
      </c>
      <c r="P5" s="194">
        <f>'CF 2023'!L68</f>
        <v>56338</v>
      </c>
      <c r="Q5" s="194">
        <f>'CF 2023'!M68</f>
        <v>62721</v>
      </c>
      <c r="R5" s="194">
        <f>'CF 2023'!N68</f>
        <v>62690</v>
      </c>
      <c r="S5" s="194">
        <f>'CF 2023'!O68</f>
        <v>61702</v>
      </c>
      <c r="T5" s="194">
        <f>'CF 2023'!P68</f>
        <v>54136</v>
      </c>
      <c r="U5" s="194">
        <f>'CF 2023'!Q68</f>
        <v>54039</v>
      </c>
      <c r="V5" s="194">
        <f>'CF 2023'!R68</f>
        <v>54409</v>
      </c>
    </row>
    <row r="6" spans="2:22" x14ac:dyDescent="0.3">
      <c r="B6" t="s">
        <v>38</v>
      </c>
      <c r="E6" s="194">
        <f>'CF 2023'!G34</f>
        <v>-200</v>
      </c>
      <c r="F6" s="194">
        <f>'CF 2024'!R34</f>
        <v>-200</v>
      </c>
      <c r="G6" s="194">
        <f>'CF 2025'!R36</f>
        <v>-200</v>
      </c>
      <c r="H6" s="194">
        <f>'Statements Summary 2026'!V6</f>
        <v>-250</v>
      </c>
      <c r="I6" s="194">
        <f>'Statements Summary 2027'!V6</f>
        <v>-250</v>
      </c>
      <c r="K6" s="194">
        <f>'CF 2023'!G34</f>
        <v>-200</v>
      </c>
      <c r="L6" s="194">
        <f>'CF 2023'!H34</f>
        <v>-200</v>
      </c>
      <c r="M6" s="194">
        <f>'CF 2023'!I34</f>
        <v>-200</v>
      </c>
      <c r="N6" s="194">
        <f>'CF 2023'!J34</f>
        <v>-200</v>
      </c>
      <c r="O6" s="194">
        <f>'CF 2023'!K34</f>
        <v>-200</v>
      </c>
      <c r="P6" s="194">
        <f>'CF 2023'!L34</f>
        <v>-200</v>
      </c>
      <c r="Q6" s="194">
        <f>'CF 2023'!M34</f>
        <v>-200</v>
      </c>
      <c r="R6" s="194">
        <f>'CF 2023'!N34</f>
        <v>-200</v>
      </c>
      <c r="S6" s="194">
        <f>'CF 2023'!O34</f>
        <v>-200</v>
      </c>
      <c r="T6" s="194">
        <f>'CF 2023'!P34</f>
        <v>-200</v>
      </c>
      <c r="U6" s="194">
        <f>'CF 2023'!Q34</f>
        <v>-200</v>
      </c>
      <c r="V6" s="194">
        <f>'CF 2023'!R34</f>
        <v>-200</v>
      </c>
    </row>
    <row r="7" spans="2:22" x14ac:dyDescent="0.3">
      <c r="B7" t="s">
        <v>39</v>
      </c>
      <c r="E7" s="194">
        <f t="shared" ref="E7:E17" si="0">V7</f>
        <v>-3300</v>
      </c>
      <c r="F7" s="194">
        <f>'Statements Summary 2024'!V7</f>
        <v>-3300</v>
      </c>
      <c r="G7" s="194">
        <f>'Statements Summary 2025'!V7</f>
        <v>-3300</v>
      </c>
      <c r="H7" s="194">
        <f>'Statements Summary 2026'!V7</f>
        <v>-3300</v>
      </c>
      <c r="I7" s="194">
        <f>'Statements Summary 2027'!V7</f>
        <v>0</v>
      </c>
      <c r="K7" s="194" t="s">
        <v>190</v>
      </c>
      <c r="L7" s="194">
        <f>'CF 2023'!H52</f>
        <v>-3300</v>
      </c>
      <c r="M7" s="194">
        <f>'CF 2023'!I52</f>
        <v>-3300</v>
      </c>
      <c r="N7" s="194">
        <f>'CF 2023'!J52</f>
        <v>-3300</v>
      </c>
      <c r="O7" s="194">
        <f>'CF 2023'!K52</f>
        <v>-3300</v>
      </c>
      <c r="P7" s="194">
        <f>'CF 2023'!L52</f>
        <v>-3300</v>
      </c>
      <c r="Q7" s="194">
        <f>'CF 2023'!M52</f>
        <v>-3300</v>
      </c>
      <c r="R7" s="194">
        <f>'CF 2023'!N52</f>
        <v>-3300</v>
      </c>
      <c r="S7" s="194">
        <f>'CF 2023'!O52</f>
        <v>-3300</v>
      </c>
      <c r="T7" s="194">
        <f>'CF 2023'!P52</f>
        <v>-3300</v>
      </c>
      <c r="U7" s="194">
        <f>'CF 2023'!Q52</f>
        <v>-3300</v>
      </c>
      <c r="V7" s="194">
        <f>'CF 2023'!R52</f>
        <v>-3300</v>
      </c>
    </row>
    <row r="8" spans="2:22" x14ac:dyDescent="0.3">
      <c r="B8" t="s">
        <v>14</v>
      </c>
      <c r="E8" s="194">
        <f t="shared" si="0"/>
        <v>23102.6</v>
      </c>
      <c r="F8" s="194">
        <f>'Statements Summary 2024'!V8</f>
        <v>23102.6</v>
      </c>
      <c r="G8" s="194">
        <f>'Statements Summary 2025'!V8</f>
        <v>43959.8</v>
      </c>
      <c r="H8" s="194">
        <f>'Statements Summary 2026'!V8</f>
        <v>44642.2</v>
      </c>
      <c r="I8" s="194">
        <f>'Statements Summary 2027'!V8</f>
        <v>44651</v>
      </c>
      <c r="K8" s="194">
        <f>'CF 2023'!G41</f>
        <v>-2847</v>
      </c>
      <c r="L8" s="194">
        <f>'CF 2023'!H41</f>
        <v>-2187</v>
      </c>
      <c r="M8" s="194">
        <f>'CF 2023'!I41</f>
        <v>12706.599999999999</v>
      </c>
      <c r="N8" s="194">
        <f>'CF 2023'!J41</f>
        <v>16313.800000000003</v>
      </c>
      <c r="O8" s="194">
        <f>'CF 2023'!K41</f>
        <v>17811.400000000001</v>
      </c>
      <c r="P8" s="194">
        <f>'CF 2023'!L41</f>
        <v>20685.800000000003</v>
      </c>
      <c r="Q8" s="194">
        <f>'CF 2023'!M41</f>
        <v>26452.199999999997</v>
      </c>
      <c r="R8" s="194">
        <f>'CF 2023'!N41</f>
        <v>27087.4</v>
      </c>
      <c r="S8" s="194">
        <f>'CF 2023'!O41</f>
        <v>26957</v>
      </c>
      <c r="T8" s="194">
        <f>'CF 2023'!P41</f>
        <v>21564.199999999997</v>
      </c>
      <c r="U8" s="194">
        <f>'CF 2023'!Q41</f>
        <v>22146.6</v>
      </c>
      <c r="V8" s="194">
        <f>'CF 2023'!R41</f>
        <v>23102.6</v>
      </c>
    </row>
    <row r="9" spans="2:22" x14ac:dyDescent="0.3">
      <c r="B9" t="s">
        <v>40</v>
      </c>
      <c r="E9" s="194" t="str">
        <f t="shared" si="0"/>
        <v>-</v>
      </c>
      <c r="F9" s="194" t="str">
        <f>'Statements Summary 2024'!V9</f>
        <v>-</v>
      </c>
      <c r="G9" s="194">
        <f>'Statements Summary 2025'!V9</f>
        <v>0</v>
      </c>
      <c r="H9" s="194">
        <f>'Statements Summary 2026'!V9</f>
        <v>0</v>
      </c>
      <c r="I9" s="194">
        <f>'Statements Summary 2027'!V9</f>
        <v>0</v>
      </c>
      <c r="K9" s="194">
        <f>'CF 2023'!G46</f>
        <v>150000</v>
      </c>
      <c r="L9" s="194" t="s">
        <v>190</v>
      </c>
      <c r="M9" s="194" t="s">
        <v>190</v>
      </c>
      <c r="N9" s="194" t="s">
        <v>190</v>
      </c>
      <c r="O9" s="194" t="s">
        <v>190</v>
      </c>
      <c r="P9" s="194" t="s">
        <v>190</v>
      </c>
      <c r="Q9" s="194" t="s">
        <v>190</v>
      </c>
      <c r="R9" s="194" t="s">
        <v>190</v>
      </c>
      <c r="S9" s="194" t="s">
        <v>190</v>
      </c>
      <c r="T9" s="194" t="s">
        <v>190</v>
      </c>
      <c r="U9" s="194" t="s">
        <v>190</v>
      </c>
      <c r="V9" s="194" t="s">
        <v>190</v>
      </c>
    </row>
    <row r="10" spans="2:22" x14ac:dyDescent="0.3">
      <c r="B10" t="s">
        <v>41</v>
      </c>
      <c r="E10" s="194" t="str">
        <f t="shared" si="0"/>
        <v>-</v>
      </c>
      <c r="F10" s="194" t="str">
        <f>'Statements Summary 2024'!V10</f>
        <v>-</v>
      </c>
      <c r="G10" s="194" t="str">
        <f>'Statements Summary 2025'!V10</f>
        <v>-</v>
      </c>
      <c r="H10" s="194" t="str">
        <f>'Statements Summary 2026'!V10</f>
        <v>-</v>
      </c>
      <c r="I10" s="194" t="str">
        <f>'Statements Summary 2027'!V10</f>
        <v>-</v>
      </c>
      <c r="K10" s="194" t="s">
        <v>190</v>
      </c>
      <c r="L10" s="194" t="s">
        <v>190</v>
      </c>
      <c r="M10" s="194" t="s">
        <v>190</v>
      </c>
      <c r="N10" s="194" t="s">
        <v>190</v>
      </c>
      <c r="O10" s="194" t="s">
        <v>190</v>
      </c>
      <c r="P10" s="194" t="s">
        <v>190</v>
      </c>
      <c r="Q10" s="194" t="s">
        <v>190</v>
      </c>
      <c r="R10" s="194" t="s">
        <v>190</v>
      </c>
      <c r="S10" s="194" t="s">
        <v>190</v>
      </c>
      <c r="T10" s="194" t="s">
        <v>190</v>
      </c>
      <c r="U10" s="194" t="s">
        <v>190</v>
      </c>
      <c r="V10" s="194" t="s">
        <v>190</v>
      </c>
    </row>
    <row r="11" spans="2:22" x14ac:dyDescent="0.3">
      <c r="B11" t="s">
        <v>42</v>
      </c>
      <c r="E11" s="194" t="str">
        <f t="shared" si="0"/>
        <v>-</v>
      </c>
      <c r="F11" s="194" t="str">
        <f>'Statements Summary 2024'!V11</f>
        <v>-</v>
      </c>
      <c r="G11" s="194" t="str">
        <f>'Statements Summary 2025'!V11</f>
        <v>-</v>
      </c>
      <c r="H11" s="194" t="str">
        <f>'Statements Summary 2026'!V11</f>
        <v>-</v>
      </c>
      <c r="I11" s="194" t="str">
        <f>'Statements Summary 2027'!V11</f>
        <v>-</v>
      </c>
      <c r="K11" s="194">
        <f>'CF 2023'!G46</f>
        <v>150000</v>
      </c>
      <c r="L11" s="194" t="s">
        <v>190</v>
      </c>
      <c r="M11" s="194" t="s">
        <v>190</v>
      </c>
      <c r="N11" s="194" t="s">
        <v>190</v>
      </c>
      <c r="O11" s="194" t="s">
        <v>190</v>
      </c>
      <c r="P11" s="194" t="s">
        <v>190</v>
      </c>
      <c r="Q11" s="194" t="s">
        <v>190</v>
      </c>
      <c r="R11" s="194" t="s">
        <v>190</v>
      </c>
      <c r="S11" s="194" t="s">
        <v>190</v>
      </c>
      <c r="T11" s="194" t="s">
        <v>190</v>
      </c>
      <c r="U11" s="194" t="s">
        <v>190</v>
      </c>
      <c r="V11" s="194" t="s">
        <v>190</v>
      </c>
    </row>
    <row r="12" spans="2:22" x14ac:dyDescent="0.3">
      <c r="B12" t="s">
        <v>43</v>
      </c>
      <c r="E12" s="194">
        <f t="shared" si="0"/>
        <v>-3300</v>
      </c>
      <c r="F12" s="194">
        <f>'Statements Summary 2024'!V12</f>
        <v>-3300</v>
      </c>
      <c r="G12" s="194">
        <f>'Statements Summary 2025'!V12</f>
        <v>-3300</v>
      </c>
      <c r="H12" s="194">
        <f>'Statements Summary 2026'!V12</f>
        <v>-3300</v>
      </c>
      <c r="I12" s="194">
        <f>'Statements Summary 2027'!V12</f>
        <v>0</v>
      </c>
      <c r="K12" s="194" t="s">
        <v>190</v>
      </c>
      <c r="L12" s="194">
        <f>'CF 2023'!H52</f>
        <v>-3300</v>
      </c>
      <c r="M12" s="194">
        <f>'CF 2023'!I52</f>
        <v>-3300</v>
      </c>
      <c r="N12" s="194">
        <f>'CF 2023'!J52</f>
        <v>-3300</v>
      </c>
      <c r="O12" s="194">
        <f>'CF 2023'!K52</f>
        <v>-3300</v>
      </c>
      <c r="P12" s="194">
        <f>'CF 2023'!L52</f>
        <v>-3300</v>
      </c>
      <c r="Q12" s="194">
        <f>'CF 2023'!M52</f>
        <v>-3300</v>
      </c>
      <c r="R12" s="194">
        <f>'CF 2023'!N52</f>
        <v>-3300</v>
      </c>
      <c r="S12" s="194">
        <f>'CF 2023'!O52</f>
        <v>-3300</v>
      </c>
      <c r="T12" s="194">
        <f>'CF 2023'!P52</f>
        <v>-3300</v>
      </c>
      <c r="U12" s="194">
        <f>'CF 2023'!Q52</f>
        <v>-3300</v>
      </c>
      <c r="V12" s="194">
        <f>'CF 2023'!R52</f>
        <v>-3300</v>
      </c>
    </row>
    <row r="13" spans="2:22" x14ac:dyDescent="0.3">
      <c r="B13" t="s">
        <v>44</v>
      </c>
      <c r="E13" s="194" t="str">
        <f t="shared" si="0"/>
        <v>-</v>
      </c>
      <c r="F13" s="194" t="str">
        <f>'Statements Summary 2024'!V13</f>
        <v>-</v>
      </c>
      <c r="G13" s="194" t="str">
        <f>'Statements Summary 2025'!V13</f>
        <v>-</v>
      </c>
      <c r="H13" s="194" t="str">
        <f>'Statements Summary 2026'!V13</f>
        <v>-</v>
      </c>
      <c r="I13" s="194" t="str">
        <f>'Statements Summary 2027'!V13</f>
        <v>-</v>
      </c>
      <c r="K13" s="194" t="s">
        <v>190</v>
      </c>
      <c r="L13" s="194" t="s">
        <v>190</v>
      </c>
      <c r="M13" s="194" t="s">
        <v>190</v>
      </c>
      <c r="N13" s="194" t="s">
        <v>190</v>
      </c>
      <c r="O13" s="194" t="s">
        <v>190</v>
      </c>
      <c r="P13" s="194" t="s">
        <v>190</v>
      </c>
      <c r="Q13" s="194" t="s">
        <v>190</v>
      </c>
      <c r="R13" s="194" t="s">
        <v>190</v>
      </c>
      <c r="S13" s="194" t="s">
        <v>190</v>
      </c>
      <c r="T13" s="194" t="s">
        <v>190</v>
      </c>
      <c r="U13" s="194" t="s">
        <v>190</v>
      </c>
      <c r="V13" s="194" t="s">
        <v>190</v>
      </c>
    </row>
    <row r="14" spans="2:22" x14ac:dyDescent="0.3">
      <c r="B14" t="s">
        <v>45</v>
      </c>
      <c r="E14" s="194" t="str">
        <f t="shared" si="0"/>
        <v>-</v>
      </c>
      <c r="F14" s="194" t="str">
        <f>'Statements Summary 2024'!V14</f>
        <v>-</v>
      </c>
      <c r="G14" s="194" t="str">
        <f>'Statements Summary 2025'!V14</f>
        <v>-</v>
      </c>
      <c r="H14" s="194" t="str">
        <f>'Statements Summary 2026'!V14</f>
        <v>-</v>
      </c>
      <c r="I14" s="194" t="str">
        <f>'Statements Summary 2027'!V14</f>
        <v>-</v>
      </c>
      <c r="K14" s="194" t="s">
        <v>190</v>
      </c>
      <c r="L14" s="194" t="s">
        <v>190</v>
      </c>
      <c r="M14" s="194" t="s">
        <v>190</v>
      </c>
      <c r="N14" s="194" t="s">
        <v>190</v>
      </c>
      <c r="O14" s="194" t="s">
        <v>190</v>
      </c>
      <c r="P14" s="194" t="s">
        <v>190</v>
      </c>
      <c r="Q14" s="194" t="s">
        <v>190</v>
      </c>
      <c r="R14" s="194" t="s">
        <v>190</v>
      </c>
      <c r="S14" s="194" t="s">
        <v>190</v>
      </c>
      <c r="T14" s="194" t="s">
        <v>190</v>
      </c>
      <c r="U14" s="194" t="s">
        <v>190</v>
      </c>
      <c r="V14" s="194" t="s">
        <v>190</v>
      </c>
    </row>
    <row r="15" spans="2:22" x14ac:dyDescent="0.3">
      <c r="B15" t="s">
        <v>46</v>
      </c>
      <c r="E15" s="194">
        <f t="shared" si="0"/>
        <v>-3300</v>
      </c>
      <c r="F15" s="194">
        <f>'Statements Summary 2024'!V15</f>
        <v>-3300</v>
      </c>
      <c r="G15" s="194">
        <f>'Statements Summary 2025'!V15</f>
        <v>-3300</v>
      </c>
      <c r="H15" s="194">
        <f>'Statements Summary 2026'!V15</f>
        <v>-3300</v>
      </c>
      <c r="I15" s="194">
        <f>'Statements Summary 2027'!V15</f>
        <v>0</v>
      </c>
      <c r="K15" s="194" t="s">
        <v>190</v>
      </c>
      <c r="L15" s="194">
        <f>'CF 2023'!H52</f>
        <v>-3300</v>
      </c>
      <c r="M15" s="194">
        <f>'CF 2023'!I52</f>
        <v>-3300</v>
      </c>
      <c r="N15" s="194">
        <f>'CF 2023'!J52</f>
        <v>-3300</v>
      </c>
      <c r="O15" s="194">
        <f>'CF 2023'!K52</f>
        <v>-3300</v>
      </c>
      <c r="P15" s="194">
        <f>'CF 2023'!L52</f>
        <v>-3300</v>
      </c>
      <c r="Q15" s="194">
        <f>'CF 2023'!M52</f>
        <v>-3300</v>
      </c>
      <c r="R15" s="194">
        <f>'CF 2023'!N52</f>
        <v>-3300</v>
      </c>
      <c r="S15" s="194">
        <f>'CF 2023'!O52</f>
        <v>-3300</v>
      </c>
      <c r="T15" s="194">
        <f>'CF 2023'!P52</f>
        <v>-3300</v>
      </c>
      <c r="U15" s="194">
        <f>'CF 2023'!Q52</f>
        <v>-3300</v>
      </c>
      <c r="V15" s="194">
        <f>'CF 2023'!R52</f>
        <v>-3300</v>
      </c>
    </row>
    <row r="16" spans="2:22" x14ac:dyDescent="0.3">
      <c r="B16" t="s">
        <v>195</v>
      </c>
      <c r="E16" s="194">
        <f t="shared" si="0"/>
        <v>23102.6</v>
      </c>
      <c r="F16" s="194">
        <f>'Statements Summary 2024'!V16</f>
        <v>23102.6</v>
      </c>
      <c r="G16" s="194">
        <f>'Statements Summary 2025'!V16</f>
        <v>43959.8</v>
      </c>
      <c r="H16" s="194">
        <f>'Statements Summary 2026'!V16</f>
        <v>44642.2</v>
      </c>
      <c r="I16" s="194">
        <f>'Statements Summary 2027'!V16</f>
        <v>44651</v>
      </c>
      <c r="K16" s="194">
        <f>'CF 2023'!G66</f>
        <v>150000</v>
      </c>
      <c r="L16" s="194">
        <f>'CF 2023'!H41</f>
        <v>-2187</v>
      </c>
      <c r="M16" s="194">
        <f>'CF 2023'!I41</f>
        <v>12706.599999999999</v>
      </c>
      <c r="N16" s="194">
        <f>'CF 2023'!J41</f>
        <v>16313.800000000003</v>
      </c>
      <c r="O16" s="194">
        <f>'CF 2023'!K41</f>
        <v>17811.400000000001</v>
      </c>
      <c r="P16" s="194">
        <f>'CF 2023'!L41</f>
        <v>20685.800000000003</v>
      </c>
      <c r="Q16" s="194">
        <f>'CF 2023'!M41</f>
        <v>26452.199999999997</v>
      </c>
      <c r="R16" s="194">
        <f>'CF 2023'!N41</f>
        <v>27087.4</v>
      </c>
      <c r="S16" s="194">
        <f>'CF 2023'!O41</f>
        <v>26957</v>
      </c>
      <c r="T16" s="194">
        <f>'CF 2023'!P41</f>
        <v>21564.199999999997</v>
      </c>
      <c r="U16" s="194">
        <f>'CF 2023'!Q41</f>
        <v>22146.6</v>
      </c>
      <c r="V16" s="194">
        <f>'CF 2023'!R41</f>
        <v>23102.6</v>
      </c>
    </row>
    <row r="17" spans="2:22" x14ac:dyDescent="0.3">
      <c r="B17" t="s">
        <v>47</v>
      </c>
      <c r="E17" s="194">
        <f t="shared" si="0"/>
        <v>42905.200000000004</v>
      </c>
      <c r="F17" s="194">
        <f>'Statements Summary 2024'!V17</f>
        <v>42905.200000000004</v>
      </c>
      <c r="G17" s="194">
        <f>'Statements Summary 2025'!V17</f>
        <v>84619.6</v>
      </c>
      <c r="H17" s="194">
        <f>'Statements Summary 2026'!V17</f>
        <v>85984.4</v>
      </c>
      <c r="I17" s="194">
        <f>'Statements Summary 2027'!V17</f>
        <v>89302</v>
      </c>
      <c r="K17" s="194">
        <f>'CF 2023'!G63+'CF 2023'!G38+'CF 2023'!G39</f>
        <v>-5694</v>
      </c>
      <c r="L17" s="194">
        <f>'CF 2023'!H63+'CF 2023'!H38+'CF 2023'!H39</f>
        <v>-7674</v>
      </c>
      <c r="M17" s="194">
        <f>'CF 2023'!I63+'CF 2023'!I38+'CF 2023'!I39</f>
        <v>22113.199999999997</v>
      </c>
      <c r="N17" s="194">
        <f>'CF 2023'!J63+'CF 2023'!J38+'CF 2023'!J39</f>
        <v>29327.600000000006</v>
      </c>
      <c r="O17" s="194">
        <f>'CF 2023'!K63+'CF 2023'!K38+'CF 2023'!K39</f>
        <v>32322.799999999996</v>
      </c>
      <c r="P17" s="194">
        <f>'CF 2023'!L63+'CF 2023'!L38+'CF 2023'!L39</f>
        <v>38071.600000000006</v>
      </c>
      <c r="Q17" s="194">
        <f>'CF 2023'!M63+'CF 2023'!M38+'CF 2023'!M39</f>
        <v>49604.399999999994</v>
      </c>
      <c r="R17" s="194">
        <f>'CF 2023'!N63+'CF 2023'!N38+'CF 2023'!N39</f>
        <v>50874.799999999996</v>
      </c>
      <c r="S17" s="194">
        <f>'CF 2023'!O63+'CF 2023'!O38+'CF 2023'!O39</f>
        <v>50614</v>
      </c>
      <c r="T17" s="194">
        <f>'CF 2023'!P63+'CF 2023'!P38+'CF 2023'!P39</f>
        <v>39828.399999999994</v>
      </c>
      <c r="U17" s="194">
        <f>'CF 2023'!Q63+'CF 2023'!Q38+'CF 2023'!Q39</f>
        <v>40993.200000000004</v>
      </c>
      <c r="V17" s="194">
        <f>'CF 2023'!R63+'CF 2023'!R38+'CF 2023'!R39</f>
        <v>42905.200000000004</v>
      </c>
    </row>
    <row r="19" spans="2:22" x14ac:dyDescent="0.3">
      <c r="B19" s="173" t="s">
        <v>220</v>
      </c>
      <c r="C19" s="147"/>
      <c r="D19" s="147"/>
      <c r="E19" s="147"/>
      <c r="F19" s="147"/>
      <c r="G19" s="147"/>
      <c r="H19" s="147"/>
      <c r="I19" s="147"/>
      <c r="K19" s="428" t="s">
        <v>224</v>
      </c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</row>
    <row r="41" spans="2:22" x14ac:dyDescent="0.3">
      <c r="B41" s="173" t="s">
        <v>221</v>
      </c>
      <c r="C41" s="173"/>
      <c r="D41" s="173"/>
      <c r="E41" s="173"/>
      <c r="F41" s="147"/>
      <c r="G41" s="147"/>
      <c r="H41" s="147"/>
      <c r="I41" s="147"/>
      <c r="J41" s="147"/>
      <c r="K41" s="428" t="s">
        <v>197</v>
      </c>
      <c r="L41" s="428"/>
      <c r="M41" s="428"/>
      <c r="N41" s="428"/>
      <c r="O41" s="428"/>
      <c r="P41" s="428"/>
      <c r="Q41" s="428"/>
      <c r="R41" s="428"/>
      <c r="S41" s="428"/>
      <c r="T41" s="428"/>
      <c r="U41" s="428"/>
      <c r="V41" s="428"/>
    </row>
    <row r="43" spans="2:22" x14ac:dyDescent="0.3">
      <c r="B43" s="186" t="s">
        <v>20</v>
      </c>
      <c r="C43" s="186"/>
      <c r="D43" s="186"/>
      <c r="E43" s="187">
        <v>2023</v>
      </c>
      <c r="F43" s="187">
        <v>2024</v>
      </c>
      <c r="G43" s="187">
        <v>2025</v>
      </c>
      <c r="H43" s="187">
        <v>2026</v>
      </c>
      <c r="I43" s="187">
        <v>2027</v>
      </c>
      <c r="J43" s="186"/>
      <c r="K43" s="187" t="s">
        <v>25</v>
      </c>
      <c r="L43" s="187" t="s">
        <v>26</v>
      </c>
      <c r="M43" s="187" t="s">
        <v>27</v>
      </c>
      <c r="N43" s="187" t="s">
        <v>28</v>
      </c>
      <c r="O43" s="187" t="s">
        <v>29</v>
      </c>
      <c r="P43" s="187" t="s">
        <v>30</v>
      </c>
      <c r="Q43" s="187" t="s">
        <v>31</v>
      </c>
      <c r="R43" s="187" t="s">
        <v>32</v>
      </c>
      <c r="S43" s="187" t="s">
        <v>33</v>
      </c>
      <c r="T43" s="187" t="s">
        <v>34</v>
      </c>
      <c r="U43" s="187" t="s">
        <v>35</v>
      </c>
      <c r="V43" s="187" t="s">
        <v>36</v>
      </c>
    </row>
    <row r="44" spans="2:22" x14ac:dyDescent="0.3">
      <c r="B44" s="14" t="s">
        <v>2</v>
      </c>
      <c r="C44" s="14"/>
      <c r="D44" s="14"/>
      <c r="E44" s="199">
        <f t="shared" ref="E44:E64" si="1">V44</f>
        <v>54409</v>
      </c>
      <c r="F44" s="199">
        <f>'Statements Summary 2024'!V44</f>
        <v>54409</v>
      </c>
      <c r="G44" s="199">
        <f>'Statements Summary 2025'!V45</f>
        <v>54409</v>
      </c>
      <c r="H44" s="199">
        <f>'Statements Summary 2026'!V45</f>
        <v>54409</v>
      </c>
      <c r="I44" s="199">
        <f>'Statements Summary 2027'!V45</f>
        <v>54409</v>
      </c>
      <c r="K44" s="199">
        <f>'IS 2023'!F34</f>
        <v>31047</v>
      </c>
      <c r="L44" s="199">
        <f>'IS 2023'!G34</f>
        <v>31047</v>
      </c>
      <c r="M44" s="199">
        <f>'IS 2023'!H34</f>
        <v>48839</v>
      </c>
      <c r="N44" s="199">
        <f>'IS 2023'!I34</f>
        <v>52523</v>
      </c>
      <c r="O44" s="199">
        <f>'IS 2023'!J34</f>
        <v>53570</v>
      </c>
      <c r="P44" s="199">
        <f>'IS 2023'!K34</f>
        <v>56338</v>
      </c>
      <c r="Q44" s="199">
        <f>'IS 2023'!L34</f>
        <v>62721</v>
      </c>
      <c r="R44" s="199">
        <f>'IS 2023'!M34</f>
        <v>62690</v>
      </c>
      <c r="S44" s="199">
        <f>'IS 2023'!N34</f>
        <v>61702</v>
      </c>
      <c r="T44" s="199">
        <f>'IS 2023'!O34</f>
        <v>54136</v>
      </c>
      <c r="U44" s="199">
        <f>'IS 2023'!P34</f>
        <v>54039</v>
      </c>
      <c r="V44" s="199">
        <f>'IS 2023'!Q34</f>
        <v>54409</v>
      </c>
    </row>
    <row r="45" spans="2:22" x14ac:dyDescent="0.3">
      <c r="B45" t="s">
        <v>21</v>
      </c>
      <c r="E45" s="194">
        <f t="shared" si="1"/>
        <v>6.8469068635615016E-3</v>
      </c>
      <c r="F45" s="6">
        <f>'Statements Summary 2024'!V45</f>
        <v>6.8469068635615016E-3</v>
      </c>
      <c r="G45" s="6">
        <f>'Statements Summary 2025'!V46</f>
        <v>6.8469068635615016E-3</v>
      </c>
      <c r="H45" s="6">
        <f>'Statements Summary 2026'!V46</f>
        <v>6.8469068635615016E-3</v>
      </c>
      <c r="I45" s="6">
        <f>'Statements Summary 2027'!V46</f>
        <v>6.8469068635615016E-3</v>
      </c>
      <c r="K45" s="6"/>
      <c r="L45" s="6">
        <f t="shared" ref="L45" si="2">(L44-K44)/K44</f>
        <v>0</v>
      </c>
      <c r="M45" s="6">
        <f>(M44-L44)/L44</f>
        <v>0.57306664089928172</v>
      </c>
      <c r="N45" s="6">
        <f>(N44-M44)/M44</f>
        <v>7.5431519891889676E-2</v>
      </c>
      <c r="O45" s="6">
        <f t="shared" ref="O45:T45" si="3">(O44-N44)/N44</f>
        <v>1.9934124098014202E-2</v>
      </c>
      <c r="P45" s="6">
        <f t="shared" si="3"/>
        <v>5.167071121896584E-2</v>
      </c>
      <c r="Q45" s="6">
        <f t="shared" si="3"/>
        <v>0.11329830664915333</v>
      </c>
      <c r="R45" s="6">
        <f t="shared" si="3"/>
        <v>-4.9425232378310291E-4</v>
      </c>
      <c r="S45" s="6">
        <f t="shared" si="3"/>
        <v>-1.5760089328441539E-2</v>
      </c>
      <c r="T45" s="6">
        <f t="shared" si="3"/>
        <v>-0.12262163301027519</v>
      </c>
      <c r="U45" s="6">
        <f>(U44-T44)/T44</f>
        <v>-1.791783655977538E-3</v>
      </c>
      <c r="V45" s="6">
        <f t="shared" ref="V45" si="4">(V44-U44)/U44</f>
        <v>6.8469068635615016E-3</v>
      </c>
    </row>
    <row r="46" spans="2:22" x14ac:dyDescent="0.3">
      <c r="B46" t="s">
        <v>3</v>
      </c>
      <c r="E46" s="194">
        <f t="shared" si="1"/>
        <v>-3334</v>
      </c>
      <c r="F46" s="194">
        <f>'Statements Summary 2024'!V46</f>
        <v>-3334</v>
      </c>
      <c r="G46" s="194">
        <f>'Statements Summary 2025'!V47</f>
        <v>-2545</v>
      </c>
      <c r="H46" s="194">
        <f>'Statements Summary 2026'!V47</f>
        <v>-2545</v>
      </c>
      <c r="I46" s="194">
        <f>'Statements Summary 2027'!V47</f>
        <v>-2545</v>
      </c>
      <c r="K46" s="194">
        <f>'IS 2023'!F35</f>
        <v>-3334</v>
      </c>
      <c r="L46" s="194">
        <f>'IS 2023'!G35</f>
        <v>-3334</v>
      </c>
      <c r="M46" s="194">
        <f>'IS 2023'!H35</f>
        <v>-3334</v>
      </c>
      <c r="N46" s="194">
        <f>'IS 2023'!I35</f>
        <v>-3334</v>
      </c>
      <c r="O46" s="194">
        <f>'IS 2023'!J35</f>
        <v>-3334</v>
      </c>
      <c r="P46" s="194">
        <f>'IS 2023'!K35</f>
        <v>-3334</v>
      </c>
      <c r="Q46" s="194">
        <f>'IS 2023'!L35</f>
        <v>-3334</v>
      </c>
      <c r="R46" s="194">
        <f>'IS 2023'!M35</f>
        <v>-3334</v>
      </c>
      <c r="S46" s="194">
        <f>'IS 2023'!N35</f>
        <v>-3334</v>
      </c>
      <c r="T46" s="194">
        <f>'IS 2023'!O35</f>
        <v>-3334</v>
      </c>
      <c r="U46" s="194">
        <f>'IS 2023'!P35</f>
        <v>-3334</v>
      </c>
      <c r="V46" s="194">
        <f>'IS 2023'!Q35</f>
        <v>-3334</v>
      </c>
    </row>
    <row r="47" spans="2:22" x14ac:dyDescent="0.3">
      <c r="B47" t="s">
        <v>22</v>
      </c>
      <c r="E47" s="6">
        <f t="shared" si="1"/>
        <v>-6.1276627028616588E-2</v>
      </c>
      <c r="F47" s="6">
        <f>'Statements Summary 2024'!V47</f>
        <v>-6.1276627028616588E-2</v>
      </c>
      <c r="G47" s="6">
        <f>'Statements Summary 2025'!V48</f>
        <v>-4.6775349666415486E-2</v>
      </c>
      <c r="H47" s="6">
        <f>'Statements Summary 2026'!V48</f>
        <v>-4.6775349666415486E-2</v>
      </c>
      <c r="I47" s="6">
        <f>'Statements Summary 2027'!V48</f>
        <v>-4.6775349666415486E-2</v>
      </c>
      <c r="K47" s="6">
        <f>K46/K44</f>
        <v>-0.10738557670628403</v>
      </c>
      <c r="L47" s="6">
        <f t="shared" ref="L47:V47" si="5">L46/L44</f>
        <v>-0.10738557670628403</v>
      </c>
      <c r="M47" s="6">
        <f t="shared" si="5"/>
        <v>-6.826511599336596E-2</v>
      </c>
      <c r="N47" s="6">
        <f t="shared" si="5"/>
        <v>-6.3476952953943983E-2</v>
      </c>
      <c r="O47" s="6">
        <f t="shared" si="5"/>
        <v>-6.2236326302034718E-2</v>
      </c>
      <c r="P47" s="6">
        <f t="shared" si="5"/>
        <v>-5.9178529589264797E-2</v>
      </c>
      <c r="Q47" s="6">
        <f t="shared" si="5"/>
        <v>-5.3156040241705331E-2</v>
      </c>
      <c r="R47" s="6">
        <f t="shared" si="5"/>
        <v>-5.3182325729781467E-2</v>
      </c>
      <c r="S47" s="6">
        <f t="shared" si="5"/>
        <v>-5.403390489773427E-2</v>
      </c>
      <c r="T47" s="6">
        <f t="shared" si="5"/>
        <v>-6.1585636175557852E-2</v>
      </c>
      <c r="U47" s="6">
        <f t="shared" si="5"/>
        <v>-6.1696182386794723E-2</v>
      </c>
      <c r="V47" s="6">
        <f t="shared" si="5"/>
        <v>-6.1276627028616588E-2</v>
      </c>
    </row>
    <row r="48" spans="2:22" x14ac:dyDescent="0.3">
      <c r="B48" t="s">
        <v>4</v>
      </c>
      <c r="E48" s="194">
        <f t="shared" si="1"/>
        <v>51075</v>
      </c>
      <c r="F48" s="194">
        <f>'Statements Summary 2024'!V48</f>
        <v>51075</v>
      </c>
      <c r="G48" s="194">
        <f>'Statements Summary 2025'!V49</f>
        <v>51864</v>
      </c>
      <c r="H48" s="194">
        <f>'Statements Summary 2026'!V49</f>
        <v>51864</v>
      </c>
      <c r="I48" s="194">
        <f>'Statements Summary 2027'!V49</f>
        <v>51864</v>
      </c>
      <c r="K48" s="194">
        <f>'IS 2023'!F44</f>
        <v>27713</v>
      </c>
      <c r="L48" s="194">
        <f>'IS 2023'!G44</f>
        <v>27713</v>
      </c>
      <c r="M48" s="194">
        <f>'IS 2023'!H44</f>
        <v>45505</v>
      </c>
      <c r="N48" s="194">
        <f>'IS 2023'!I44</f>
        <v>49189</v>
      </c>
      <c r="O48" s="194">
        <f>'IS 2023'!J44</f>
        <v>50236</v>
      </c>
      <c r="P48" s="194">
        <f>'IS 2023'!K44</f>
        <v>53004</v>
      </c>
      <c r="Q48" s="194">
        <f>'IS 2023'!L44</f>
        <v>59387</v>
      </c>
      <c r="R48" s="194">
        <f>'IS 2023'!M44</f>
        <v>59356</v>
      </c>
      <c r="S48" s="194">
        <f>'IS 2023'!N44</f>
        <v>58368</v>
      </c>
      <c r="T48" s="194">
        <f>'IS 2023'!O44</f>
        <v>50802</v>
      </c>
      <c r="U48" s="194">
        <f>'IS 2023'!P44</f>
        <v>50705</v>
      </c>
      <c r="V48" s="194">
        <f>'IS 2023'!Q44</f>
        <v>51075</v>
      </c>
    </row>
    <row r="49" spans="2:22" x14ac:dyDescent="0.3">
      <c r="B49" t="s">
        <v>23</v>
      </c>
      <c r="E49" s="6">
        <f t="shared" si="1"/>
        <v>0.93872337297138342</v>
      </c>
      <c r="F49" s="6">
        <f>'Statements Summary 2024'!V49</f>
        <v>0.93872337297138342</v>
      </c>
      <c r="G49" s="6">
        <f>'Statements Summary 2025'!V50</f>
        <v>0.9532246503335845</v>
      </c>
      <c r="H49" s="6">
        <f>'Statements Summary 2026'!V50</f>
        <v>0.9532246503335845</v>
      </c>
      <c r="I49" s="6">
        <f>'Statements Summary 2027'!V50</f>
        <v>0.9532246503335845</v>
      </c>
      <c r="K49" s="6">
        <f>K48/K44</f>
        <v>0.89261442329371599</v>
      </c>
      <c r="L49" s="6">
        <f t="shared" ref="L49:V49" si="6">L48/L44</f>
        <v>0.89261442329371599</v>
      </c>
      <c r="M49" s="6">
        <f t="shared" si="6"/>
        <v>0.93173488400663407</v>
      </c>
      <c r="N49" s="6">
        <f t="shared" si="6"/>
        <v>0.93652304704605605</v>
      </c>
      <c r="O49" s="6">
        <f t="shared" si="6"/>
        <v>0.93776367369796532</v>
      </c>
      <c r="P49" s="6">
        <f t="shared" si="6"/>
        <v>0.94082147041073516</v>
      </c>
      <c r="Q49" s="6">
        <f t="shared" si="6"/>
        <v>0.94684395975829472</v>
      </c>
      <c r="R49" s="6">
        <f t="shared" si="6"/>
        <v>0.94681767427021857</v>
      </c>
      <c r="S49" s="6">
        <f t="shared" si="6"/>
        <v>0.9459660951022657</v>
      </c>
      <c r="T49" s="6">
        <f t="shared" si="6"/>
        <v>0.9384143638244421</v>
      </c>
      <c r="U49" s="6">
        <f t="shared" si="6"/>
        <v>0.93830381761320525</v>
      </c>
      <c r="V49" s="6">
        <f t="shared" si="6"/>
        <v>0.93872337297138342</v>
      </c>
    </row>
    <row r="50" spans="2:22" x14ac:dyDescent="0.3">
      <c r="B50" t="s">
        <v>5</v>
      </c>
      <c r="E50" s="194">
        <f t="shared" si="1"/>
        <v>-1443</v>
      </c>
      <c r="F50" s="194">
        <f>'Statements Summary 2024'!V50</f>
        <v>-1443</v>
      </c>
      <c r="G50" s="194">
        <f>'Statements Summary 2025'!V51</f>
        <v>-5549</v>
      </c>
      <c r="H50" s="194">
        <f>'Statements Summary 2026'!V51</f>
        <v>-5549</v>
      </c>
      <c r="I50" s="194">
        <f>'Statements Summary 2027'!V51</f>
        <v>-5549</v>
      </c>
      <c r="K50" s="194">
        <f>'IS 2023'!F54</f>
        <v>-1443</v>
      </c>
      <c r="L50" s="194">
        <f>'IS 2023'!G54</f>
        <v>-1443</v>
      </c>
      <c r="M50" s="194">
        <f>'IS 2023'!H54</f>
        <v>-1443</v>
      </c>
      <c r="N50" s="194">
        <f>'IS 2023'!I54</f>
        <v>-1443</v>
      </c>
      <c r="O50" s="194">
        <f>'IS 2023'!J54</f>
        <v>-1443</v>
      </c>
      <c r="P50" s="194">
        <f>'IS 2023'!K54</f>
        <v>-1443</v>
      </c>
      <c r="Q50" s="194">
        <f>'IS 2023'!L54</f>
        <v>-1443</v>
      </c>
      <c r="R50" s="194">
        <f>'IS 2023'!M54</f>
        <v>-1443</v>
      </c>
      <c r="S50" s="194">
        <f>'IS 2023'!N54</f>
        <v>-1443</v>
      </c>
      <c r="T50" s="194">
        <f>'IS 2023'!O54</f>
        <v>-1443</v>
      </c>
      <c r="U50" s="194">
        <f>'IS 2023'!P54</f>
        <v>-1443</v>
      </c>
      <c r="V50" s="194">
        <f>'IS 2023'!Q54</f>
        <v>-1443</v>
      </c>
    </row>
    <row r="51" spans="2:22" x14ac:dyDescent="0.3">
      <c r="B51" t="s">
        <v>22</v>
      </c>
      <c r="E51" s="6">
        <f t="shared" si="1"/>
        <v>-2.6521347571173887E-2</v>
      </c>
      <c r="F51" s="6">
        <f>'Statements Summary 2024'!V51</f>
        <v>-2.6521347571173887E-2</v>
      </c>
      <c r="G51" s="6">
        <f>'Statements Summary 2025'!V52</f>
        <v>-0.10198680365380727</v>
      </c>
      <c r="H51" s="6">
        <f>'Statements Summary 2026'!V52</f>
        <v>-0.10198680365380727</v>
      </c>
      <c r="I51" s="6">
        <f>'Statements Summary 2027'!V52</f>
        <v>-0.10198680365380727</v>
      </c>
      <c r="K51" s="6">
        <f>K50/K44</f>
        <v>-4.6477920572035945E-2</v>
      </c>
      <c r="L51" s="6">
        <f t="shared" ref="L51:V51" si="7">L50/L44</f>
        <v>-4.6477920572035945E-2</v>
      </c>
      <c r="M51" s="6">
        <f t="shared" si="7"/>
        <v>-2.9546059501627798E-2</v>
      </c>
      <c r="N51" s="6">
        <f t="shared" si="7"/>
        <v>-2.7473678198122728E-2</v>
      </c>
      <c r="O51" s="6">
        <f t="shared" si="7"/>
        <v>-2.6936718312488332E-2</v>
      </c>
      <c r="P51" s="6">
        <f t="shared" si="7"/>
        <v>-2.5613262806631402E-2</v>
      </c>
      <c r="Q51" s="6">
        <f t="shared" si="7"/>
        <v>-2.300664849093605E-2</v>
      </c>
      <c r="R51" s="6">
        <f t="shared" si="7"/>
        <v>-2.3018025203381719E-2</v>
      </c>
      <c r="S51" s="6">
        <f t="shared" si="7"/>
        <v>-2.3386600110207125E-2</v>
      </c>
      <c r="T51" s="6">
        <f t="shared" si="7"/>
        <v>-2.6655090882222551E-2</v>
      </c>
      <c r="U51" s="6">
        <f t="shared" si="7"/>
        <v>-2.6702936767889856E-2</v>
      </c>
      <c r="V51" s="6">
        <f t="shared" si="7"/>
        <v>-2.6521347571173887E-2</v>
      </c>
    </row>
    <row r="52" spans="2:22" x14ac:dyDescent="0.3">
      <c r="B52" t="s">
        <v>191</v>
      </c>
      <c r="E52" s="194">
        <f t="shared" si="1"/>
        <v>-5063</v>
      </c>
      <c r="F52" s="194">
        <f>'Statements Summary 2024'!V52</f>
        <v>-5063</v>
      </c>
      <c r="G52" s="194">
        <f>'Statements Summary 2025'!V53</f>
        <v>-5063</v>
      </c>
      <c r="H52" s="194">
        <f>'Statements Summary 2026'!V53</f>
        <v>-5063</v>
      </c>
      <c r="I52" s="194">
        <f>'Statements Summary 2027'!V53</f>
        <v>-45063</v>
      </c>
      <c r="K52" s="194">
        <f>'IS 2023'!F55</f>
        <v>-5063</v>
      </c>
      <c r="L52" s="194">
        <f>'IS 2023'!G55</f>
        <v>-5063</v>
      </c>
      <c r="M52" s="194">
        <f>'IS 2023'!H55</f>
        <v>-5063</v>
      </c>
      <c r="N52" s="194">
        <f>'IS 2023'!I55</f>
        <v>-5063</v>
      </c>
      <c r="O52" s="194">
        <f>'IS 2023'!J55</f>
        <v>-5063</v>
      </c>
      <c r="P52" s="194">
        <f>'IS 2023'!K55</f>
        <v>-5063</v>
      </c>
      <c r="Q52" s="194">
        <f>'IS 2023'!L55</f>
        <v>-5063</v>
      </c>
      <c r="R52" s="194">
        <f>'IS 2023'!M55</f>
        <v>-5063</v>
      </c>
      <c r="S52" s="194">
        <f>'IS 2023'!N55</f>
        <v>-5063</v>
      </c>
      <c r="T52" s="194">
        <f>'IS 2023'!O55</f>
        <v>-5063</v>
      </c>
      <c r="U52" s="194">
        <f>'IS 2023'!P55</f>
        <v>-5063</v>
      </c>
      <c r="V52" s="194">
        <f>'IS 2023'!Q55</f>
        <v>-5063</v>
      </c>
    </row>
    <row r="53" spans="2:22" x14ac:dyDescent="0.3">
      <c r="B53" t="s">
        <v>22</v>
      </c>
      <c r="E53" s="6">
        <f t="shared" si="1"/>
        <v>-9.3054457902185306E-2</v>
      </c>
      <c r="F53" s="6">
        <f>'Statements Summary 2024'!V53</f>
        <v>-9.3054457902185306E-2</v>
      </c>
      <c r="G53" s="6">
        <f>'Statements Summary 2025'!V54</f>
        <v>-9.3054457902185306E-2</v>
      </c>
      <c r="H53" s="6">
        <f>'Statements Summary 2026'!V54</f>
        <v>-9.3054457902185306E-2</v>
      </c>
      <c r="I53" s="6">
        <f>'Statements Summary 2027'!V54</f>
        <v>-0.82822694774761529</v>
      </c>
      <c r="K53" s="6">
        <f>K52/K44</f>
        <v>-0.16307533739169647</v>
      </c>
      <c r="L53" s="6">
        <f t="shared" ref="L53:V53" si="8">L52/L44</f>
        <v>-0.16307533739169647</v>
      </c>
      <c r="M53" s="6">
        <f t="shared" si="8"/>
        <v>-0.10366715125207314</v>
      </c>
      <c r="N53" s="6">
        <f t="shared" si="8"/>
        <v>-9.6395864668811754E-2</v>
      </c>
      <c r="O53" s="6">
        <f t="shared" si="8"/>
        <v>-9.4511853649430655E-2</v>
      </c>
      <c r="P53" s="6">
        <f t="shared" si="8"/>
        <v>-8.9868294934147469E-2</v>
      </c>
      <c r="Q53" s="6">
        <f t="shared" si="8"/>
        <v>-8.0722565010124203E-2</v>
      </c>
      <c r="R53" s="6">
        <f t="shared" si="8"/>
        <v>-8.0762482054554149E-2</v>
      </c>
      <c r="S53" s="6">
        <f t="shared" si="8"/>
        <v>-8.2055687011766229E-2</v>
      </c>
      <c r="T53" s="6">
        <f t="shared" si="8"/>
        <v>-9.3523718043446141E-2</v>
      </c>
      <c r="U53" s="6">
        <f t="shared" si="8"/>
        <v>-9.3691593108680762E-2</v>
      </c>
      <c r="V53" s="6">
        <f t="shared" si="8"/>
        <v>-9.3054457902185306E-2</v>
      </c>
    </row>
    <row r="54" spans="2:22" x14ac:dyDescent="0.3">
      <c r="B54" t="s">
        <v>24</v>
      </c>
      <c r="E54" s="194">
        <f t="shared" si="1"/>
        <v>-7800</v>
      </c>
      <c r="F54" s="194">
        <f>'Statements Summary 2024'!V54</f>
        <v>-7800</v>
      </c>
      <c r="G54" s="194">
        <f>'Statements Summary 2025'!V55</f>
        <v>-7250</v>
      </c>
      <c r="H54" s="194">
        <f>'Statements Summary 2026'!V55</f>
        <v>-7250</v>
      </c>
      <c r="I54" s="194">
        <f>'Statements Summary 2027'!V55</f>
        <v>-7250</v>
      </c>
      <c r="K54" s="194">
        <f>'IS 2023'!F67</f>
        <v>-7800</v>
      </c>
      <c r="L54" s="194">
        <f>'IS 2023'!G67</f>
        <v>-7800</v>
      </c>
      <c r="M54" s="194">
        <f>'IS 2023'!H67</f>
        <v>-7800</v>
      </c>
      <c r="N54" s="194">
        <f>'IS 2023'!I67</f>
        <v>-7800</v>
      </c>
      <c r="O54" s="194">
        <f>'IS 2023'!J67</f>
        <v>-7800</v>
      </c>
      <c r="P54" s="194">
        <f>'IS 2023'!K67</f>
        <v>-7800</v>
      </c>
      <c r="Q54" s="194">
        <f>'IS 2023'!L67</f>
        <v>-7800</v>
      </c>
      <c r="R54" s="194">
        <f>'IS 2023'!M67</f>
        <v>-7800</v>
      </c>
      <c r="S54" s="194">
        <f>'IS 2023'!N67</f>
        <v>-7800</v>
      </c>
      <c r="T54" s="194">
        <f>'IS 2023'!O67</f>
        <v>-7800</v>
      </c>
      <c r="U54" s="194">
        <f>'IS 2023'!P67</f>
        <v>-7800</v>
      </c>
      <c r="V54" s="194">
        <f>'IS 2023'!Q67</f>
        <v>-7800</v>
      </c>
    </row>
    <row r="55" spans="2:22" x14ac:dyDescent="0.3">
      <c r="B55" t="s">
        <v>22</v>
      </c>
      <c r="E55" s="6">
        <f t="shared" si="1"/>
        <v>-0.14335863551985883</v>
      </c>
      <c r="F55" s="6">
        <f>'Statements Summary 2024'!V55</f>
        <v>-0.14335863551985883</v>
      </c>
      <c r="G55" s="6">
        <f>'Statements Summary 2025'!V56</f>
        <v>-0.13325001378448417</v>
      </c>
      <c r="H55" s="6">
        <f>'Statements Summary 2026'!V56</f>
        <v>-0.13325001378448417</v>
      </c>
      <c r="I55" s="6">
        <f>'Statements Summary 2027'!V56</f>
        <v>-0.13325001378448417</v>
      </c>
      <c r="K55" s="6">
        <f>K54/K44</f>
        <v>-0.25123200309208621</v>
      </c>
      <c r="L55" s="6">
        <f t="shared" ref="L55:V55" si="9">L54/L44</f>
        <v>-0.25123200309208621</v>
      </c>
      <c r="M55" s="6">
        <f t="shared" si="9"/>
        <v>-0.15970842973852864</v>
      </c>
      <c r="N55" s="6">
        <f t="shared" si="9"/>
        <v>-0.14850636863850122</v>
      </c>
      <c r="O55" s="6">
        <f t="shared" si="9"/>
        <v>-0.14560388277020719</v>
      </c>
      <c r="P55" s="6">
        <f t="shared" si="9"/>
        <v>-0.13845006922503461</v>
      </c>
      <c r="Q55" s="6">
        <f t="shared" si="9"/>
        <v>-0.12436026211316784</v>
      </c>
      <c r="R55" s="6">
        <f t="shared" si="9"/>
        <v>-0.12442175785611741</v>
      </c>
      <c r="S55" s="6">
        <f t="shared" si="9"/>
        <v>-0.12641405464976824</v>
      </c>
      <c r="T55" s="6">
        <f t="shared" si="9"/>
        <v>-0.14408157233633812</v>
      </c>
      <c r="U55" s="6">
        <f t="shared" si="9"/>
        <v>-0.14434019874535059</v>
      </c>
      <c r="V55" s="6">
        <f t="shared" si="9"/>
        <v>-0.14335863551985883</v>
      </c>
    </row>
    <row r="56" spans="2:22" x14ac:dyDescent="0.3">
      <c r="B56" s="14" t="s">
        <v>6</v>
      </c>
      <c r="C56" s="14"/>
      <c r="D56" s="14"/>
      <c r="E56" s="199">
        <f t="shared" si="1"/>
        <v>41832</v>
      </c>
      <c r="F56" s="199">
        <f>'Statements Summary 2024'!V56</f>
        <v>41832</v>
      </c>
      <c r="G56" s="199">
        <f>'Statements Summary 2025'!V57</f>
        <v>39065</v>
      </c>
      <c r="H56" s="199">
        <f>'Statements Summary 2026'!V57</f>
        <v>39065</v>
      </c>
      <c r="I56" s="199">
        <f>'Statements Summary 2027'!V57</f>
        <v>39065</v>
      </c>
      <c r="K56" s="199">
        <f>'IS 2023'!F68</f>
        <v>18470</v>
      </c>
      <c r="L56" s="199">
        <f>'IS 2023'!G68</f>
        <v>18470</v>
      </c>
      <c r="M56" s="199">
        <f>'IS 2023'!H68</f>
        <v>36262</v>
      </c>
      <c r="N56" s="199">
        <f>'IS 2023'!I68</f>
        <v>39946</v>
      </c>
      <c r="O56" s="199">
        <f>'IS 2023'!J68</f>
        <v>40993</v>
      </c>
      <c r="P56" s="199">
        <f>'IS 2023'!K68</f>
        <v>43761</v>
      </c>
      <c r="Q56" s="199">
        <f>'IS 2023'!L68</f>
        <v>50144</v>
      </c>
      <c r="R56" s="199">
        <f>'IS 2023'!M68</f>
        <v>50113</v>
      </c>
      <c r="S56" s="199">
        <f>'IS 2023'!N68</f>
        <v>49125</v>
      </c>
      <c r="T56" s="199">
        <f>'IS 2023'!O68</f>
        <v>41559</v>
      </c>
      <c r="U56" s="199">
        <f>'IS 2023'!P68</f>
        <v>41462</v>
      </c>
      <c r="V56" s="199">
        <f>'IS 2023'!Q68</f>
        <v>41832</v>
      </c>
    </row>
    <row r="57" spans="2:22" x14ac:dyDescent="0.3">
      <c r="B57" t="s">
        <v>15</v>
      </c>
      <c r="E57" s="6">
        <f t="shared" si="1"/>
        <v>0.76884338988035072</v>
      </c>
      <c r="F57" s="6">
        <f>'Statements Summary 2024'!V57</f>
        <v>0.76884338988035072</v>
      </c>
      <c r="G57" s="6">
        <f>'Statements Summary 2025'!V58</f>
        <v>0.71798783289529311</v>
      </c>
      <c r="H57" s="6">
        <f>'Statements Summary 2026'!V58</f>
        <v>0.71798783289529311</v>
      </c>
      <c r="I57" s="6">
        <f>'Statements Summary 2027'!V58</f>
        <v>0.71798783289529311</v>
      </c>
      <c r="K57" s="6">
        <f>K56/K44</f>
        <v>0.5949044996295938</v>
      </c>
      <c r="L57" s="6">
        <f t="shared" ref="L57:V57" si="10">L56/L44</f>
        <v>0.5949044996295938</v>
      </c>
      <c r="M57" s="6">
        <f t="shared" si="10"/>
        <v>0.74248039476647765</v>
      </c>
      <c r="N57" s="6">
        <f t="shared" si="10"/>
        <v>0.76054300020943211</v>
      </c>
      <c r="O57" s="6">
        <f t="shared" si="10"/>
        <v>0.76522307261526978</v>
      </c>
      <c r="P57" s="6">
        <f t="shared" si="10"/>
        <v>0.77675813837906915</v>
      </c>
      <c r="Q57" s="6">
        <f t="shared" si="10"/>
        <v>0.79947704915419082</v>
      </c>
      <c r="R57" s="6">
        <f t="shared" si="10"/>
        <v>0.79937789121071945</v>
      </c>
      <c r="S57" s="6">
        <f t="shared" si="10"/>
        <v>0.79616544034229031</v>
      </c>
      <c r="T57" s="6">
        <f t="shared" si="10"/>
        <v>0.76767770060588147</v>
      </c>
      <c r="U57" s="6">
        <f t="shared" si="10"/>
        <v>0.76726068209996479</v>
      </c>
      <c r="V57" s="6">
        <f t="shared" si="10"/>
        <v>0.76884338988035072</v>
      </c>
    </row>
    <row r="58" spans="2:22" x14ac:dyDescent="0.3">
      <c r="B58" t="s">
        <v>7</v>
      </c>
      <c r="E58" s="194">
        <f t="shared" si="1"/>
        <v>-1711</v>
      </c>
      <c r="F58" s="194">
        <f>'Statements Summary 2024'!V58</f>
        <v>-1850</v>
      </c>
      <c r="G58" s="194">
        <f>'Statements Summary 2025'!V59</f>
        <v>-1911</v>
      </c>
      <c r="H58" s="194">
        <f>'Statements Summary 2026'!V59</f>
        <v>-1756</v>
      </c>
      <c r="I58" s="194">
        <f>'Statements Summary 2027'!V59</f>
        <v>-1800</v>
      </c>
      <c r="K58" s="5">
        <f>'IS 2023'!F70</f>
        <v>-1711</v>
      </c>
      <c r="L58" s="5">
        <f>'IS 2023'!G70</f>
        <v>-1711</v>
      </c>
      <c r="M58" s="5">
        <f>'IS 2023'!H70</f>
        <v>-1711</v>
      </c>
      <c r="N58" s="5">
        <f>'IS 2023'!I70</f>
        <v>-1711</v>
      </c>
      <c r="O58" s="5">
        <f>'IS 2023'!J70</f>
        <v>-1711</v>
      </c>
      <c r="P58" s="5">
        <f>'IS 2023'!K70</f>
        <v>-1711</v>
      </c>
      <c r="Q58" s="5">
        <f>'IS 2023'!L70</f>
        <v>-1711</v>
      </c>
      <c r="R58" s="5">
        <f>'IS 2023'!M70</f>
        <v>-1711</v>
      </c>
      <c r="S58" s="5">
        <f>'IS 2023'!N70</f>
        <v>-1711</v>
      </c>
      <c r="T58" s="5">
        <f>'IS 2023'!O70</f>
        <v>-1711</v>
      </c>
      <c r="U58" s="5">
        <f>'IS 2023'!P70</f>
        <v>-1711</v>
      </c>
      <c r="V58" s="5">
        <f>'IS 2023'!Q70</f>
        <v>-1711</v>
      </c>
    </row>
    <row r="59" spans="2:22" x14ac:dyDescent="0.3">
      <c r="B59" t="s">
        <v>8</v>
      </c>
      <c r="E59" s="194">
        <f t="shared" si="1"/>
        <v>40121</v>
      </c>
      <c r="F59" s="194">
        <f>'Statements Summary 2024'!V59</f>
        <v>39982</v>
      </c>
      <c r="G59" s="194">
        <f>'Statements Summary 2025'!V60</f>
        <v>40976</v>
      </c>
      <c r="H59" s="194">
        <f>'Statements Summary 2026'!V60</f>
        <v>37309</v>
      </c>
      <c r="I59" s="194">
        <f>'Statements Summary 2027'!V60</f>
        <v>37265</v>
      </c>
      <c r="K59" s="194">
        <f>'IS 2023'!F71</f>
        <v>16759</v>
      </c>
      <c r="L59" s="194">
        <f>'IS 2023'!G71</f>
        <v>16759</v>
      </c>
      <c r="M59" s="194">
        <f>'IS 2023'!H71</f>
        <v>34551</v>
      </c>
      <c r="N59" s="194">
        <f>'IS 2023'!I71</f>
        <v>38235</v>
      </c>
      <c r="O59" s="194">
        <f>'IS 2023'!J71</f>
        <v>39282</v>
      </c>
      <c r="P59" s="194">
        <f>'IS 2023'!K71</f>
        <v>42050</v>
      </c>
      <c r="Q59" s="194">
        <f>'IS 2023'!L71</f>
        <v>48433</v>
      </c>
      <c r="R59" s="194">
        <f>'IS 2023'!M71</f>
        <v>48402</v>
      </c>
      <c r="S59" s="194">
        <f>'IS 2023'!N71</f>
        <v>47414</v>
      </c>
      <c r="T59" s="194">
        <f>'IS 2023'!O71</f>
        <v>39848</v>
      </c>
      <c r="U59" s="194">
        <f>'IS 2023'!P71</f>
        <v>39751</v>
      </c>
      <c r="V59" s="194">
        <f>'IS 2023'!Q71</f>
        <v>40121</v>
      </c>
    </row>
    <row r="60" spans="2:22" x14ac:dyDescent="0.3">
      <c r="B60" t="s">
        <v>9</v>
      </c>
      <c r="E60" s="194">
        <f t="shared" si="1"/>
        <v>-22740</v>
      </c>
      <c r="F60" s="194">
        <f>'Statements Summary 2024'!V60</f>
        <v>-7410</v>
      </c>
      <c r="G60" s="194">
        <f>'Statements Summary 2025'!V61</f>
        <v>-2055</v>
      </c>
      <c r="H60" s="194">
        <f>'Statements Summary 2026'!V61</f>
        <v>-75</v>
      </c>
      <c r="I60" s="194">
        <f>'Statements Summary 2027'!V61</f>
        <v>0</v>
      </c>
      <c r="K60" s="206">
        <f>'IS 2023'!F72</f>
        <v>-30000</v>
      </c>
      <c r="L60" s="206">
        <f>'IS 2023'!G72</f>
        <v>-29340</v>
      </c>
      <c r="M60" s="206">
        <f>'IS 2023'!H72</f>
        <v>-28680</v>
      </c>
      <c r="N60" s="206">
        <f>'IS 2023'!I72</f>
        <v>-28020</v>
      </c>
      <c r="O60" s="206">
        <f>'IS 2023'!J72</f>
        <v>-27360</v>
      </c>
      <c r="P60" s="206">
        <f>'IS 2023'!K72</f>
        <v>-26700</v>
      </c>
      <c r="Q60" s="206">
        <f>'IS 2023'!L72</f>
        <v>-26040</v>
      </c>
      <c r="R60" s="206">
        <f>'IS 2023'!M72</f>
        <v>-25380</v>
      </c>
      <c r="S60" s="206">
        <f>'IS 2023'!N72</f>
        <v>-24720</v>
      </c>
      <c r="T60" s="206">
        <f>'IS 2023'!O72</f>
        <v>-24060</v>
      </c>
      <c r="U60" s="206">
        <f>'IS 2023'!P72</f>
        <v>-23400</v>
      </c>
      <c r="V60" s="206">
        <f>'IS 2023'!Q72</f>
        <v>-22740</v>
      </c>
    </row>
    <row r="61" spans="2:22" x14ac:dyDescent="0.3">
      <c r="B61" t="s">
        <v>10</v>
      </c>
      <c r="E61" s="194">
        <f t="shared" si="1"/>
        <v>41832</v>
      </c>
      <c r="F61" s="194">
        <f>'Statements Summary 2024'!V61</f>
        <v>41832</v>
      </c>
      <c r="G61" s="194">
        <f>'Statements Summary 2025'!V62</f>
        <v>39065</v>
      </c>
      <c r="H61" s="194">
        <f>'Statements Summary 2026'!V62</f>
        <v>39065</v>
      </c>
      <c r="I61" s="194">
        <f>'Statements Summary 2027'!V62</f>
        <v>39065</v>
      </c>
      <c r="K61" s="194">
        <f>'IS 2023'!F73</f>
        <v>18470</v>
      </c>
      <c r="L61" s="194">
        <f>'IS 2023'!G73</f>
        <v>18470</v>
      </c>
      <c r="M61" s="194">
        <f>'IS 2023'!H73</f>
        <v>36262</v>
      </c>
      <c r="N61" s="194">
        <f>'IS 2023'!I73</f>
        <v>39946</v>
      </c>
      <c r="O61" s="194">
        <f>'IS 2023'!J73</f>
        <v>40993</v>
      </c>
      <c r="P61" s="194">
        <f>'IS 2023'!K73</f>
        <v>43761</v>
      </c>
      <c r="Q61" s="194">
        <f>'IS 2023'!L73</f>
        <v>50144</v>
      </c>
      <c r="R61" s="194">
        <f>'IS 2023'!M73</f>
        <v>50113</v>
      </c>
      <c r="S61" s="194">
        <f>'IS 2023'!N73</f>
        <v>49125</v>
      </c>
      <c r="T61" s="194">
        <f>'IS 2023'!O73</f>
        <v>41559</v>
      </c>
      <c r="U61" s="194">
        <f>'IS 2023'!P73</f>
        <v>41462</v>
      </c>
      <c r="V61" s="194">
        <f>'IS 2023'!Q73</f>
        <v>41832</v>
      </c>
    </row>
    <row r="62" spans="2:22" x14ac:dyDescent="0.3">
      <c r="B62" t="s">
        <v>11</v>
      </c>
      <c r="E62" s="194">
        <f t="shared" si="1"/>
        <v>-8366.4</v>
      </c>
      <c r="F62" s="194">
        <f>'Statements Summary 2024'!V62</f>
        <v>-8366.4</v>
      </c>
      <c r="G62" s="194">
        <f>'Statements Summary 2025'!V63</f>
        <v>-8194.2000000000007</v>
      </c>
      <c r="H62" s="194">
        <f>'Statements Summary 2026'!V63</f>
        <v>-7461.8</v>
      </c>
      <c r="I62" s="194">
        <f>'Statements Summary 2027'!V63</f>
        <v>-7453</v>
      </c>
      <c r="K62" s="194">
        <f>'IS 2023'!F74</f>
        <v>-3694</v>
      </c>
      <c r="L62" s="194">
        <f>'IS 2023'!G74</f>
        <v>-3694</v>
      </c>
      <c r="M62" s="194">
        <f>'IS 2023'!H74</f>
        <v>-7252.4000000000005</v>
      </c>
      <c r="N62" s="194">
        <f>'IS 2023'!I74</f>
        <v>-7989.2000000000007</v>
      </c>
      <c r="O62" s="194">
        <f>'IS 2023'!J74</f>
        <v>-8198.6</v>
      </c>
      <c r="P62" s="194">
        <f>'IS 2023'!K74</f>
        <v>-8752.2000000000007</v>
      </c>
      <c r="Q62" s="194">
        <f>'IS 2023'!L74</f>
        <v>-10028.800000000001</v>
      </c>
      <c r="R62" s="194">
        <f>'IS 2023'!M74</f>
        <v>-10022.6</v>
      </c>
      <c r="S62" s="194">
        <f>'IS 2023'!N74</f>
        <v>-9825</v>
      </c>
      <c r="T62" s="194">
        <f>'IS 2023'!O74</f>
        <v>-8311.8000000000011</v>
      </c>
      <c r="U62" s="194">
        <f>'IS 2023'!P74</f>
        <v>-8292.4</v>
      </c>
      <c r="V62" s="194">
        <f>'IS 2023'!Q74</f>
        <v>-8366.4</v>
      </c>
    </row>
    <row r="63" spans="2:22" x14ac:dyDescent="0.3">
      <c r="B63" s="14" t="s">
        <v>12</v>
      </c>
      <c r="C63" s="14"/>
      <c r="D63" s="14"/>
      <c r="E63" s="199">
        <f t="shared" si="1"/>
        <v>33465.599999999999</v>
      </c>
      <c r="F63" s="199">
        <f>'Statements Summary 2024'!V63</f>
        <v>33465.599999999999</v>
      </c>
      <c r="G63" s="199">
        <f>'Statements Summary 2025'!V64</f>
        <v>30870.799999999999</v>
      </c>
      <c r="H63" s="199">
        <f>'Statements Summary 2026'!V64</f>
        <v>31603.200000000001</v>
      </c>
      <c r="I63" s="199">
        <f>'Statements Summary 2027'!V64</f>
        <v>31612</v>
      </c>
      <c r="K63" s="199">
        <f>'IS 2023'!F75</f>
        <v>14776</v>
      </c>
      <c r="L63" s="199">
        <f>'IS 2023'!G75</f>
        <v>14776</v>
      </c>
      <c r="M63" s="199">
        <f>'IS 2023'!H75</f>
        <v>29009.599999999999</v>
      </c>
      <c r="N63" s="199">
        <f>'IS 2023'!I75</f>
        <v>31956.799999999999</v>
      </c>
      <c r="O63" s="199">
        <f>'IS 2023'!J75</f>
        <v>32794.400000000001</v>
      </c>
      <c r="P63" s="199">
        <f>'IS 2023'!K75</f>
        <v>35008.800000000003</v>
      </c>
      <c r="Q63" s="199">
        <f>'IS 2023'!L75</f>
        <v>40115.199999999997</v>
      </c>
      <c r="R63" s="199">
        <f>'IS 2023'!M75</f>
        <v>40090.400000000001</v>
      </c>
      <c r="S63" s="199">
        <f>'IS 2023'!N75</f>
        <v>39300</v>
      </c>
      <c r="T63" s="199">
        <f>'IS 2023'!O75</f>
        <v>33247.199999999997</v>
      </c>
      <c r="U63" s="199">
        <f>'IS 2023'!P75</f>
        <v>33169.599999999999</v>
      </c>
      <c r="V63" s="199">
        <f>'IS 2023'!Q75</f>
        <v>33465.599999999999</v>
      </c>
    </row>
    <row r="64" spans="2:22" x14ac:dyDescent="0.3">
      <c r="B64" t="s">
        <v>13</v>
      </c>
      <c r="E64" s="6">
        <f t="shared" si="1"/>
        <v>0.61507471190428054</v>
      </c>
      <c r="F64" s="6">
        <f>'Statements Summary 2024'!V64</f>
        <v>0.61507471190428054</v>
      </c>
      <c r="G64" s="6">
        <f>'Statements Summary 2025'!V65</f>
        <v>0.56738407248800748</v>
      </c>
      <c r="H64" s="6">
        <f>'Statements Summary 2026'!V65</f>
        <v>0.58084508077707731</v>
      </c>
      <c r="I64" s="6">
        <f>'Statements Summary 2027'!V65</f>
        <v>0.58100681872484328</v>
      </c>
      <c r="K64" s="6">
        <f>K63/K44</f>
        <v>0.47592359970367509</v>
      </c>
      <c r="L64" s="6">
        <f t="shared" ref="L64:V64" si="11">L63/L44</f>
        <v>0.47592359970367509</v>
      </c>
      <c r="M64" s="6">
        <f t="shared" si="11"/>
        <v>0.59398431581318201</v>
      </c>
      <c r="N64" s="6">
        <f t="shared" si="11"/>
        <v>0.60843440016754569</v>
      </c>
      <c r="O64" s="6">
        <f t="shared" si="11"/>
        <v>0.61217845809221583</v>
      </c>
      <c r="P64" s="6">
        <f t="shared" si="11"/>
        <v>0.62140651070325537</v>
      </c>
      <c r="Q64" s="6">
        <f t="shared" si="11"/>
        <v>0.63958163932335255</v>
      </c>
      <c r="R64" s="6">
        <f t="shared" si="11"/>
        <v>0.63950231296857551</v>
      </c>
      <c r="S64" s="6">
        <f t="shared" si="11"/>
        <v>0.63693235227383227</v>
      </c>
      <c r="T64" s="6">
        <f t="shared" si="11"/>
        <v>0.61414216048470516</v>
      </c>
      <c r="U64" s="6">
        <f t="shared" si="11"/>
        <v>0.6138085456799719</v>
      </c>
      <c r="V64" s="6">
        <f t="shared" si="11"/>
        <v>0.61507471190428054</v>
      </c>
    </row>
    <row r="66" spans="2:22" x14ac:dyDescent="0.3">
      <c r="B66" s="173" t="s">
        <v>221</v>
      </c>
      <c r="C66" s="147"/>
      <c r="D66" s="147"/>
      <c r="E66" s="147"/>
      <c r="F66" s="147"/>
      <c r="G66" s="147"/>
      <c r="H66" s="147"/>
      <c r="I66" s="147"/>
      <c r="K66" s="428" t="s">
        <v>197</v>
      </c>
      <c r="L66" s="428"/>
      <c r="M66" s="428"/>
      <c r="N66" s="428"/>
      <c r="O66" s="428"/>
      <c r="P66" s="428"/>
      <c r="Q66" s="428"/>
      <c r="R66" s="428"/>
      <c r="S66" s="428"/>
      <c r="T66" s="428"/>
      <c r="U66" s="428"/>
      <c r="V66" s="428"/>
    </row>
    <row r="83" spans="2:22" x14ac:dyDescent="0.3">
      <c r="B83" s="173" t="s">
        <v>222</v>
      </c>
      <c r="C83" s="173"/>
      <c r="D83" s="173"/>
      <c r="E83" s="173"/>
      <c r="F83" s="147"/>
      <c r="G83" s="147"/>
      <c r="H83" s="147"/>
      <c r="I83" s="147"/>
      <c r="J83" s="147"/>
      <c r="K83" s="428" t="s">
        <v>91</v>
      </c>
      <c r="L83" s="428"/>
      <c r="M83" s="428"/>
      <c r="N83" s="428"/>
      <c r="O83" s="428"/>
      <c r="P83" s="428"/>
      <c r="Q83" s="428"/>
      <c r="R83" s="428"/>
      <c r="S83" s="428"/>
      <c r="T83" s="428"/>
      <c r="U83" s="428"/>
      <c r="V83" s="428"/>
    </row>
    <row r="85" spans="2:22" x14ac:dyDescent="0.3">
      <c r="B85" s="186" t="s">
        <v>20</v>
      </c>
      <c r="C85" s="186"/>
      <c r="D85" s="186"/>
      <c r="E85" s="187">
        <v>2023</v>
      </c>
      <c r="F85" s="187">
        <v>2024</v>
      </c>
      <c r="G85" s="187">
        <v>2025</v>
      </c>
      <c r="H85" s="187">
        <v>2026</v>
      </c>
      <c r="I85" s="187">
        <v>2027</v>
      </c>
      <c r="J85" s="186"/>
      <c r="K85" s="187" t="s">
        <v>25</v>
      </c>
      <c r="L85" s="187" t="s">
        <v>26</v>
      </c>
      <c r="M85" s="187" t="s">
        <v>27</v>
      </c>
      <c r="N85" s="187" t="s">
        <v>28</v>
      </c>
      <c r="O85" s="187" t="s">
        <v>29</v>
      </c>
      <c r="P85" s="187" t="s">
        <v>30</v>
      </c>
      <c r="Q85" s="187" t="s">
        <v>31</v>
      </c>
      <c r="R85" s="187" t="s">
        <v>32</v>
      </c>
      <c r="S85" s="187" t="s">
        <v>33</v>
      </c>
      <c r="T85" s="187" t="s">
        <v>34</v>
      </c>
      <c r="U85" s="187" t="s">
        <v>35</v>
      </c>
      <c r="V85" s="187" t="s">
        <v>36</v>
      </c>
    </row>
    <row r="86" spans="2:22" x14ac:dyDescent="0.3">
      <c r="B86" t="s">
        <v>48</v>
      </c>
      <c r="E86" s="194">
        <f t="shared" ref="E86:E97" si="12">V86</f>
        <v>19802.599999999999</v>
      </c>
      <c r="F86" s="194">
        <f>'Statements Summary 2024'!V87</f>
        <v>395096.2</v>
      </c>
      <c r="G86" s="194">
        <f>'Statements Summary 2025'!V88</f>
        <v>850182.80000000016</v>
      </c>
      <c r="H86" s="194">
        <f>'Statements Summary 2026'!V88</f>
        <v>1310974.6000000001</v>
      </c>
      <c r="I86" s="194">
        <f>'Statements Summary 2027'!V88</f>
        <v>1811317.4000000001</v>
      </c>
      <c r="K86" s="194">
        <f>'BS 2023'!F14</f>
        <v>-2847</v>
      </c>
      <c r="L86" s="194">
        <f>'BS 2023'!G14</f>
        <v>-5487</v>
      </c>
      <c r="M86" s="194">
        <f>'BS 2023'!H14</f>
        <v>9406.5999999999985</v>
      </c>
      <c r="N86" s="194">
        <f>'BS 2023'!I14</f>
        <v>13013.800000000003</v>
      </c>
      <c r="O86" s="194">
        <f>'BS 2023'!J14</f>
        <v>14511.400000000001</v>
      </c>
      <c r="P86" s="194">
        <f>'BS 2023'!K14</f>
        <v>17385.800000000003</v>
      </c>
      <c r="Q86" s="194">
        <f>'BS 2023'!L14</f>
        <v>23152.199999999997</v>
      </c>
      <c r="R86" s="194">
        <f>'BS 2023'!M14</f>
        <v>23787.4</v>
      </c>
      <c r="S86" s="194">
        <f>'BS 2023'!N14</f>
        <v>23657</v>
      </c>
      <c r="T86" s="194">
        <f>'BS 2023'!O14</f>
        <v>18264.199999999997</v>
      </c>
      <c r="U86" s="194">
        <f>'BS 2023'!P14</f>
        <v>18846.599999999999</v>
      </c>
      <c r="V86" s="194">
        <f>'BS 2023'!Q14</f>
        <v>19802.599999999999</v>
      </c>
    </row>
    <row r="87" spans="2:22" x14ac:dyDescent="0.3">
      <c r="B87" t="s">
        <v>49</v>
      </c>
      <c r="E87" s="194">
        <f t="shared" si="12"/>
        <v>170532</v>
      </c>
      <c r="F87" s="194">
        <f>'Statements Summary 2024'!V88</f>
        <v>188332</v>
      </c>
      <c r="G87" s="194">
        <f>'Statements Summary 2025'!V89</f>
        <v>209481</v>
      </c>
      <c r="H87" s="194">
        <f>'Statements Summary 2026'!V89</f>
        <v>231018</v>
      </c>
      <c r="I87" s="194">
        <f>'Statements Summary 2027'!V89</f>
        <v>252400</v>
      </c>
      <c r="K87" s="194">
        <f>'BS 2023'!F19</f>
        <v>151711</v>
      </c>
      <c r="L87" s="194">
        <f>'BS 2023'!G19</f>
        <v>153422</v>
      </c>
      <c r="M87" s="194">
        <f>'BS 2023'!H19</f>
        <v>155133</v>
      </c>
      <c r="N87" s="194">
        <f>'BS 2023'!I19</f>
        <v>156844</v>
      </c>
      <c r="O87" s="194">
        <f>'BS 2023'!J19</f>
        <v>158555</v>
      </c>
      <c r="P87" s="194">
        <f>'BS 2023'!K19</f>
        <v>160266</v>
      </c>
      <c r="Q87" s="194">
        <f>'BS 2023'!L19</f>
        <v>161977</v>
      </c>
      <c r="R87" s="194">
        <f>'BS 2023'!M19</f>
        <v>163688</v>
      </c>
      <c r="S87" s="194">
        <f>'BS 2023'!N19</f>
        <v>165399</v>
      </c>
      <c r="T87" s="194">
        <f>'BS 2023'!O19</f>
        <v>167110</v>
      </c>
      <c r="U87" s="194">
        <f>'BS 2023'!P19</f>
        <v>168821</v>
      </c>
      <c r="V87" s="194">
        <f>'BS 2023'!Q19</f>
        <v>170532</v>
      </c>
    </row>
    <row r="88" spans="2:22" x14ac:dyDescent="0.3">
      <c r="B88" t="s">
        <v>50</v>
      </c>
      <c r="E88" s="194">
        <f t="shared" si="12"/>
        <v>190334.6</v>
      </c>
      <c r="F88" s="194">
        <f>'Statements Summary 2024'!V89</f>
        <v>583428.19999999995</v>
      </c>
      <c r="G88" s="194">
        <f>'Statements Summary 2025'!V90</f>
        <v>1059663.8000000003</v>
      </c>
      <c r="H88" s="194">
        <f>'Statements Summary 2026'!V90</f>
        <v>1541992.6</v>
      </c>
      <c r="I88" s="194">
        <f>'Statements Summary 2027'!V90</f>
        <v>2063717.4000000001</v>
      </c>
      <c r="K88" s="194">
        <f>'BS 2023'!F20</f>
        <v>148864</v>
      </c>
      <c r="L88" s="194">
        <f>'BS 2023'!G20</f>
        <v>147935</v>
      </c>
      <c r="M88" s="194">
        <f>'BS 2023'!H20</f>
        <v>164539.6</v>
      </c>
      <c r="N88" s="194">
        <f>'BS 2023'!I20</f>
        <v>169857.8</v>
      </c>
      <c r="O88" s="194">
        <f>'BS 2023'!J20</f>
        <v>173066.4</v>
      </c>
      <c r="P88" s="194">
        <f>'BS 2023'!K20</f>
        <v>177651.8</v>
      </c>
      <c r="Q88" s="194">
        <f>'BS 2023'!L20</f>
        <v>185129.2</v>
      </c>
      <c r="R88" s="194">
        <f>'BS 2023'!M20</f>
        <v>187475.4</v>
      </c>
      <c r="S88" s="194">
        <f>'BS 2023'!N20</f>
        <v>189056</v>
      </c>
      <c r="T88" s="194">
        <f>'BS 2023'!O20</f>
        <v>185374.2</v>
      </c>
      <c r="U88" s="194">
        <f>'BS 2023'!P20</f>
        <v>187667.6</v>
      </c>
      <c r="V88" s="194">
        <f>'BS 2023'!Q20</f>
        <v>190334.6</v>
      </c>
    </row>
    <row r="89" spans="2:22" x14ac:dyDescent="0.3">
      <c r="B89" t="s">
        <v>51</v>
      </c>
      <c r="E89" s="194">
        <f t="shared" si="12"/>
        <v>-8366.4</v>
      </c>
      <c r="F89" s="194">
        <f>'Statements Summary 2024'!V90</f>
        <v>-8366.4</v>
      </c>
      <c r="G89" s="194">
        <f>'Statements Summary 2025'!V91</f>
        <v>-8194.2000000000007</v>
      </c>
      <c r="H89" s="194">
        <f>'Statements Summary 2026'!V91</f>
        <v>-7461.8</v>
      </c>
      <c r="I89" s="194">
        <f>'Statements Summary 2027'!V91</f>
        <v>-7453</v>
      </c>
      <c r="K89" s="194"/>
      <c r="L89" s="194">
        <f>'BS 2023'!G25</f>
        <v>-3694</v>
      </c>
      <c r="M89" s="194">
        <f>'BS 2023'!H25</f>
        <v>-7252.4000000000005</v>
      </c>
      <c r="N89" s="194">
        <f>'BS 2023'!I25</f>
        <v>-7989.2000000000007</v>
      </c>
      <c r="O89" s="194">
        <f>'BS 2023'!J25</f>
        <v>-8198.6</v>
      </c>
      <c r="P89" s="194">
        <f>'BS 2023'!K25</f>
        <v>-8752.2000000000007</v>
      </c>
      <c r="Q89" s="194">
        <f>'BS 2023'!L25</f>
        <v>-10028.800000000001</v>
      </c>
      <c r="R89" s="194">
        <f>'BS 2023'!M25</f>
        <v>-10022.6</v>
      </c>
      <c r="S89" s="194">
        <f>'BS 2023'!N25</f>
        <v>-9825</v>
      </c>
      <c r="T89" s="194">
        <f>'BS 2023'!O25</f>
        <v>-8311.8000000000011</v>
      </c>
      <c r="U89" s="194">
        <f>'BS 2023'!P25</f>
        <v>-8292.4</v>
      </c>
      <c r="V89" s="194">
        <f>'BS 2023'!Q25</f>
        <v>-8366.4</v>
      </c>
    </row>
    <row r="90" spans="2:22" x14ac:dyDescent="0.3">
      <c r="B90" t="s">
        <v>196</v>
      </c>
      <c r="E90" s="194">
        <f t="shared" si="12"/>
        <v>-113700</v>
      </c>
      <c r="F90" s="194">
        <f>'Statements Summary 2024'!V91</f>
        <v>-74100</v>
      </c>
      <c r="G90" s="194">
        <f>'Statements Summary 2025'!V92</f>
        <v>-41100</v>
      </c>
      <c r="H90" s="194">
        <f>'Statements Summary 2026'!V92</f>
        <v>-1500</v>
      </c>
      <c r="I90" s="194">
        <f>'Statements Summary 2027'!V92</f>
        <v>0</v>
      </c>
      <c r="K90" s="194">
        <f>'BS 2023'!F27</f>
        <v>-150000</v>
      </c>
      <c r="L90" s="194">
        <f>'BS 2023'!G27</f>
        <v>-146700</v>
      </c>
      <c r="M90" s="194">
        <f>'BS 2023'!H27</f>
        <v>-143400</v>
      </c>
      <c r="N90" s="194">
        <f>'BS 2023'!I27</f>
        <v>-140100</v>
      </c>
      <c r="O90" s="194">
        <f>'BS 2023'!J27</f>
        <v>-136800</v>
      </c>
      <c r="P90" s="194">
        <f>'BS 2023'!K27</f>
        <v>-133500</v>
      </c>
      <c r="Q90" s="194">
        <f>'BS 2023'!L27</f>
        <v>-130200</v>
      </c>
      <c r="R90" s="194">
        <f>'BS 2023'!M27</f>
        <v>-126900</v>
      </c>
      <c r="S90" s="194">
        <f>'BS 2023'!N27</f>
        <v>-123600</v>
      </c>
      <c r="T90" s="194">
        <f>'BS 2023'!O27</f>
        <v>-120300</v>
      </c>
      <c r="U90" s="194">
        <f>'BS 2023'!P27</f>
        <v>-117000</v>
      </c>
      <c r="V90" s="194">
        <f>'BS 2023'!Q27</f>
        <v>-113700</v>
      </c>
    </row>
    <row r="91" spans="2:22" x14ac:dyDescent="0.3">
      <c r="B91" t="s">
        <v>53</v>
      </c>
      <c r="E91" s="194">
        <f t="shared" si="12"/>
        <v>-122066.4</v>
      </c>
      <c r="F91" s="194">
        <f>'Statements Summary 2024'!V92</f>
        <v>-82466.399999999994</v>
      </c>
      <c r="G91" s="194">
        <f>'Statements Summary 2025'!V93</f>
        <v>-49294.2</v>
      </c>
      <c r="H91" s="194">
        <f>'Statements Summary 2026'!V93</f>
        <v>-8961.7999999999993</v>
      </c>
      <c r="I91" s="194">
        <f>'Statements Summary 2027'!V93</f>
        <v>-7453</v>
      </c>
      <c r="K91" s="194">
        <f>'BS 2023'!F32</f>
        <v>-153694</v>
      </c>
      <c r="L91" s="194">
        <f>'BS 2023'!G32</f>
        <v>-150394</v>
      </c>
      <c r="M91" s="194">
        <f>'BS 2023'!H32</f>
        <v>-150652.4</v>
      </c>
      <c r="N91" s="194">
        <f>'BS 2023'!I32</f>
        <v>-148089.20000000001</v>
      </c>
      <c r="O91" s="194">
        <f>'BS 2023'!J32</f>
        <v>-144998.6</v>
      </c>
      <c r="P91" s="194">
        <f>'BS 2023'!K32</f>
        <v>-142252.20000000001</v>
      </c>
      <c r="Q91" s="194">
        <f>'BS 2023'!L32</f>
        <v>-140228.79999999999</v>
      </c>
      <c r="R91" s="194">
        <f>'BS 2023'!M32</f>
        <v>-136922.6</v>
      </c>
      <c r="S91" s="194">
        <f>'BS 2023'!N32</f>
        <v>-133425</v>
      </c>
      <c r="T91" s="194">
        <f>'BS 2023'!O32</f>
        <v>-128611.8</v>
      </c>
      <c r="U91" s="194">
        <f>'BS 2023'!P32</f>
        <v>-125292.4</v>
      </c>
      <c r="V91" s="194">
        <f>'BS 2023'!Q32</f>
        <v>-122066.4</v>
      </c>
    </row>
    <row r="92" spans="2:22" x14ac:dyDescent="0.3">
      <c r="B92" t="s">
        <v>54</v>
      </c>
      <c r="E92" s="194">
        <f t="shared" si="12"/>
        <v>68268.200000000012</v>
      </c>
      <c r="F92" s="194">
        <f>'Statements Summary 2024'!V93</f>
        <v>500961.79999999993</v>
      </c>
      <c r="G92" s="194">
        <f>'Statements Summary 2025'!V94</f>
        <v>969269.60000000033</v>
      </c>
      <c r="H92" s="194">
        <f>'Statements Summary 2026'!V94</f>
        <v>1533030.8</v>
      </c>
      <c r="I92" s="194">
        <f>'Statements Summary 2027'!V94</f>
        <v>2056264.4000000001</v>
      </c>
      <c r="K92" s="194">
        <f>'BS 2023'!F33</f>
        <v>-4830</v>
      </c>
      <c r="L92" s="194">
        <f>'BS 2023'!G33</f>
        <v>-2459</v>
      </c>
      <c r="M92" s="194">
        <f>'BS 2023'!H33</f>
        <v>13887.200000000012</v>
      </c>
      <c r="N92" s="194">
        <f>'BS 2023'!I33</f>
        <v>21768.599999999977</v>
      </c>
      <c r="O92" s="194">
        <f>'BS 2023'!J33</f>
        <v>28067.799999999988</v>
      </c>
      <c r="P92" s="194">
        <f>'BS 2023'!K33</f>
        <v>35399.599999999977</v>
      </c>
      <c r="Q92" s="194">
        <f>'BS 2023'!L33</f>
        <v>44900.400000000023</v>
      </c>
      <c r="R92" s="194">
        <f>'BS 2023'!M33</f>
        <v>50552.799999999988</v>
      </c>
      <c r="S92" s="194">
        <f>'BS 2023'!N33</f>
        <v>55631</v>
      </c>
      <c r="T92" s="194">
        <f>'BS 2023'!O33</f>
        <v>56762.400000000009</v>
      </c>
      <c r="U92" s="194">
        <f>'BS 2023'!P33</f>
        <v>62375.200000000012</v>
      </c>
      <c r="V92" s="194">
        <f>'BS 2023'!Q33</f>
        <v>68268.200000000012</v>
      </c>
    </row>
    <row r="93" spans="2:22" x14ac:dyDescent="0.3">
      <c r="B93" t="s">
        <v>55</v>
      </c>
      <c r="E93" s="194">
        <f t="shared" si="12"/>
        <v>19802.599999999999</v>
      </c>
      <c r="F93" s="194">
        <f>'Statements Summary 2024'!V94</f>
        <v>395096.2</v>
      </c>
      <c r="G93" s="194">
        <f>'Statements Summary 2025'!V95</f>
        <v>850182.80000000016</v>
      </c>
      <c r="H93" s="194">
        <f>'Statements Summary 2026'!V95</f>
        <v>1310974.6000000001</v>
      </c>
      <c r="I93" s="194">
        <f>'Statements Summary 2027'!V95</f>
        <v>1811317.4000000001</v>
      </c>
      <c r="K93" s="194">
        <f>'BS 2023'!F14</f>
        <v>-2847</v>
      </c>
      <c r="L93" s="194">
        <f>'BS 2023'!G14</f>
        <v>-5487</v>
      </c>
      <c r="M93" s="194">
        <f>'BS 2023'!H14</f>
        <v>9406.5999999999985</v>
      </c>
      <c r="N93" s="194">
        <f>'BS 2023'!I14</f>
        <v>13013.800000000003</v>
      </c>
      <c r="O93" s="194">
        <f>'BS 2023'!J14</f>
        <v>14511.400000000001</v>
      </c>
      <c r="P93" s="194">
        <f>'BS 2023'!K14</f>
        <v>17385.800000000003</v>
      </c>
      <c r="Q93" s="194">
        <f>'BS 2023'!L14</f>
        <v>23152.199999999997</v>
      </c>
      <c r="R93" s="194">
        <f>'BS 2023'!M14</f>
        <v>23787.4</v>
      </c>
      <c r="S93" s="194">
        <f>'BS 2023'!N14</f>
        <v>23657</v>
      </c>
      <c r="T93" s="194">
        <f>'BS 2023'!O14</f>
        <v>18264.199999999997</v>
      </c>
      <c r="U93" s="194">
        <f>'BS 2023'!P14</f>
        <v>18846.599999999999</v>
      </c>
      <c r="V93" s="194">
        <f>'BS 2023'!Q14</f>
        <v>19802.599999999999</v>
      </c>
    </row>
    <row r="94" spans="2:22" x14ac:dyDescent="0.3">
      <c r="B94" t="s">
        <v>56</v>
      </c>
      <c r="E94" s="194" t="str">
        <f t="shared" si="12"/>
        <v>-</v>
      </c>
      <c r="F94" s="194" t="str">
        <f>'Statements Summary 2024'!V95</f>
        <v>-</v>
      </c>
      <c r="G94" s="194" t="str">
        <f>'Statements Summary 2025'!V96</f>
        <v>-</v>
      </c>
      <c r="H94" s="194" t="str">
        <f>'Statements Summary 2026'!V96</f>
        <v>-</v>
      </c>
      <c r="I94" s="194" t="str">
        <f>'Statements Summary 2027'!V96</f>
        <v>-</v>
      </c>
      <c r="K94" s="194" t="s">
        <v>190</v>
      </c>
      <c r="L94" s="194" t="s">
        <v>190</v>
      </c>
      <c r="M94" s="194" t="s">
        <v>190</v>
      </c>
      <c r="N94" s="194" t="s">
        <v>190</v>
      </c>
      <c r="O94" s="194" t="s">
        <v>190</v>
      </c>
      <c r="P94" s="194" t="s">
        <v>190</v>
      </c>
      <c r="Q94" s="194" t="s">
        <v>190</v>
      </c>
      <c r="R94" s="194" t="s">
        <v>190</v>
      </c>
      <c r="S94" s="194" t="s">
        <v>190</v>
      </c>
      <c r="T94" s="194" t="s">
        <v>190</v>
      </c>
      <c r="U94" s="194" t="s">
        <v>190</v>
      </c>
      <c r="V94" s="194" t="s">
        <v>190</v>
      </c>
    </row>
    <row r="95" spans="2:22" x14ac:dyDescent="0.3">
      <c r="B95" t="s">
        <v>57</v>
      </c>
      <c r="E95" s="194">
        <f t="shared" si="12"/>
        <v>0</v>
      </c>
      <c r="F95" s="194">
        <f>'Statements Summary 2024'!V96</f>
        <v>0</v>
      </c>
      <c r="G95" s="194">
        <f>'Statements Summary 2025'!V97</f>
        <v>0</v>
      </c>
      <c r="H95" s="194">
        <f>'Statements Summary 2026'!V97</f>
        <v>0</v>
      </c>
      <c r="I95" s="194">
        <f>'Statements Summary 2027'!V97</f>
        <v>0</v>
      </c>
      <c r="K95" s="194" t="s">
        <v>190</v>
      </c>
      <c r="L95" s="194" t="s">
        <v>190</v>
      </c>
      <c r="M95" s="194" t="s">
        <v>190</v>
      </c>
      <c r="N95" s="194" t="s">
        <v>190</v>
      </c>
      <c r="O95" s="194" t="s">
        <v>190</v>
      </c>
      <c r="P95" s="194" t="s">
        <v>190</v>
      </c>
      <c r="Q95" s="194" t="s">
        <v>190</v>
      </c>
      <c r="R95" s="194" t="s">
        <v>190</v>
      </c>
      <c r="S95" s="194" t="s">
        <v>190</v>
      </c>
      <c r="T95" s="194" t="s">
        <v>190</v>
      </c>
      <c r="U95" s="194" t="s">
        <v>190</v>
      </c>
      <c r="V95" s="194"/>
    </row>
    <row r="96" spans="2:22" x14ac:dyDescent="0.3">
      <c r="B96" t="s">
        <v>58</v>
      </c>
      <c r="E96" s="194">
        <f t="shared" si="12"/>
        <v>68268.200000000012</v>
      </c>
      <c r="F96" s="194">
        <f>'Statements Summary 2024'!V97</f>
        <v>500961.79999999993</v>
      </c>
      <c r="G96" s="194">
        <f>'Statements Summary 2025'!V98</f>
        <v>969269.60000000033</v>
      </c>
      <c r="H96" s="194">
        <f>'Statements Summary 2026'!V98</f>
        <v>1533030.8</v>
      </c>
      <c r="I96" s="194">
        <f>'Statements Summary 2027'!V98</f>
        <v>2056264.4000000001</v>
      </c>
      <c r="K96" s="194">
        <f>K92</f>
        <v>-4830</v>
      </c>
      <c r="L96" s="194">
        <f t="shared" ref="L96:V96" si="13">L92</f>
        <v>-2459</v>
      </c>
      <c r="M96" s="194">
        <f t="shared" si="13"/>
        <v>13887.200000000012</v>
      </c>
      <c r="N96" s="194">
        <f t="shared" si="13"/>
        <v>21768.599999999977</v>
      </c>
      <c r="O96" s="194">
        <f t="shared" si="13"/>
        <v>28067.799999999988</v>
      </c>
      <c r="P96" s="194">
        <f t="shared" si="13"/>
        <v>35399.599999999977</v>
      </c>
      <c r="Q96" s="194">
        <f t="shared" si="13"/>
        <v>44900.400000000023</v>
      </c>
      <c r="R96" s="194">
        <f t="shared" si="13"/>
        <v>50552.799999999988</v>
      </c>
      <c r="S96" s="194">
        <f t="shared" si="13"/>
        <v>55631</v>
      </c>
      <c r="T96" s="194">
        <f t="shared" si="13"/>
        <v>56762.400000000009</v>
      </c>
      <c r="U96" s="194">
        <f t="shared" si="13"/>
        <v>62375.200000000012</v>
      </c>
      <c r="V96" s="194">
        <f t="shared" si="13"/>
        <v>68268.200000000012</v>
      </c>
    </row>
    <row r="97" spans="2:22" x14ac:dyDescent="0.3">
      <c r="B97" t="s">
        <v>59</v>
      </c>
      <c r="E97" s="194">
        <f t="shared" si="12"/>
        <v>68268.200000000012</v>
      </c>
      <c r="F97" s="194">
        <f>'Statements Summary 2024'!V98</f>
        <v>500961.79999999993</v>
      </c>
      <c r="G97" s="194">
        <f>'Statements Summary 2025'!V99</f>
        <v>969269.60000000033</v>
      </c>
      <c r="H97" s="194">
        <f>'Statements Summary 2026'!V99</f>
        <v>1533030.8</v>
      </c>
      <c r="I97" s="194">
        <f>'Statements Summary 2027'!V99</f>
        <v>2056264.4000000001</v>
      </c>
      <c r="K97" s="194">
        <f>K96</f>
        <v>-4830</v>
      </c>
      <c r="L97" s="194">
        <f t="shared" ref="L97:V97" si="14">L96</f>
        <v>-2459</v>
      </c>
      <c r="M97" s="194">
        <f t="shared" si="14"/>
        <v>13887.200000000012</v>
      </c>
      <c r="N97" s="194">
        <f t="shared" si="14"/>
        <v>21768.599999999977</v>
      </c>
      <c r="O97" s="194">
        <f t="shared" si="14"/>
        <v>28067.799999999988</v>
      </c>
      <c r="P97" s="194">
        <f t="shared" si="14"/>
        <v>35399.599999999977</v>
      </c>
      <c r="Q97" s="194">
        <f t="shared" si="14"/>
        <v>44900.400000000023</v>
      </c>
      <c r="R97" s="194">
        <f t="shared" si="14"/>
        <v>50552.799999999988</v>
      </c>
      <c r="S97" s="194">
        <f t="shared" si="14"/>
        <v>55631</v>
      </c>
      <c r="T97" s="194">
        <f t="shared" si="14"/>
        <v>56762.400000000009</v>
      </c>
      <c r="U97" s="194">
        <f t="shared" si="14"/>
        <v>62375.200000000012</v>
      </c>
      <c r="V97" s="194">
        <f t="shared" si="14"/>
        <v>68268.200000000012</v>
      </c>
    </row>
    <row r="99" spans="2:22" x14ac:dyDescent="0.3">
      <c r="B99" s="173" t="s">
        <v>222</v>
      </c>
      <c r="C99" s="147"/>
      <c r="D99" s="147"/>
      <c r="E99" s="147"/>
      <c r="F99" s="147"/>
      <c r="G99" s="147"/>
      <c r="H99" s="147"/>
      <c r="I99" s="147"/>
      <c r="K99" s="428" t="s">
        <v>91</v>
      </c>
      <c r="L99" s="428"/>
      <c r="M99" s="428"/>
      <c r="N99" s="428"/>
      <c r="O99" s="428"/>
      <c r="P99" s="428"/>
      <c r="Q99" s="428"/>
      <c r="R99" s="428"/>
      <c r="S99" s="428"/>
      <c r="T99" s="428"/>
      <c r="U99" s="428"/>
      <c r="V99" s="428"/>
    </row>
  </sheetData>
  <mergeCells count="6">
    <mergeCell ref="K99:V99"/>
    <mergeCell ref="K83:V83"/>
    <mergeCell ref="K2:V2"/>
    <mergeCell ref="K19:V19"/>
    <mergeCell ref="K41:V41"/>
    <mergeCell ref="K66:V66"/>
  </mergeCells>
  <phoneticPr fontId="7" type="noConversion"/>
  <pageMargins left="0.7" right="0.7" top="0.75" bottom="0.75" header="0.3" footer="0.3"/>
  <ignoredErrors>
    <ignoredError sqref="E6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6B2A1-0354-40CA-B720-79B8A668E14F}">
  <dimension ref="B1:N18"/>
  <sheetViews>
    <sheetView showGridLines="0" zoomScale="90" zoomScaleNormal="90" workbookViewId="0">
      <selection activeCell="N49" sqref="N49"/>
    </sheetView>
  </sheetViews>
  <sheetFormatPr defaultRowHeight="14.4" x14ac:dyDescent="0.3"/>
  <cols>
    <col min="1" max="1" width="1.77734375" customWidth="1"/>
    <col min="2" max="2" width="18.6640625" customWidth="1"/>
    <col min="3" max="3" width="15.88671875" customWidth="1"/>
    <col min="4" max="8" width="14.77734375" customWidth="1"/>
    <col min="9" max="9" width="2.6640625" customWidth="1"/>
    <col min="10" max="14" width="22.77734375" customWidth="1"/>
    <col min="15" max="20" width="8.77734375" customWidth="1"/>
    <col min="21" max="21" width="7.44140625" customWidth="1"/>
    <col min="22" max="22" width="7.6640625" customWidth="1"/>
    <col min="23" max="23" width="8.109375" customWidth="1"/>
  </cols>
  <sheetData>
    <row r="1" spans="2:14" ht="8.4" customHeight="1" x14ac:dyDescent="0.3"/>
    <row r="2" spans="2:14" x14ac:dyDescent="0.3">
      <c r="B2" s="413"/>
      <c r="C2" s="413"/>
      <c r="D2" s="414">
        <v>2023</v>
      </c>
      <c r="E2" s="414">
        <v>2024</v>
      </c>
      <c r="F2" s="414">
        <v>2025</v>
      </c>
      <c r="G2" s="414">
        <v>2026</v>
      </c>
      <c r="H2" s="414">
        <v>2027</v>
      </c>
      <c r="J2" s="415">
        <v>2023</v>
      </c>
      <c r="K2" s="415">
        <v>2024</v>
      </c>
      <c r="L2" s="415">
        <v>2025</v>
      </c>
      <c r="M2" s="415">
        <v>2026</v>
      </c>
      <c r="N2" s="415">
        <v>2027</v>
      </c>
    </row>
    <row r="3" spans="2:14" x14ac:dyDescent="0.3">
      <c r="B3" t="s">
        <v>2</v>
      </c>
      <c r="D3" s="194">
        <f>'IS 2023'!U34</f>
        <v>623061</v>
      </c>
      <c r="E3" s="194">
        <f>'IS 2024'!U34</f>
        <v>622261</v>
      </c>
      <c r="F3" s="194">
        <f>'IS 2025'!U34</f>
        <v>622261</v>
      </c>
      <c r="G3" s="194">
        <f>'IS 2026'!U34</f>
        <v>622261</v>
      </c>
      <c r="H3" s="194">
        <f>'IS 2027'!U34</f>
        <v>622261</v>
      </c>
      <c r="J3" s="411" t="s">
        <v>139</v>
      </c>
      <c r="K3" s="411" t="s">
        <v>139</v>
      </c>
      <c r="L3" s="411" t="s">
        <v>139</v>
      </c>
      <c r="M3" s="411" t="s">
        <v>139</v>
      </c>
      <c r="N3" s="411" t="s">
        <v>139</v>
      </c>
    </row>
    <row r="4" spans="2:14" x14ac:dyDescent="0.3">
      <c r="B4" t="s">
        <v>303</v>
      </c>
      <c r="D4" s="194">
        <f>'IS 2023'!U35</f>
        <v>-40008</v>
      </c>
      <c r="E4" s="194">
        <f>'IS 2024'!U35</f>
        <v>-40008</v>
      </c>
      <c r="F4" s="194">
        <f>'IS 2025'!U35</f>
        <v>-30540</v>
      </c>
      <c r="G4" s="194">
        <f>'IS 2026'!U35</f>
        <v>-30540</v>
      </c>
      <c r="H4" s="194">
        <f>'IS 2027'!U35</f>
        <v>-30540</v>
      </c>
      <c r="J4" s="411" t="s">
        <v>142</v>
      </c>
      <c r="K4" s="411" t="s">
        <v>142</v>
      </c>
      <c r="L4" s="411" t="s">
        <v>142</v>
      </c>
      <c r="M4" s="411" t="s">
        <v>142</v>
      </c>
      <c r="N4" s="411" t="s">
        <v>142</v>
      </c>
    </row>
    <row r="5" spans="2:14" x14ac:dyDescent="0.3">
      <c r="B5" t="s">
        <v>6</v>
      </c>
      <c r="D5" s="194">
        <f>'IS 2023'!U68</f>
        <v>472137</v>
      </c>
      <c r="E5" s="194">
        <f>'IS 2024'!U68</f>
        <v>471337</v>
      </c>
      <c r="F5" s="194">
        <f>'IS 2025'!U76</f>
        <v>438133</v>
      </c>
      <c r="G5" s="194">
        <f>'IS 2026'!U77</f>
        <v>438133</v>
      </c>
      <c r="H5" s="194">
        <f>'IS 2027'!U76</f>
        <v>438133</v>
      </c>
      <c r="J5" s="411" t="s">
        <v>169</v>
      </c>
      <c r="K5" s="411" t="s">
        <v>169</v>
      </c>
      <c r="L5" s="411" t="s">
        <v>169</v>
      </c>
      <c r="M5" s="411" t="s">
        <v>169</v>
      </c>
      <c r="N5" s="411" t="s">
        <v>169</v>
      </c>
    </row>
    <row r="6" spans="2:14" x14ac:dyDescent="0.3">
      <c r="D6" s="5"/>
      <c r="E6" s="5"/>
      <c r="F6" s="194"/>
      <c r="G6" s="194"/>
      <c r="H6" s="194"/>
      <c r="J6" s="411" t="s">
        <v>322</v>
      </c>
      <c r="K6" s="411" t="s">
        <v>322</v>
      </c>
      <c r="L6" s="411" t="s">
        <v>322</v>
      </c>
      <c r="M6" s="411" t="s">
        <v>322</v>
      </c>
      <c r="N6" s="411" t="s">
        <v>322</v>
      </c>
    </row>
    <row r="7" spans="2:14" x14ac:dyDescent="0.3">
      <c r="B7" t="s">
        <v>304</v>
      </c>
      <c r="D7" s="194">
        <f>'IS 2023'!U70</f>
        <v>-20532</v>
      </c>
      <c r="E7" s="194">
        <f>'IS 2024'!U70</f>
        <v>-17800</v>
      </c>
      <c r="F7" s="194">
        <f>'IS 2025'!U77</f>
        <v>-21149</v>
      </c>
      <c r="G7" s="194">
        <f>'IS 2026'!U78</f>
        <v>-21537</v>
      </c>
      <c r="H7" s="194">
        <f>'IS 2027'!U77</f>
        <v>-21292</v>
      </c>
    </row>
    <row r="8" spans="2:14" x14ac:dyDescent="0.3">
      <c r="B8" t="s">
        <v>316</v>
      </c>
      <c r="D8" s="194">
        <f>'IS 2023'!U72</f>
        <v>-316440</v>
      </c>
      <c r="E8" s="194">
        <f>'IS 2024'!U72</f>
        <v>-110700</v>
      </c>
      <c r="F8" s="194">
        <f>'IS 2025'!U79</f>
        <v>-35550</v>
      </c>
      <c r="G8" s="194">
        <f>'IS 2026'!U80</f>
        <v>-11790</v>
      </c>
      <c r="H8" s="194">
        <f>'IS 2027'!U79</f>
        <v>0</v>
      </c>
      <c r="J8" s="412" t="s">
        <v>318</v>
      </c>
      <c r="K8" s="412" t="s">
        <v>63</v>
      </c>
      <c r="L8" s="412" t="s">
        <v>319</v>
      </c>
      <c r="M8" s="412" t="s">
        <v>320</v>
      </c>
      <c r="N8" s="412" t="s">
        <v>217</v>
      </c>
    </row>
    <row r="9" spans="2:14" x14ac:dyDescent="0.3">
      <c r="B9" t="s">
        <v>317</v>
      </c>
      <c r="D9" s="194">
        <f>'IS 2023'!U71</f>
        <v>451605</v>
      </c>
      <c r="E9" s="194">
        <f>'IS 2024'!U71</f>
        <v>453537</v>
      </c>
      <c r="F9" s="194">
        <f>'IS 2025'!U78</f>
        <v>448182</v>
      </c>
      <c r="G9" s="194">
        <f>'IS 2026'!U79</f>
        <v>416596</v>
      </c>
      <c r="H9" s="194">
        <f>'IS 2027'!U78</f>
        <v>416841</v>
      </c>
      <c r="J9" s="513" t="s">
        <v>359</v>
      </c>
      <c r="K9" s="412" t="s">
        <v>321</v>
      </c>
      <c r="L9" s="5"/>
      <c r="M9" s="5"/>
      <c r="N9" s="5"/>
    </row>
    <row r="10" spans="2:14" x14ac:dyDescent="0.3">
      <c r="B10" t="s">
        <v>305</v>
      </c>
      <c r="D10" s="194">
        <f>'IS 2023'!U74</f>
        <v>-94427.400000000009</v>
      </c>
      <c r="E10" s="194">
        <f>'IS 2024'!U74</f>
        <v>-94267.400000000009</v>
      </c>
      <c r="F10" s="194">
        <f>'IS 2025'!U81</f>
        <v>-89624.400000000009</v>
      </c>
      <c r="G10" s="194">
        <f>'IS 2026'!U82</f>
        <v>-83319.200000000012</v>
      </c>
      <c r="H10" s="194">
        <f>'IS 2027'!U81</f>
        <v>-83368.2</v>
      </c>
      <c r="J10" s="5"/>
      <c r="K10" s="5"/>
      <c r="L10" s="5"/>
      <c r="M10" s="5"/>
      <c r="N10" s="5"/>
    </row>
    <row r="11" spans="2:14" x14ac:dyDescent="0.3">
      <c r="B11" t="s">
        <v>306</v>
      </c>
      <c r="D11" s="194">
        <f>'CF 2023'!V41</f>
        <v>209793.60000000003</v>
      </c>
      <c r="E11" s="194">
        <f>'CF 2024'!V41</f>
        <v>208993.60000000003</v>
      </c>
      <c r="F11" s="194">
        <f>'CF 2025'!V43</f>
        <v>494686.6</v>
      </c>
      <c r="G11" s="194">
        <f>'CF 2026'!V42</f>
        <v>500391.8</v>
      </c>
      <c r="H11" s="194">
        <f>'CF 2027'!V43</f>
        <v>500342.8</v>
      </c>
      <c r="J11" s="410"/>
      <c r="K11" s="5"/>
      <c r="L11" s="5"/>
      <c r="M11" s="5"/>
      <c r="N11" s="5"/>
    </row>
    <row r="12" spans="2:14" x14ac:dyDescent="0.3">
      <c r="B12" t="s">
        <v>312</v>
      </c>
      <c r="D12" s="194">
        <f>'BS 2023'!U19</f>
        <v>1933458</v>
      </c>
      <c r="E12" s="194">
        <f>'BS 2024'!U20</f>
        <v>2159884</v>
      </c>
      <c r="F12" s="194">
        <f>'BS 2025'!U19</f>
        <v>2398229</v>
      </c>
      <c r="G12" s="194">
        <f>'BS 2026'!U19</f>
        <v>2655855</v>
      </c>
      <c r="H12" s="194">
        <f>'BS 2027'!U19</f>
        <v>2912439</v>
      </c>
    </row>
    <row r="13" spans="2:14" x14ac:dyDescent="0.3">
      <c r="B13" t="s">
        <v>51</v>
      </c>
      <c r="D13" s="194">
        <f>'BS 2023'!U25</f>
        <v>-94427.400000000009</v>
      </c>
      <c r="E13" s="194">
        <f>'BS 2024'!U28</f>
        <v>-94267.400000000009</v>
      </c>
      <c r="F13" s="194">
        <f>'BS 2025'!U25</f>
        <v>-89624.400000000009</v>
      </c>
      <c r="G13" s="194">
        <f>'BS 2026'!U25</f>
        <v>-83319.200000000012</v>
      </c>
      <c r="H13" s="194">
        <f>'BS 2027'!U25</f>
        <v>-83368.2</v>
      </c>
    </row>
    <row r="14" spans="2:14" x14ac:dyDescent="0.3">
      <c r="D14" s="5"/>
      <c r="E14" s="5"/>
      <c r="F14" s="194"/>
      <c r="G14" s="194"/>
      <c r="H14" s="194"/>
    </row>
    <row r="15" spans="2:14" x14ac:dyDescent="0.3">
      <c r="B15" t="s">
        <v>313</v>
      </c>
      <c r="D15" s="194">
        <f>'CF 2023'!V41</f>
        <v>209793.60000000003</v>
      </c>
      <c r="E15" s="194">
        <f>'CF 2024'!V41</f>
        <v>208993.60000000003</v>
      </c>
      <c r="F15" s="194">
        <f>'CF 2025'!V43</f>
        <v>494686.6</v>
      </c>
      <c r="G15" s="194">
        <f>'CF 2026'!V42</f>
        <v>500391.8</v>
      </c>
      <c r="H15" s="194">
        <f>'CF 2027'!V43</f>
        <v>500342.8</v>
      </c>
    </row>
    <row r="16" spans="2:14" x14ac:dyDescent="0.3">
      <c r="B16" t="s">
        <v>314</v>
      </c>
      <c r="D16" s="194">
        <f>'CF 2023'!V63</f>
        <v>173493.60000000003</v>
      </c>
      <c r="E16" s="194">
        <f>'CF 2024'!V62</f>
        <v>169393.6</v>
      </c>
      <c r="F16" s="194">
        <f>'CF 2025'!V74</f>
        <v>455086.6</v>
      </c>
      <c r="G16" s="194">
        <f>'CF 2026'!V63</f>
        <v>460791.8</v>
      </c>
      <c r="H16" s="194">
        <f>'CF 2027'!V64</f>
        <v>500342.8</v>
      </c>
    </row>
    <row r="17" spans="2:8" x14ac:dyDescent="0.3">
      <c r="B17" t="s">
        <v>307</v>
      </c>
      <c r="D17" s="194">
        <f>'CF 2023'!V78</f>
        <v>1605693.5999999999</v>
      </c>
      <c r="E17" s="194">
        <f>'CF 2024'!V77</f>
        <v>375293.59999999992</v>
      </c>
      <c r="F17" s="194">
        <f>'CF 2025'!V78</f>
        <v>455086.6</v>
      </c>
      <c r="G17" s="194">
        <f>'CF 2026'!V79</f>
        <v>460791.8</v>
      </c>
      <c r="H17" s="194">
        <f>'CF 2027'!V79</f>
        <v>500342.8</v>
      </c>
    </row>
    <row r="18" spans="2:8" x14ac:dyDescent="0.3">
      <c r="B18" t="s">
        <v>315</v>
      </c>
      <c r="D18" s="194">
        <f>'CF 2023'!V77</f>
        <v>359793.60000000003</v>
      </c>
      <c r="E18" s="194">
        <f>'CF 2024'!V76</f>
        <v>208993.60000000003</v>
      </c>
      <c r="F18" s="194">
        <f>'CF 2025'!V77</f>
        <v>494686.6</v>
      </c>
      <c r="G18" s="194">
        <f>'CF 2026'!V78</f>
        <v>500391.8</v>
      </c>
      <c r="H18" s="194">
        <f>'CF 2027'!V78</f>
        <v>500342.8</v>
      </c>
    </row>
  </sheetData>
  <phoneticPr fontId="7" type="noConversion"/>
  <hyperlinks>
    <hyperlink ref="J3" location="'IS 2023'!A1" display="Income Statement" xr:uid="{AB9D30F8-FDD5-40FA-B84B-800BCE6D7997}"/>
    <hyperlink ref="J4" location="'CF 2023'!A1" display="Cash Flow Statement" xr:uid="{1F64A40E-2EE0-4136-B589-BA764EEDAD8E}"/>
    <hyperlink ref="J5" location="'BS 2023'!A1" display="Balance Sheet" xr:uid="{7463DC7A-CE8C-4155-9305-4F02A1119787}"/>
    <hyperlink ref="J6" location="'Statements Summary 2023'!A1" display="Summary Charts" xr:uid="{9F73E9F4-10ED-44BA-B7C2-0B9504A16B89}"/>
    <hyperlink ref="K3" location="'IS 2024'!A1" display="Income Statement" xr:uid="{DF8A3B21-BB57-49DC-92F7-0E6FCFB0FBC6}"/>
    <hyperlink ref="K4" location="'CF 2024'!A1" display="Cash Flow Statement" xr:uid="{AEF48304-D5D5-4B12-BDFE-B7282EFC66AD}"/>
    <hyperlink ref="K5" location="'BS 2024'!A1" display="Balance Sheet" xr:uid="{467C39D0-40DB-49AA-8D9B-6961710794BB}"/>
    <hyperlink ref="K6" location="'Statements Summary 2024'!A1" display="Summary Charts" xr:uid="{63C2AE12-75B8-484C-8535-222594C33318}"/>
    <hyperlink ref="L3" location="'IS 2025'!A1" display="Income Statement" xr:uid="{C5F003A3-B2CA-4C87-908F-310E561308F7}"/>
    <hyperlink ref="L4" location="'CF 2025'!A1" display="Cash Flow Statement" xr:uid="{28AD0DF2-40DE-4AD2-A618-AF19CD0755C8}"/>
    <hyperlink ref="L5" location="'BS 2025'!A1" display="Balance Sheet" xr:uid="{5E60C413-02AA-40F4-9F98-EBBCE2F74521}"/>
    <hyperlink ref="L6" location="'Statements Summary 2025'!A1" display="Summary Charts" xr:uid="{BD9E988E-0F73-4B9B-A445-3D6BDF3DB6A8}"/>
    <hyperlink ref="M3" location="'IS 2026'!A1" display="Income Statement" xr:uid="{2700B18F-B45D-4B32-AA85-8650F0791B69}"/>
    <hyperlink ref="M4" location="'CF 2026'!A1" display="Cash Flow Statement" xr:uid="{5F64C7AC-318E-4C33-818A-A1E906F818D9}"/>
    <hyperlink ref="M5" location="'BS 2026'!A1" display="Balance Sheet" xr:uid="{5D47C4CE-27CA-497D-940B-A62F9E095BDF}"/>
    <hyperlink ref="M6" location="'Statements Summary 2026'!A1" display="Summary Charts" xr:uid="{4A63BAD5-ACF4-49A0-AD67-9570DE90A307}"/>
    <hyperlink ref="N3" location="'IS 2027'!A1" display="Income Statement" xr:uid="{E6285554-43B6-4717-8343-8D7C48A3C907}"/>
    <hyperlink ref="N4" location="'CF 2027'!A1" display="Cash Flow Statement" xr:uid="{AC1D3D74-09FB-4EBB-994C-523B1A73442E}"/>
    <hyperlink ref="N5" location="'BS 2027'!A1" display="Balance Sheet" xr:uid="{DBE48AEB-A2EB-4B96-A4C5-F9B0732507F5}"/>
    <hyperlink ref="N6" location="'Statements Summary 2027'!A1" display="Summary Charts" xr:uid="{5B492B09-70AD-4AA6-B27E-69EBB3038CDB}"/>
    <hyperlink ref="J8" location="BEA!A1" display="BEA" xr:uid="{F08135C2-11F6-4A30-A58D-0BD4C83E3044}"/>
    <hyperlink ref="K8" location="'Top Expenses'!A1" display="Top Expenses" xr:uid="{F2229E35-CE1C-48B1-8FF0-807F25FF4FD7}"/>
    <hyperlink ref="L8" location="'Salaries Assumptions'!A1" display="Salary Assumptions" xr:uid="{61A80141-784E-4B20-A010-65365C07BDD3}"/>
    <hyperlink ref="M8" location="'Services Assumptions '!A1" display="Service Assumptions" xr:uid="{7E3A4650-2B0E-4E7C-BDD1-046A83C63C0B}"/>
    <hyperlink ref="N8" location="'COGS Assumptions'!A1" display="COGS Assumptions" xr:uid="{6A84DD98-5E3E-459D-9A14-0F64349BA999}"/>
    <hyperlink ref="K9" location="'KPI Spend'!A1" display="KPI Spend" xr:uid="{E8D3B0BB-2303-48D7-8C5C-D0156066BFD2}"/>
    <hyperlink ref="J9" location="'Servcies Team Upselling %'!A1" display="Charge Point User" xr:uid="{976E031A-B2F0-4F57-8C91-B442F5D7114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42E2-200B-4C2D-9772-0DA0AEA51B6A}">
  <sheetPr codeName="Sheet24"/>
  <dimension ref="A1:AP93"/>
  <sheetViews>
    <sheetView showGridLines="0" topLeftCell="A55" workbookViewId="0">
      <selection activeCell="V57" sqref="V57"/>
    </sheetView>
  </sheetViews>
  <sheetFormatPr defaultRowHeight="14.4" x14ac:dyDescent="0.3"/>
  <cols>
    <col min="1" max="1" width="5" customWidth="1"/>
    <col min="2" max="2" width="3.88671875" customWidth="1"/>
    <col min="5" max="5" width="13.77734375" customWidth="1"/>
    <col min="6" max="6" width="10" style="125" bestFit="1" customWidth="1"/>
    <col min="7" max="8" width="10" bestFit="1" customWidth="1"/>
    <col min="9" max="9" width="9.88671875" customWidth="1"/>
    <col min="10" max="13" width="10" bestFit="1" customWidth="1"/>
    <col min="14" max="14" width="9.77734375" customWidth="1"/>
    <col min="15" max="19" width="10" bestFit="1" customWidth="1"/>
    <col min="20" max="20" width="10.4414062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32" t="s">
        <v>139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42" x14ac:dyDescent="0.3">
      <c r="A3" s="9"/>
      <c r="B3" s="9" t="s">
        <v>140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42" x14ac:dyDescent="0.3">
      <c r="A5" s="143"/>
      <c r="B5" s="146" t="s">
        <v>170</v>
      </c>
      <c r="C5" s="143"/>
      <c r="D5" s="143"/>
      <c r="E5" s="143"/>
      <c r="F5" s="191">
        <v>2024</v>
      </c>
      <c r="G5" s="191">
        <v>2024</v>
      </c>
      <c r="H5" s="191">
        <v>2024</v>
      </c>
      <c r="I5" s="191">
        <v>2024</v>
      </c>
      <c r="J5" s="191">
        <v>2024</v>
      </c>
      <c r="K5" s="191">
        <v>2024</v>
      </c>
      <c r="L5" s="191">
        <v>2024</v>
      </c>
      <c r="M5" s="191">
        <v>2024</v>
      </c>
      <c r="N5" s="191">
        <v>2024</v>
      </c>
      <c r="O5" s="191">
        <v>2024</v>
      </c>
      <c r="P5" s="191">
        <v>2024</v>
      </c>
      <c r="Q5" s="191">
        <v>2024</v>
      </c>
      <c r="R5" s="191">
        <v>2025</v>
      </c>
      <c r="S5" s="191">
        <v>2025</v>
      </c>
      <c r="T5" s="191">
        <v>2025</v>
      </c>
      <c r="U5" s="147" t="s">
        <v>72</v>
      </c>
    </row>
    <row r="6" spans="1:42" ht="15" thickBot="1" x14ac:dyDescent="0.35">
      <c r="A6" s="145"/>
      <c r="B6" s="152" t="s">
        <v>64</v>
      </c>
      <c r="C6" s="145"/>
      <c r="D6" s="145"/>
      <c r="E6" s="145"/>
      <c r="F6" s="190" t="s">
        <v>25</v>
      </c>
      <c r="G6" s="190" t="s">
        <v>26</v>
      </c>
      <c r="H6" s="190" t="s">
        <v>27</v>
      </c>
      <c r="I6" s="190" t="s">
        <v>28</v>
      </c>
      <c r="J6" s="190" t="s">
        <v>29</v>
      </c>
      <c r="K6" s="190" t="s">
        <v>30</v>
      </c>
      <c r="L6" s="190" t="s">
        <v>31</v>
      </c>
      <c r="M6" s="190" t="s">
        <v>32</v>
      </c>
      <c r="N6" s="190" t="s">
        <v>33</v>
      </c>
      <c r="O6" s="190" t="s">
        <v>34</v>
      </c>
      <c r="P6" s="190" t="s">
        <v>35</v>
      </c>
      <c r="Q6" s="190" t="s">
        <v>36</v>
      </c>
      <c r="R6" s="190" t="s">
        <v>25</v>
      </c>
      <c r="S6" s="190" t="s">
        <v>26</v>
      </c>
      <c r="T6" s="190" t="s">
        <v>27</v>
      </c>
      <c r="U6" s="158"/>
    </row>
    <row r="7" spans="1:42" s="124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2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35" t="s">
        <v>285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ht="12.6" customHeight="1" x14ac:dyDescent="0.3">
      <c r="A9" s="9"/>
      <c r="B9" s="9"/>
      <c r="C9" s="135" t="s">
        <v>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ht="13.2" customHeight="1" x14ac:dyDescent="0.3">
      <c r="A10" s="9"/>
      <c r="B10" s="9"/>
      <c r="C10" s="427" t="s">
        <v>288</v>
      </c>
      <c r="D10" s="427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338" t="s">
        <v>100</v>
      </c>
    </row>
    <row r="11" spans="1:42" x14ac:dyDescent="0.3">
      <c r="A11" s="9"/>
      <c r="B11" s="9"/>
      <c r="C11" s="136" t="s">
        <v>282</v>
      </c>
      <c r="D11" s="9"/>
      <c r="E11" s="9"/>
      <c r="F11" s="321">
        <v>4191</v>
      </c>
      <c r="G11" s="321">
        <v>4191</v>
      </c>
      <c r="H11" s="321">
        <v>4191</v>
      </c>
      <c r="I11" s="321">
        <v>4891</v>
      </c>
      <c r="J11" s="321">
        <v>5191</v>
      </c>
      <c r="K11" s="321">
        <v>5191</v>
      </c>
      <c r="L11" s="321">
        <v>5222</v>
      </c>
      <c r="M11" s="321">
        <v>5191</v>
      </c>
      <c r="N11" s="321">
        <v>5203</v>
      </c>
      <c r="O11" s="321">
        <v>5203</v>
      </c>
      <c r="P11" s="321">
        <v>5191</v>
      </c>
      <c r="Q11" s="321">
        <v>5187</v>
      </c>
      <c r="R11" s="321">
        <f>'IS 2025'!F11</f>
        <v>4191</v>
      </c>
      <c r="S11" s="321">
        <f>'IS 2025'!G11</f>
        <v>4191</v>
      </c>
      <c r="T11" s="321">
        <f>'IS 2025'!H11</f>
        <v>4191</v>
      </c>
      <c r="U11" s="321">
        <f>AVERAGE(F11:T11)</f>
        <v>4774.3999999999996</v>
      </c>
    </row>
    <row r="12" spans="1:42" x14ac:dyDescent="0.3">
      <c r="A12" s="9"/>
      <c r="B12" s="9"/>
      <c r="C12" s="136" t="s">
        <v>283</v>
      </c>
      <c r="D12" s="9"/>
      <c r="E12" s="9"/>
      <c r="F12" s="321">
        <v>2357</v>
      </c>
      <c r="G12" s="321">
        <v>2357</v>
      </c>
      <c r="H12" s="321">
        <v>2357</v>
      </c>
      <c r="I12" s="321">
        <v>3357</v>
      </c>
      <c r="J12" s="321">
        <v>3557</v>
      </c>
      <c r="K12" s="321">
        <v>3557</v>
      </c>
      <c r="L12" s="321">
        <v>3557</v>
      </c>
      <c r="M12" s="321">
        <v>3557</v>
      </c>
      <c r="N12" s="321">
        <v>3557</v>
      </c>
      <c r="O12" s="321">
        <v>3557</v>
      </c>
      <c r="P12" s="321">
        <v>3557</v>
      </c>
      <c r="Q12" s="321">
        <v>3557</v>
      </c>
      <c r="R12" s="321">
        <f>'IS 2025'!F12</f>
        <v>2357</v>
      </c>
      <c r="S12" s="321">
        <f>'IS 2025'!G12</f>
        <v>2357</v>
      </c>
      <c r="T12" s="321">
        <f>'IS 2025'!H12</f>
        <v>2357</v>
      </c>
      <c r="U12" s="321">
        <f t="shared" ref="U12:U15" si="0">AVERAGE(F12:T12)</f>
        <v>3063.6666666666665</v>
      </c>
    </row>
    <row r="13" spans="1:42" x14ac:dyDescent="0.3">
      <c r="A13" s="9"/>
      <c r="B13" s="9"/>
      <c r="C13" s="136" t="s">
        <v>284</v>
      </c>
      <c r="D13" s="9"/>
      <c r="E13" s="9"/>
      <c r="F13" s="321">
        <v>3357</v>
      </c>
      <c r="G13" s="321">
        <v>3357</v>
      </c>
      <c r="H13" s="321">
        <v>3357</v>
      </c>
      <c r="I13" s="321">
        <v>4357</v>
      </c>
      <c r="J13" s="321">
        <v>4010</v>
      </c>
      <c r="K13" s="321">
        <v>4010</v>
      </c>
      <c r="L13" s="321">
        <v>4010</v>
      </c>
      <c r="M13" s="321">
        <v>4010</v>
      </c>
      <c r="N13" s="321">
        <v>4010</v>
      </c>
      <c r="O13" s="321">
        <v>4010</v>
      </c>
      <c r="P13" s="321">
        <v>4010</v>
      </c>
      <c r="Q13" s="321">
        <v>4010</v>
      </c>
      <c r="R13" s="321">
        <f>'IS 2025'!F13</f>
        <v>3357</v>
      </c>
      <c r="S13" s="321">
        <f>'IS 2025'!G13</f>
        <v>3357</v>
      </c>
      <c r="T13" s="321">
        <f>'IS 2025'!H13</f>
        <v>3357</v>
      </c>
      <c r="U13" s="321">
        <f t="shared" si="0"/>
        <v>3771.9333333333334</v>
      </c>
    </row>
    <row r="14" spans="1:42" x14ac:dyDescent="0.3">
      <c r="A14" s="9"/>
      <c r="B14" s="9"/>
      <c r="C14" s="136" t="s">
        <v>274</v>
      </c>
      <c r="D14" s="9"/>
      <c r="E14" s="9"/>
      <c r="F14" s="321">
        <f t="shared" ref="F14:Q14" si="1">SUM(F11:F13)</f>
        <v>9905</v>
      </c>
      <c r="G14" s="321">
        <f t="shared" si="1"/>
        <v>9905</v>
      </c>
      <c r="H14" s="321">
        <f t="shared" si="1"/>
        <v>9905</v>
      </c>
      <c r="I14" s="321">
        <f t="shared" si="1"/>
        <v>12605</v>
      </c>
      <c r="J14" s="321">
        <f t="shared" si="1"/>
        <v>12758</v>
      </c>
      <c r="K14" s="321">
        <f t="shared" si="1"/>
        <v>12758</v>
      </c>
      <c r="L14" s="321">
        <f t="shared" si="1"/>
        <v>12789</v>
      </c>
      <c r="M14" s="321">
        <f t="shared" si="1"/>
        <v>12758</v>
      </c>
      <c r="N14" s="321">
        <f t="shared" si="1"/>
        <v>12770</v>
      </c>
      <c r="O14" s="321">
        <f t="shared" si="1"/>
        <v>12770</v>
      </c>
      <c r="P14" s="321">
        <f t="shared" si="1"/>
        <v>12758</v>
      </c>
      <c r="Q14" s="321">
        <f t="shared" si="1"/>
        <v>12754</v>
      </c>
      <c r="R14" s="321">
        <v>12655</v>
      </c>
      <c r="S14" s="321">
        <v>12655</v>
      </c>
      <c r="T14" s="321">
        <v>12655</v>
      </c>
      <c r="U14" s="321">
        <f t="shared" si="0"/>
        <v>12160</v>
      </c>
    </row>
    <row r="15" spans="1:42" x14ac:dyDescent="0.3">
      <c r="A15" s="9"/>
      <c r="B15" s="9"/>
      <c r="C15" s="136" t="s">
        <v>295</v>
      </c>
      <c r="D15" s="9"/>
      <c r="E15" s="9"/>
      <c r="F15" s="333">
        <v>15000</v>
      </c>
      <c r="G15" s="333">
        <v>15000</v>
      </c>
      <c r="H15" s="333">
        <v>15000</v>
      </c>
      <c r="I15" s="333">
        <v>15000</v>
      </c>
      <c r="J15" s="333">
        <v>15000</v>
      </c>
      <c r="K15" s="333">
        <v>15000</v>
      </c>
      <c r="L15" s="333">
        <v>15000</v>
      </c>
      <c r="M15" s="333">
        <v>15000</v>
      </c>
      <c r="N15" s="333">
        <v>15000</v>
      </c>
      <c r="O15" s="333">
        <v>15000</v>
      </c>
      <c r="P15" s="333">
        <v>15000</v>
      </c>
      <c r="Q15" s="333">
        <v>15000</v>
      </c>
      <c r="R15" s="333">
        <v>15000</v>
      </c>
      <c r="S15" s="333">
        <v>15000</v>
      </c>
      <c r="T15" s="333">
        <v>15000</v>
      </c>
      <c r="U15" s="333">
        <f t="shared" si="0"/>
        <v>15000</v>
      </c>
    </row>
    <row r="16" spans="1:42" x14ac:dyDescent="0.3">
      <c r="A16" s="9"/>
      <c r="B16" s="9"/>
      <c r="C16" s="136" t="s">
        <v>273</v>
      </c>
      <c r="D16" s="9"/>
      <c r="E16" s="9"/>
      <c r="F16" s="322">
        <f>F14/F$15</f>
        <v>0.66033333333333333</v>
      </c>
      <c r="G16" s="322">
        <f>G14/G$15</f>
        <v>0.66033333333333333</v>
      </c>
      <c r="H16" s="322">
        <f t="shared" ref="H16:T16" si="2">H14/H$15</f>
        <v>0.66033333333333333</v>
      </c>
      <c r="I16" s="322">
        <f t="shared" si="2"/>
        <v>0.84033333333333338</v>
      </c>
      <c r="J16" s="322">
        <f t="shared" si="2"/>
        <v>0.85053333333333336</v>
      </c>
      <c r="K16" s="322">
        <f t="shared" si="2"/>
        <v>0.85053333333333336</v>
      </c>
      <c r="L16" s="322">
        <f t="shared" si="2"/>
        <v>0.85260000000000002</v>
      </c>
      <c r="M16" s="322">
        <f t="shared" si="2"/>
        <v>0.85053333333333336</v>
      </c>
      <c r="N16" s="322">
        <f t="shared" si="2"/>
        <v>0.85133333333333339</v>
      </c>
      <c r="O16" s="322">
        <f t="shared" si="2"/>
        <v>0.85133333333333339</v>
      </c>
      <c r="P16" s="322">
        <f t="shared" si="2"/>
        <v>0.85053333333333336</v>
      </c>
      <c r="Q16" s="322">
        <f t="shared" si="2"/>
        <v>0.85026666666666662</v>
      </c>
      <c r="R16" s="322">
        <f t="shared" si="2"/>
        <v>0.84366666666666668</v>
      </c>
      <c r="S16" s="322">
        <f t="shared" si="2"/>
        <v>0.84366666666666668</v>
      </c>
      <c r="T16" s="322">
        <f t="shared" si="2"/>
        <v>0.84366666666666668</v>
      </c>
      <c r="U16" s="332">
        <f>AVERAGE(F16:T16)</f>
        <v>0.81066666666666676</v>
      </c>
    </row>
    <row r="17" spans="1:21" x14ac:dyDescent="0.3">
      <c r="A17" s="9"/>
      <c r="B17" s="9"/>
      <c r="C17" s="136"/>
      <c r="D17" s="9"/>
      <c r="E17" s="9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9"/>
    </row>
    <row r="18" spans="1:21" x14ac:dyDescent="0.3">
      <c r="A18" s="9"/>
      <c r="B18" s="9"/>
      <c r="C18" s="135" t="s">
        <v>287</v>
      </c>
      <c r="D18" s="9"/>
      <c r="E18" s="9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9"/>
    </row>
    <row r="19" spans="1:21" x14ac:dyDescent="0.3">
      <c r="A19" s="9"/>
      <c r="B19" s="9"/>
      <c r="C19" s="136" t="s">
        <v>282</v>
      </c>
      <c r="D19" s="9"/>
      <c r="E19" s="9"/>
      <c r="F19" s="321">
        <v>4357</v>
      </c>
      <c r="G19" s="321">
        <v>4357</v>
      </c>
      <c r="H19" s="321">
        <v>6489</v>
      </c>
      <c r="I19" s="321">
        <v>6653</v>
      </c>
      <c r="J19" s="321">
        <v>6802</v>
      </c>
      <c r="K19" s="321">
        <v>7130</v>
      </c>
      <c r="L19" s="321">
        <v>8322</v>
      </c>
      <c r="M19" s="321">
        <v>8322</v>
      </c>
      <c r="N19" s="321">
        <v>8322</v>
      </c>
      <c r="O19" s="321">
        <v>6311</v>
      </c>
      <c r="P19" s="321">
        <v>6271</v>
      </c>
      <c r="Q19" s="321">
        <v>6100</v>
      </c>
      <c r="R19" s="321">
        <f>'IS 2025'!F19</f>
        <v>4357</v>
      </c>
      <c r="S19" s="321">
        <f>'IS 2025'!G19</f>
        <v>4357</v>
      </c>
      <c r="T19" s="321">
        <f>'IS 2025'!H19</f>
        <v>6489</v>
      </c>
      <c r="U19" s="321">
        <f>AVERAGE(F19:T19)</f>
        <v>6309.2666666666664</v>
      </c>
    </row>
    <row r="20" spans="1:21" x14ac:dyDescent="0.3">
      <c r="A20" s="9"/>
      <c r="B20" s="9"/>
      <c r="C20" s="136" t="s">
        <v>283</v>
      </c>
      <c r="D20" s="9"/>
      <c r="E20" s="9"/>
      <c r="F20" s="321">
        <v>2357</v>
      </c>
      <c r="G20" s="321">
        <v>2357</v>
      </c>
      <c r="H20" s="321">
        <v>6489</v>
      </c>
      <c r="I20" s="321">
        <v>6653</v>
      </c>
      <c r="J20" s="321">
        <v>6802</v>
      </c>
      <c r="K20" s="321">
        <v>7130</v>
      </c>
      <c r="L20" s="321">
        <v>8322</v>
      </c>
      <c r="M20" s="321">
        <v>8322</v>
      </c>
      <c r="N20" s="321">
        <v>8322</v>
      </c>
      <c r="O20" s="321">
        <v>6411</v>
      </c>
      <c r="P20" s="321">
        <v>6334</v>
      </c>
      <c r="Q20" s="321">
        <v>6232</v>
      </c>
      <c r="R20" s="321">
        <f>'IS 2025'!F20</f>
        <v>2357</v>
      </c>
      <c r="S20" s="321">
        <f>'IS 2025'!G20</f>
        <v>2357</v>
      </c>
      <c r="T20" s="321">
        <f>'IS 2025'!H20</f>
        <v>6489</v>
      </c>
      <c r="U20" s="321">
        <f t="shared" ref="U20:U23" si="3">AVERAGE(F20:T20)</f>
        <v>5795.6</v>
      </c>
    </row>
    <row r="21" spans="1:21" x14ac:dyDescent="0.3">
      <c r="A21" s="9"/>
      <c r="B21" s="9"/>
      <c r="C21" s="136" t="s">
        <v>284</v>
      </c>
      <c r="D21" s="9"/>
      <c r="E21" s="9"/>
      <c r="F21" s="321">
        <v>4357</v>
      </c>
      <c r="G21" s="321">
        <v>4357</v>
      </c>
      <c r="H21" s="321">
        <v>6489</v>
      </c>
      <c r="I21" s="321">
        <v>6653</v>
      </c>
      <c r="J21" s="321">
        <v>6802</v>
      </c>
      <c r="K21" s="321">
        <v>7130</v>
      </c>
      <c r="L21" s="321">
        <v>8322</v>
      </c>
      <c r="M21" s="321">
        <v>8322</v>
      </c>
      <c r="N21" s="321">
        <v>7322</v>
      </c>
      <c r="O21" s="321">
        <v>6411</v>
      </c>
      <c r="P21" s="321">
        <v>6443</v>
      </c>
      <c r="Q21" s="321">
        <v>6211</v>
      </c>
      <c r="R21" s="321">
        <f>'IS 2025'!F21</f>
        <v>4357</v>
      </c>
      <c r="S21" s="321">
        <f>'IS 2025'!G21</f>
        <v>4357</v>
      </c>
      <c r="T21" s="321">
        <f>'IS 2025'!H21</f>
        <v>6489</v>
      </c>
      <c r="U21" s="321">
        <f t="shared" si="3"/>
        <v>6268.1333333333332</v>
      </c>
    </row>
    <row r="22" spans="1:21" x14ac:dyDescent="0.3">
      <c r="A22" s="9"/>
      <c r="B22" s="9"/>
      <c r="C22" s="136" t="s">
        <v>274</v>
      </c>
      <c r="D22" s="9"/>
      <c r="E22" s="9"/>
      <c r="F22" s="321">
        <f t="shared" ref="F22:T22" si="4">SUM(F19:F21)</f>
        <v>11071</v>
      </c>
      <c r="G22" s="321">
        <f t="shared" si="4"/>
        <v>11071</v>
      </c>
      <c r="H22" s="321">
        <f t="shared" si="4"/>
        <v>19467</v>
      </c>
      <c r="I22" s="321">
        <f t="shared" si="4"/>
        <v>19959</v>
      </c>
      <c r="J22" s="321">
        <f t="shared" si="4"/>
        <v>20406</v>
      </c>
      <c r="K22" s="321">
        <f t="shared" si="4"/>
        <v>21390</v>
      </c>
      <c r="L22" s="321">
        <f t="shared" si="4"/>
        <v>24966</v>
      </c>
      <c r="M22" s="321">
        <f t="shared" si="4"/>
        <v>24966</v>
      </c>
      <c r="N22" s="321">
        <f t="shared" si="4"/>
        <v>23966</v>
      </c>
      <c r="O22" s="321">
        <f t="shared" si="4"/>
        <v>19133</v>
      </c>
      <c r="P22" s="321">
        <f t="shared" si="4"/>
        <v>19048</v>
      </c>
      <c r="Q22" s="321">
        <f t="shared" si="4"/>
        <v>18543</v>
      </c>
      <c r="R22" s="321">
        <f t="shared" si="4"/>
        <v>11071</v>
      </c>
      <c r="S22" s="321">
        <f t="shared" si="4"/>
        <v>11071</v>
      </c>
      <c r="T22" s="321">
        <f t="shared" si="4"/>
        <v>19467</v>
      </c>
      <c r="U22" s="321">
        <f t="shared" si="3"/>
        <v>18373</v>
      </c>
    </row>
    <row r="23" spans="1:21" x14ac:dyDescent="0.3">
      <c r="A23" s="9"/>
      <c r="B23" s="9"/>
      <c r="C23" s="136" t="s">
        <v>295</v>
      </c>
      <c r="D23" s="9"/>
      <c r="E23" s="9"/>
      <c r="F23" s="333">
        <v>15000</v>
      </c>
      <c r="G23" s="333">
        <v>15000</v>
      </c>
      <c r="H23" s="333">
        <v>21000</v>
      </c>
      <c r="I23" s="333">
        <v>21000</v>
      </c>
      <c r="J23" s="333">
        <v>22000</v>
      </c>
      <c r="K23" s="333">
        <v>22000</v>
      </c>
      <c r="L23" s="333">
        <v>24000</v>
      </c>
      <c r="M23" s="333">
        <v>24000</v>
      </c>
      <c r="N23" s="333">
        <v>23000</v>
      </c>
      <c r="O23" s="333">
        <v>22000</v>
      </c>
      <c r="P23" s="333">
        <v>21000</v>
      </c>
      <c r="Q23" s="333">
        <v>21000</v>
      </c>
      <c r="R23" s="333">
        <v>16000</v>
      </c>
      <c r="S23" s="333">
        <v>16000</v>
      </c>
      <c r="T23" s="333">
        <v>21000</v>
      </c>
      <c r="U23" s="333">
        <f t="shared" si="3"/>
        <v>20266.666666666668</v>
      </c>
    </row>
    <row r="24" spans="1:21" x14ac:dyDescent="0.3">
      <c r="A24" s="9"/>
      <c r="B24" s="9"/>
      <c r="C24" s="136" t="s">
        <v>273</v>
      </c>
      <c r="D24" s="9"/>
      <c r="E24" s="9"/>
      <c r="F24" s="322">
        <f t="shared" ref="F24:T24" si="5">F22/F$23</f>
        <v>0.73806666666666665</v>
      </c>
      <c r="G24" s="322">
        <f t="shared" si="5"/>
        <v>0.73806666666666665</v>
      </c>
      <c r="H24" s="322">
        <f t="shared" si="5"/>
        <v>0.92700000000000005</v>
      </c>
      <c r="I24" s="322">
        <f t="shared" si="5"/>
        <v>0.9504285714285714</v>
      </c>
      <c r="J24" s="322">
        <f t="shared" si="5"/>
        <v>0.92754545454545456</v>
      </c>
      <c r="K24" s="322">
        <f t="shared" si="5"/>
        <v>0.97227272727272729</v>
      </c>
      <c r="L24" s="322">
        <f t="shared" si="5"/>
        <v>1.0402499999999999</v>
      </c>
      <c r="M24" s="322">
        <f t="shared" si="5"/>
        <v>1.0402499999999999</v>
      </c>
      <c r="N24" s="322">
        <f t="shared" si="5"/>
        <v>1.042</v>
      </c>
      <c r="O24" s="322">
        <f t="shared" si="5"/>
        <v>0.86968181818181822</v>
      </c>
      <c r="P24" s="322">
        <f t="shared" si="5"/>
        <v>0.9070476190476191</v>
      </c>
      <c r="Q24" s="322">
        <f t="shared" si="5"/>
        <v>0.88300000000000001</v>
      </c>
      <c r="R24" s="322">
        <f t="shared" si="5"/>
        <v>0.69193749999999998</v>
      </c>
      <c r="S24" s="322">
        <f t="shared" si="5"/>
        <v>0.69193749999999998</v>
      </c>
      <c r="T24" s="322">
        <f t="shared" si="5"/>
        <v>0.92700000000000005</v>
      </c>
      <c r="U24" s="322">
        <f>AVERAGE(F24:T24)</f>
        <v>0.8897656349206351</v>
      </c>
    </row>
    <row r="25" spans="1:21" x14ac:dyDescent="0.3">
      <c r="A25" s="9"/>
      <c r="B25" s="9"/>
      <c r="C25" s="136"/>
      <c r="D25" s="9"/>
      <c r="E25" s="9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</row>
    <row r="26" spans="1:21" x14ac:dyDescent="0.3">
      <c r="A26" s="9"/>
      <c r="B26" s="9"/>
      <c r="C26" s="135" t="s">
        <v>286</v>
      </c>
      <c r="D26" s="9"/>
      <c r="E26" s="9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9"/>
    </row>
    <row r="27" spans="1:21" x14ac:dyDescent="0.3">
      <c r="A27" s="9"/>
      <c r="B27" s="9"/>
      <c r="C27" s="136" t="s">
        <v>282</v>
      </c>
      <c r="D27" s="9"/>
      <c r="E27" s="9"/>
      <c r="F27" s="321">
        <v>4357</v>
      </c>
      <c r="G27" s="321">
        <v>4357</v>
      </c>
      <c r="H27" s="321">
        <v>6489</v>
      </c>
      <c r="I27" s="321">
        <v>6653</v>
      </c>
      <c r="J27" s="321">
        <v>6802</v>
      </c>
      <c r="K27" s="321">
        <v>7130</v>
      </c>
      <c r="L27" s="321">
        <v>8322</v>
      </c>
      <c r="M27" s="321">
        <v>8322</v>
      </c>
      <c r="N27" s="321">
        <v>8322</v>
      </c>
      <c r="O27" s="321">
        <v>7411</v>
      </c>
      <c r="P27" s="321">
        <v>7411</v>
      </c>
      <c r="Q27" s="321">
        <v>7704</v>
      </c>
      <c r="R27" s="321">
        <f>'IS 2025'!F27</f>
        <v>4357</v>
      </c>
      <c r="S27" s="321">
        <f>'IS 2025'!G27</f>
        <v>4357</v>
      </c>
      <c r="T27" s="321">
        <f>'IS 2025'!H27</f>
        <v>6489</v>
      </c>
      <c r="U27" s="321">
        <f>AVERAGE(F27:T27)</f>
        <v>6565.5333333333338</v>
      </c>
    </row>
    <row r="28" spans="1:21" x14ac:dyDescent="0.3">
      <c r="A28" s="9"/>
      <c r="B28" s="9"/>
      <c r="C28" s="136" t="s">
        <v>283</v>
      </c>
      <c r="D28" s="9"/>
      <c r="E28" s="9"/>
      <c r="F28" s="321">
        <v>2357</v>
      </c>
      <c r="G28" s="321">
        <v>2357</v>
      </c>
      <c r="H28" s="321">
        <v>6489</v>
      </c>
      <c r="I28" s="321">
        <v>6653</v>
      </c>
      <c r="J28" s="321">
        <v>6802</v>
      </c>
      <c r="K28" s="321">
        <v>7130</v>
      </c>
      <c r="L28" s="321">
        <v>8322</v>
      </c>
      <c r="M28" s="321">
        <v>8322</v>
      </c>
      <c r="N28" s="321">
        <v>8322</v>
      </c>
      <c r="O28" s="321">
        <v>7411</v>
      </c>
      <c r="P28" s="321">
        <v>7411</v>
      </c>
      <c r="Q28" s="321">
        <v>7704</v>
      </c>
      <c r="R28" s="321">
        <f>'IS 2025'!F28</f>
        <v>2357</v>
      </c>
      <c r="S28" s="321">
        <f>'IS 2025'!G28</f>
        <v>2357</v>
      </c>
      <c r="T28" s="321">
        <f>'IS 2025'!H28</f>
        <v>6489</v>
      </c>
      <c r="U28" s="321">
        <f t="shared" ref="U28:U31" si="6">AVERAGE(F28:T28)</f>
        <v>6032.2</v>
      </c>
    </row>
    <row r="29" spans="1:21" x14ac:dyDescent="0.3">
      <c r="A29" s="9"/>
      <c r="B29" s="9"/>
      <c r="C29" s="136" t="s">
        <v>284</v>
      </c>
      <c r="D29" s="9"/>
      <c r="E29" s="9"/>
      <c r="F29" s="321">
        <v>3357</v>
      </c>
      <c r="G29" s="321">
        <v>3357</v>
      </c>
      <c r="H29" s="321">
        <v>6489</v>
      </c>
      <c r="I29" s="321">
        <v>6653</v>
      </c>
      <c r="J29" s="321">
        <v>6802</v>
      </c>
      <c r="K29" s="321">
        <v>7130</v>
      </c>
      <c r="L29" s="321">
        <v>8322</v>
      </c>
      <c r="M29" s="321">
        <v>8322</v>
      </c>
      <c r="N29" s="321">
        <v>8322</v>
      </c>
      <c r="O29" s="321">
        <v>7411</v>
      </c>
      <c r="P29" s="321">
        <v>7411</v>
      </c>
      <c r="Q29" s="321">
        <v>7704</v>
      </c>
      <c r="R29" s="321">
        <f>'IS 2025'!F29</f>
        <v>3357</v>
      </c>
      <c r="S29" s="321">
        <f>'IS 2025'!G29</f>
        <v>3357</v>
      </c>
      <c r="T29" s="321">
        <f>'IS 2025'!H29</f>
        <v>6489</v>
      </c>
      <c r="U29" s="321">
        <f t="shared" si="6"/>
        <v>6298.8666666666668</v>
      </c>
    </row>
    <row r="30" spans="1:21" x14ac:dyDescent="0.3">
      <c r="A30" s="9"/>
      <c r="B30" s="9"/>
      <c r="C30" s="136" t="s">
        <v>274</v>
      </c>
      <c r="D30" s="9"/>
      <c r="E30" s="9"/>
      <c r="F30" s="321">
        <f t="shared" ref="F30:T30" si="7">SUM(F27:F29)</f>
        <v>10071</v>
      </c>
      <c r="G30" s="321">
        <f t="shared" si="7"/>
        <v>10071</v>
      </c>
      <c r="H30" s="321">
        <f t="shared" si="7"/>
        <v>19467</v>
      </c>
      <c r="I30" s="321">
        <f t="shared" si="7"/>
        <v>19959</v>
      </c>
      <c r="J30" s="321">
        <f t="shared" si="7"/>
        <v>20406</v>
      </c>
      <c r="K30" s="321">
        <f t="shared" si="7"/>
        <v>21390</v>
      </c>
      <c r="L30" s="321">
        <f t="shared" si="7"/>
        <v>24966</v>
      </c>
      <c r="M30" s="321">
        <f t="shared" si="7"/>
        <v>24966</v>
      </c>
      <c r="N30" s="321">
        <f t="shared" si="7"/>
        <v>24966</v>
      </c>
      <c r="O30" s="321">
        <f t="shared" si="7"/>
        <v>22233</v>
      </c>
      <c r="P30" s="321">
        <f t="shared" si="7"/>
        <v>22233</v>
      </c>
      <c r="Q30" s="321">
        <f>SUM(Q27:Q29)</f>
        <v>23112</v>
      </c>
      <c r="R30" s="321">
        <f t="shared" si="7"/>
        <v>10071</v>
      </c>
      <c r="S30" s="321">
        <f t="shared" si="7"/>
        <v>10071</v>
      </c>
      <c r="T30" s="321">
        <f t="shared" si="7"/>
        <v>19467</v>
      </c>
      <c r="U30" s="321">
        <f t="shared" si="6"/>
        <v>18896.599999999999</v>
      </c>
    </row>
    <row r="31" spans="1:21" x14ac:dyDescent="0.3">
      <c r="A31" s="9"/>
      <c r="B31" s="9"/>
      <c r="C31" s="136" t="s">
        <v>295</v>
      </c>
      <c r="D31" s="9"/>
      <c r="E31" s="9"/>
      <c r="F31" s="333">
        <v>15000</v>
      </c>
      <c r="G31" s="333">
        <v>15000</v>
      </c>
      <c r="H31" s="333">
        <v>25000</v>
      </c>
      <c r="I31" s="333">
        <v>25000</v>
      </c>
      <c r="J31" s="333">
        <v>25000</v>
      </c>
      <c r="K31" s="333">
        <v>25000</v>
      </c>
      <c r="L31" s="333">
        <v>25000</v>
      </c>
      <c r="M31" s="333">
        <v>25000</v>
      </c>
      <c r="N31" s="333">
        <v>25000</v>
      </c>
      <c r="O31" s="333">
        <v>25000</v>
      </c>
      <c r="P31" s="333">
        <v>25000</v>
      </c>
      <c r="Q31" s="333">
        <v>25000</v>
      </c>
      <c r="R31" s="333">
        <v>25000</v>
      </c>
      <c r="S31" s="333">
        <v>25000</v>
      </c>
      <c r="T31" s="333">
        <v>25000</v>
      </c>
      <c r="U31" s="333">
        <f t="shared" si="6"/>
        <v>23666.666666666668</v>
      </c>
    </row>
    <row r="32" spans="1:21" x14ac:dyDescent="0.3">
      <c r="A32" s="9"/>
      <c r="B32" s="9"/>
      <c r="C32" s="136" t="s">
        <v>273</v>
      </c>
      <c r="D32" s="9"/>
      <c r="E32" s="9"/>
      <c r="F32" s="322">
        <f>F30/F$31</f>
        <v>0.6714</v>
      </c>
      <c r="G32" s="322">
        <f t="shared" ref="G32:T32" si="8">G30/G$31</f>
        <v>0.6714</v>
      </c>
      <c r="H32" s="322">
        <f t="shared" si="8"/>
        <v>0.77868000000000004</v>
      </c>
      <c r="I32" s="322">
        <f t="shared" si="8"/>
        <v>0.79835999999999996</v>
      </c>
      <c r="J32" s="322">
        <f t="shared" si="8"/>
        <v>0.81623999999999997</v>
      </c>
      <c r="K32" s="322">
        <f t="shared" si="8"/>
        <v>0.85560000000000003</v>
      </c>
      <c r="L32" s="322">
        <f t="shared" si="8"/>
        <v>0.99863999999999997</v>
      </c>
      <c r="M32" s="322">
        <f t="shared" si="8"/>
        <v>0.99863999999999997</v>
      </c>
      <c r="N32" s="322">
        <f t="shared" si="8"/>
        <v>0.99863999999999997</v>
      </c>
      <c r="O32" s="322">
        <f t="shared" si="8"/>
        <v>0.88932</v>
      </c>
      <c r="P32" s="322">
        <f t="shared" si="8"/>
        <v>0.88932</v>
      </c>
      <c r="Q32" s="322">
        <f t="shared" si="8"/>
        <v>0.92447999999999997</v>
      </c>
      <c r="R32" s="322">
        <f t="shared" si="8"/>
        <v>0.40283999999999998</v>
      </c>
      <c r="S32" s="322">
        <f t="shared" si="8"/>
        <v>0.40283999999999998</v>
      </c>
      <c r="T32" s="322">
        <f t="shared" si="8"/>
        <v>0.77868000000000004</v>
      </c>
      <c r="U32" s="322">
        <f>AVERAGE(F32:T32)</f>
        <v>0.79167199999999993</v>
      </c>
    </row>
    <row r="33" spans="1:21" x14ac:dyDescent="0.3">
      <c r="A33" s="9"/>
      <c r="B33" s="9"/>
      <c r="C33" s="136"/>
      <c r="D33" s="9"/>
      <c r="E33" s="9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9"/>
    </row>
    <row r="34" spans="1:21" x14ac:dyDescent="0.3">
      <c r="A34" s="143"/>
      <c r="B34" s="143"/>
      <c r="C34" s="146" t="s">
        <v>114</v>
      </c>
      <c r="D34" s="143"/>
      <c r="E34" s="143"/>
      <c r="F34" s="326">
        <f>SUM(F14+F22+F30)</f>
        <v>31047</v>
      </c>
      <c r="G34" s="326">
        <f t="shared" ref="G34:T34" si="9">SUM(G14+G22+G30)</f>
        <v>31047</v>
      </c>
      <c r="H34" s="326">
        <f t="shared" si="9"/>
        <v>48839</v>
      </c>
      <c r="I34" s="326">
        <f t="shared" si="9"/>
        <v>52523</v>
      </c>
      <c r="J34" s="326">
        <f t="shared" si="9"/>
        <v>53570</v>
      </c>
      <c r="K34" s="326">
        <f t="shared" si="9"/>
        <v>55538</v>
      </c>
      <c r="L34" s="326">
        <f t="shared" si="9"/>
        <v>62721</v>
      </c>
      <c r="M34" s="326">
        <f t="shared" si="9"/>
        <v>62690</v>
      </c>
      <c r="N34" s="326">
        <f t="shared" si="9"/>
        <v>61702</v>
      </c>
      <c r="O34" s="326">
        <f t="shared" si="9"/>
        <v>54136</v>
      </c>
      <c r="P34" s="326">
        <f t="shared" si="9"/>
        <v>54039</v>
      </c>
      <c r="Q34" s="326">
        <f t="shared" si="9"/>
        <v>54409</v>
      </c>
      <c r="R34" s="326">
        <f>SUM(R14+R22+R30)</f>
        <v>33797</v>
      </c>
      <c r="S34" s="326">
        <f t="shared" si="9"/>
        <v>33797</v>
      </c>
      <c r="T34" s="326">
        <f t="shared" si="9"/>
        <v>51589</v>
      </c>
      <c r="U34" s="326">
        <f>SUM(F34:Q34)</f>
        <v>622261</v>
      </c>
    </row>
    <row r="35" spans="1:21" x14ac:dyDescent="0.3">
      <c r="A35" s="145"/>
      <c r="B35" s="145"/>
      <c r="C35" s="152" t="s">
        <v>115</v>
      </c>
      <c r="D35" s="145"/>
      <c r="E35" s="145"/>
      <c r="F35" s="327">
        <f t="shared" ref="F35:H35" si="10">SUM(F37:F42)</f>
        <v>-3334</v>
      </c>
      <c r="G35" s="327">
        <f t="shared" si="10"/>
        <v>-3334</v>
      </c>
      <c r="H35" s="327">
        <f t="shared" si="10"/>
        <v>-3334</v>
      </c>
      <c r="I35" s="327">
        <f t="shared" ref="I35:T35" si="11">SUM(I37:I42)</f>
        <v>-3334</v>
      </c>
      <c r="J35" s="327">
        <f t="shared" si="11"/>
        <v>-3334</v>
      </c>
      <c r="K35" s="327">
        <f t="shared" si="11"/>
        <v>-3334</v>
      </c>
      <c r="L35" s="327">
        <f t="shared" si="11"/>
        <v>-3334</v>
      </c>
      <c r="M35" s="327">
        <f t="shared" si="11"/>
        <v>-3334</v>
      </c>
      <c r="N35" s="327">
        <f t="shared" si="11"/>
        <v>-3334</v>
      </c>
      <c r="O35" s="327">
        <f t="shared" si="11"/>
        <v>-3334</v>
      </c>
      <c r="P35" s="327">
        <f t="shared" si="11"/>
        <v>-3334</v>
      </c>
      <c r="Q35" s="327">
        <f t="shared" si="11"/>
        <v>-3334</v>
      </c>
      <c r="R35" s="327">
        <f t="shared" si="11"/>
        <v>-3334</v>
      </c>
      <c r="S35" s="327">
        <f t="shared" si="11"/>
        <v>-3334</v>
      </c>
      <c r="T35" s="327">
        <f t="shared" si="11"/>
        <v>-3334</v>
      </c>
      <c r="U35" s="203">
        <f>SUM(F35:Q35)</f>
        <v>-40008</v>
      </c>
    </row>
    <row r="36" spans="1:21" s="9" customFormat="1" x14ac:dyDescent="0.3">
      <c r="A36" s="328"/>
      <c r="B36" s="328"/>
      <c r="C36" s="329"/>
      <c r="D36" s="328"/>
      <c r="E36" s="32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48"/>
    </row>
    <row r="37" spans="1:21" x14ac:dyDescent="0.3">
      <c r="A37" s="9"/>
      <c r="B37" s="9"/>
      <c r="C37" s="136" t="s">
        <v>201</v>
      </c>
      <c r="D37" s="9"/>
      <c r="E37" s="9"/>
      <c r="F37" s="372">
        <v>-1654</v>
      </c>
      <c r="G37" s="372">
        <v>-1654</v>
      </c>
      <c r="H37" s="372">
        <v>-1654</v>
      </c>
      <c r="I37" s="372">
        <v>-1654</v>
      </c>
      <c r="J37" s="372">
        <v>-1654</v>
      </c>
      <c r="K37" s="372">
        <v>-1654</v>
      </c>
      <c r="L37" s="372">
        <v>-1654</v>
      </c>
      <c r="M37" s="372">
        <v>-1654</v>
      </c>
      <c r="N37" s="372">
        <v>-1654</v>
      </c>
      <c r="O37" s="372">
        <v>-1654</v>
      </c>
      <c r="P37" s="372">
        <v>-1654</v>
      </c>
      <c r="Q37" s="372">
        <v>-1654</v>
      </c>
      <c r="R37" s="372">
        <v>-1654</v>
      </c>
      <c r="S37" s="372">
        <v>-1654</v>
      </c>
      <c r="T37" s="372">
        <v>-1654</v>
      </c>
      <c r="U37" s="372">
        <f t="shared" ref="U37:U42" si="12">SUM(F37:Q37)</f>
        <v>-19848</v>
      </c>
    </row>
    <row r="38" spans="1:21" x14ac:dyDescent="0.3">
      <c r="A38" s="9"/>
      <c r="B38" s="9"/>
      <c r="C38" s="136" t="s">
        <v>125</v>
      </c>
      <c r="D38" s="9"/>
      <c r="E38" s="9"/>
      <c r="F38" s="374">
        <v>-750</v>
      </c>
      <c r="G38" s="374">
        <v>-750</v>
      </c>
      <c r="H38" s="374">
        <v>-750</v>
      </c>
      <c r="I38" s="374">
        <v>-750</v>
      </c>
      <c r="J38" s="374">
        <v>-750</v>
      </c>
      <c r="K38" s="374">
        <v>-750</v>
      </c>
      <c r="L38" s="374">
        <v>-750</v>
      </c>
      <c r="M38" s="374">
        <v>-750</v>
      </c>
      <c r="N38" s="374">
        <v>-750</v>
      </c>
      <c r="O38" s="374">
        <v>-750</v>
      </c>
      <c r="P38" s="374">
        <v>-750</v>
      </c>
      <c r="Q38" s="374">
        <v>-750</v>
      </c>
      <c r="R38" s="374">
        <v>-750</v>
      </c>
      <c r="S38" s="374">
        <v>-750</v>
      </c>
      <c r="T38" s="374">
        <v>-750</v>
      </c>
      <c r="U38" s="372">
        <f t="shared" si="12"/>
        <v>-9000</v>
      </c>
    </row>
    <row r="39" spans="1:21" x14ac:dyDescent="0.3">
      <c r="A39" s="9"/>
      <c r="B39" s="9"/>
      <c r="C39" s="136" t="s">
        <v>270</v>
      </c>
      <c r="D39" s="9"/>
      <c r="E39" s="9"/>
      <c r="F39" s="374">
        <v>-600</v>
      </c>
      <c r="G39" s="374">
        <v>-600</v>
      </c>
      <c r="H39" s="374">
        <v>-600</v>
      </c>
      <c r="I39" s="374">
        <v>-600</v>
      </c>
      <c r="J39" s="374">
        <v>-600</v>
      </c>
      <c r="K39" s="374">
        <v>-600</v>
      </c>
      <c r="L39" s="374">
        <v>-600</v>
      </c>
      <c r="M39" s="374">
        <v>-600</v>
      </c>
      <c r="N39" s="374">
        <v>-600</v>
      </c>
      <c r="O39" s="374">
        <v>-600</v>
      </c>
      <c r="P39" s="374">
        <v>-600</v>
      </c>
      <c r="Q39" s="374">
        <v>-600</v>
      </c>
      <c r="R39" s="374">
        <v>-600</v>
      </c>
      <c r="S39" s="374">
        <v>-600</v>
      </c>
      <c r="T39" s="374">
        <v>-600</v>
      </c>
      <c r="U39" s="372">
        <f t="shared" si="12"/>
        <v>-7200</v>
      </c>
    </row>
    <row r="40" spans="1:21" x14ac:dyDescent="0.3">
      <c r="A40" s="9"/>
      <c r="B40" s="9"/>
      <c r="C40" s="136" t="s">
        <v>294</v>
      </c>
      <c r="D40" s="9"/>
      <c r="E40" s="9"/>
      <c r="F40" s="374">
        <v>-205</v>
      </c>
      <c r="G40" s="374">
        <v>-205</v>
      </c>
      <c r="H40" s="374">
        <v>-205</v>
      </c>
      <c r="I40" s="374">
        <v>-205</v>
      </c>
      <c r="J40" s="374">
        <v>-205</v>
      </c>
      <c r="K40" s="374">
        <v>-205</v>
      </c>
      <c r="L40" s="374">
        <v>-205</v>
      </c>
      <c r="M40" s="374">
        <v>-205</v>
      </c>
      <c r="N40" s="374">
        <v>-205</v>
      </c>
      <c r="O40" s="374">
        <v>-205</v>
      </c>
      <c r="P40" s="374">
        <v>-205</v>
      </c>
      <c r="Q40" s="374">
        <v>-205</v>
      </c>
      <c r="R40" s="374">
        <v>-205</v>
      </c>
      <c r="S40" s="374">
        <v>-205</v>
      </c>
      <c r="T40" s="374">
        <v>-205</v>
      </c>
      <c r="U40" s="372">
        <f t="shared" si="12"/>
        <v>-2460</v>
      </c>
    </row>
    <row r="41" spans="1:21" x14ac:dyDescent="0.3">
      <c r="A41" s="9"/>
      <c r="B41" s="9"/>
      <c r="C41" s="136" t="s">
        <v>271</v>
      </c>
      <c r="D41" s="9"/>
      <c r="E41" s="9"/>
      <c r="F41" s="374">
        <v>-125</v>
      </c>
      <c r="G41" s="374">
        <v>-125</v>
      </c>
      <c r="H41" s="374">
        <v>-125</v>
      </c>
      <c r="I41" s="374">
        <v>-125</v>
      </c>
      <c r="J41" s="374">
        <v>-125</v>
      </c>
      <c r="K41" s="374">
        <v>-125</v>
      </c>
      <c r="L41" s="374">
        <v>-125</v>
      </c>
      <c r="M41" s="374">
        <v>-125</v>
      </c>
      <c r="N41" s="374">
        <v>-125</v>
      </c>
      <c r="O41" s="374">
        <v>-125</v>
      </c>
      <c r="P41" s="374">
        <v>-125</v>
      </c>
      <c r="Q41" s="374">
        <v>-125</v>
      </c>
      <c r="R41" s="374">
        <v>-125</v>
      </c>
      <c r="S41" s="374">
        <v>-125</v>
      </c>
      <c r="T41" s="374">
        <v>-125</v>
      </c>
      <c r="U41" s="372">
        <f t="shared" si="12"/>
        <v>-1500</v>
      </c>
    </row>
    <row r="42" spans="1:21" x14ac:dyDescent="0.3">
      <c r="A42" s="9"/>
      <c r="B42" s="9"/>
      <c r="C42" s="136" t="s">
        <v>206</v>
      </c>
      <c r="D42" s="9"/>
      <c r="E42" s="9"/>
      <c r="F42" s="330" t="s">
        <v>190</v>
      </c>
      <c r="G42" s="330" t="s">
        <v>190</v>
      </c>
      <c r="H42" s="330" t="s">
        <v>190</v>
      </c>
      <c r="I42" s="330" t="s">
        <v>190</v>
      </c>
      <c r="J42" s="330" t="s">
        <v>190</v>
      </c>
      <c r="K42" s="330" t="s">
        <v>190</v>
      </c>
      <c r="L42" s="330" t="s">
        <v>190</v>
      </c>
      <c r="M42" s="330" t="s">
        <v>190</v>
      </c>
      <c r="N42" s="330" t="s">
        <v>190</v>
      </c>
      <c r="O42" s="330" t="s">
        <v>190</v>
      </c>
      <c r="P42" s="330" t="s">
        <v>190</v>
      </c>
      <c r="Q42" s="330" t="s">
        <v>190</v>
      </c>
      <c r="R42" s="330" t="s">
        <v>190</v>
      </c>
      <c r="S42" s="330" t="s">
        <v>190</v>
      </c>
      <c r="T42" s="330" t="s">
        <v>190</v>
      </c>
      <c r="U42" s="204">
        <f t="shared" si="12"/>
        <v>0</v>
      </c>
    </row>
    <row r="43" spans="1:21" x14ac:dyDescent="0.3">
      <c r="A43" s="9"/>
      <c r="B43" s="9"/>
      <c r="C43" s="134"/>
      <c r="D43" s="9"/>
      <c r="E43" s="9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204"/>
    </row>
    <row r="44" spans="1:21" x14ac:dyDescent="0.3">
      <c r="A44" s="155"/>
      <c r="B44" s="155"/>
      <c r="C44" s="156" t="s">
        <v>4</v>
      </c>
      <c r="D44" s="155"/>
      <c r="E44" s="155"/>
      <c r="F44" s="380">
        <f t="shared" ref="F44:Q44" si="13">SUM(F34+F35)</f>
        <v>27713</v>
      </c>
      <c r="G44" s="380">
        <f t="shared" si="13"/>
        <v>27713</v>
      </c>
      <c r="H44" s="380">
        <f t="shared" si="13"/>
        <v>45505</v>
      </c>
      <c r="I44" s="380">
        <f t="shared" si="13"/>
        <v>49189</v>
      </c>
      <c r="J44" s="380">
        <f t="shared" si="13"/>
        <v>50236</v>
      </c>
      <c r="K44" s="380">
        <f t="shared" si="13"/>
        <v>52204</v>
      </c>
      <c r="L44" s="380">
        <f t="shared" si="13"/>
        <v>59387</v>
      </c>
      <c r="M44" s="380">
        <f t="shared" si="13"/>
        <v>59356</v>
      </c>
      <c r="N44" s="380">
        <f t="shared" si="13"/>
        <v>58368</v>
      </c>
      <c r="O44" s="380">
        <f t="shared" si="13"/>
        <v>50802</v>
      </c>
      <c r="P44" s="380">
        <f t="shared" si="13"/>
        <v>50705</v>
      </c>
      <c r="Q44" s="380">
        <f t="shared" si="13"/>
        <v>51075</v>
      </c>
      <c r="R44" s="380">
        <f t="shared" ref="R44:T44" si="14">SUM(R34+R35)</f>
        <v>30463</v>
      </c>
      <c r="S44" s="380">
        <f t="shared" si="14"/>
        <v>30463</v>
      </c>
      <c r="T44" s="380">
        <f t="shared" si="14"/>
        <v>48255</v>
      </c>
      <c r="U44" s="381">
        <f t="shared" ref="U44:U75" si="15">SUM(F44:Q44)</f>
        <v>582253</v>
      </c>
    </row>
    <row r="45" spans="1:21" x14ac:dyDescent="0.3">
      <c r="A45" s="9"/>
      <c r="B45" s="9"/>
      <c r="C45" s="134"/>
      <c r="D45" s="9"/>
      <c r="E45" s="9"/>
      <c r="F45" s="330"/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204"/>
    </row>
    <row r="46" spans="1:21" x14ac:dyDescent="0.3">
      <c r="A46" s="9"/>
      <c r="B46" s="9"/>
      <c r="C46" s="135" t="s">
        <v>5</v>
      </c>
      <c r="D46" s="9"/>
      <c r="E46" s="9"/>
      <c r="F46" s="330"/>
      <c r="G46" s="330"/>
      <c r="H46" s="330"/>
      <c r="I46" s="330"/>
      <c r="J46" s="330"/>
      <c r="K46" s="330"/>
      <c r="L46" s="330"/>
      <c r="M46" s="330"/>
      <c r="N46" s="330"/>
      <c r="O46" s="330"/>
      <c r="P46" s="330"/>
      <c r="Q46" s="330"/>
      <c r="R46" s="330"/>
      <c r="S46" s="330"/>
      <c r="T46" s="330"/>
      <c r="U46" s="204"/>
    </row>
    <row r="47" spans="1:21" x14ac:dyDescent="0.3">
      <c r="A47" s="9"/>
      <c r="B47" s="9"/>
      <c r="C47" s="136" t="s">
        <v>291</v>
      </c>
      <c r="D47" s="9"/>
      <c r="E47" s="9"/>
      <c r="F47" s="372">
        <v>-1500</v>
      </c>
      <c r="G47" s="372">
        <v>-1500</v>
      </c>
      <c r="H47" s="372">
        <v>-1500</v>
      </c>
      <c r="I47" s="372">
        <v>-1500</v>
      </c>
      <c r="J47" s="372">
        <v>-1500</v>
      </c>
      <c r="K47" s="372">
        <v>-1500</v>
      </c>
      <c r="L47" s="372">
        <v>-1500</v>
      </c>
      <c r="M47" s="372">
        <v>-1500</v>
      </c>
      <c r="N47" s="372">
        <v>-1500</v>
      </c>
      <c r="O47" s="372">
        <v>-1500</v>
      </c>
      <c r="P47" s="372">
        <v>-1500</v>
      </c>
      <c r="Q47" s="372">
        <v>-1500</v>
      </c>
      <c r="R47" s="372">
        <v>-1500</v>
      </c>
      <c r="S47" s="372">
        <v>-1500</v>
      </c>
      <c r="T47" s="372">
        <v>-1500</v>
      </c>
      <c r="U47" s="372">
        <f t="shared" si="15"/>
        <v>-18000</v>
      </c>
    </row>
    <row r="48" spans="1:21" x14ac:dyDescent="0.3">
      <c r="A48" s="9"/>
      <c r="B48" s="9"/>
      <c r="C48" s="136" t="s">
        <v>289</v>
      </c>
      <c r="D48" s="9"/>
      <c r="E48" s="9"/>
      <c r="F48" s="372">
        <v>750</v>
      </c>
      <c r="G48" s="372">
        <v>750</v>
      </c>
      <c r="H48" s="372">
        <v>750</v>
      </c>
      <c r="I48" s="372">
        <v>750</v>
      </c>
      <c r="J48" s="372">
        <v>750</v>
      </c>
      <c r="K48" s="372">
        <v>750</v>
      </c>
      <c r="L48" s="372">
        <v>750</v>
      </c>
      <c r="M48" s="372">
        <v>750</v>
      </c>
      <c r="N48" s="372">
        <v>750</v>
      </c>
      <c r="O48" s="372">
        <v>750</v>
      </c>
      <c r="P48" s="372">
        <v>750</v>
      </c>
      <c r="Q48" s="372">
        <v>750</v>
      </c>
      <c r="R48" s="372">
        <v>750</v>
      </c>
      <c r="S48" s="372">
        <v>750</v>
      </c>
      <c r="T48" s="372">
        <v>750</v>
      </c>
      <c r="U48" s="372">
        <f t="shared" si="15"/>
        <v>9000</v>
      </c>
    </row>
    <row r="49" spans="1:21" x14ac:dyDescent="0.3">
      <c r="A49" s="9"/>
      <c r="B49" s="9"/>
      <c r="C49" s="136" t="s">
        <v>292</v>
      </c>
      <c r="D49" s="9"/>
      <c r="E49" s="9"/>
      <c r="F49" s="372">
        <v>-493</v>
      </c>
      <c r="G49" s="372">
        <v>-493</v>
      </c>
      <c r="H49" s="372">
        <v>-493</v>
      </c>
      <c r="I49" s="372">
        <v>-493</v>
      </c>
      <c r="J49" s="372">
        <v>-493</v>
      </c>
      <c r="K49" s="372">
        <v>-493</v>
      </c>
      <c r="L49" s="372">
        <v>-493</v>
      </c>
      <c r="M49" s="372">
        <v>-493</v>
      </c>
      <c r="N49" s="372">
        <v>-493</v>
      </c>
      <c r="O49" s="372">
        <v>-493</v>
      </c>
      <c r="P49" s="372">
        <v>-493</v>
      </c>
      <c r="Q49" s="372">
        <v>-493</v>
      </c>
      <c r="R49" s="372">
        <v>-493</v>
      </c>
      <c r="S49" s="372">
        <v>-493</v>
      </c>
      <c r="T49" s="372">
        <v>-493</v>
      </c>
      <c r="U49" s="372">
        <f t="shared" si="15"/>
        <v>-5916</v>
      </c>
    </row>
    <row r="50" spans="1:21" x14ac:dyDescent="0.3">
      <c r="A50" s="9"/>
      <c r="B50" s="9"/>
      <c r="C50" s="136" t="s">
        <v>290</v>
      </c>
      <c r="D50" s="9"/>
      <c r="E50" s="9"/>
      <c r="F50" s="372">
        <v>-200</v>
      </c>
      <c r="G50" s="372">
        <v>-200</v>
      </c>
      <c r="H50" s="372">
        <v>-200</v>
      </c>
      <c r="I50" s="372">
        <v>-200</v>
      </c>
      <c r="J50" s="372">
        <v>-200</v>
      </c>
      <c r="K50" s="372">
        <v>-200</v>
      </c>
      <c r="L50" s="372">
        <v>-200</v>
      </c>
      <c r="M50" s="372">
        <v>-200</v>
      </c>
      <c r="N50" s="372">
        <v>-200</v>
      </c>
      <c r="O50" s="372">
        <v>-200</v>
      </c>
      <c r="P50" s="372">
        <v>-200</v>
      </c>
      <c r="Q50" s="372">
        <v>-200</v>
      </c>
      <c r="R50" s="372">
        <v>-200</v>
      </c>
      <c r="S50" s="372">
        <v>-200</v>
      </c>
      <c r="T50" s="372">
        <v>-200</v>
      </c>
      <c r="U50" s="372">
        <f t="shared" si="15"/>
        <v>-2400</v>
      </c>
    </row>
    <row r="51" spans="1:21" x14ac:dyDescent="0.3">
      <c r="A51" s="9"/>
      <c r="B51" s="9"/>
      <c r="C51" s="136" t="s">
        <v>119</v>
      </c>
      <c r="D51" s="9"/>
      <c r="E51" s="9"/>
      <c r="F51" s="334" t="s">
        <v>190</v>
      </c>
      <c r="G51" s="334" t="s">
        <v>190</v>
      </c>
      <c r="H51" s="334" t="s">
        <v>190</v>
      </c>
      <c r="I51" s="334" t="s">
        <v>190</v>
      </c>
      <c r="J51" s="334" t="s">
        <v>190</v>
      </c>
      <c r="K51" s="334" t="s">
        <v>190</v>
      </c>
      <c r="L51" s="334" t="s">
        <v>190</v>
      </c>
      <c r="M51" s="334" t="s">
        <v>190</v>
      </c>
      <c r="N51" s="334" t="s">
        <v>190</v>
      </c>
      <c r="O51" s="334" t="s">
        <v>190</v>
      </c>
      <c r="P51" s="334" t="s">
        <v>190</v>
      </c>
      <c r="Q51" s="334" t="s">
        <v>190</v>
      </c>
      <c r="R51" s="334" t="s">
        <v>190</v>
      </c>
      <c r="S51" s="334" t="s">
        <v>190</v>
      </c>
      <c r="T51" s="334" t="s">
        <v>190</v>
      </c>
      <c r="U51" s="204"/>
    </row>
    <row r="52" spans="1:21" x14ac:dyDescent="0.3">
      <c r="A52" s="9"/>
      <c r="B52" s="9"/>
      <c r="C52" s="136" t="s">
        <v>120</v>
      </c>
      <c r="D52" s="9"/>
      <c r="E52" s="9"/>
      <c r="F52" s="334" t="s">
        <v>190</v>
      </c>
      <c r="G52" s="334" t="s">
        <v>190</v>
      </c>
      <c r="H52" s="334" t="s">
        <v>190</v>
      </c>
      <c r="I52" s="334" t="s">
        <v>190</v>
      </c>
      <c r="J52" s="334" t="s">
        <v>190</v>
      </c>
      <c r="K52" s="334" t="s">
        <v>190</v>
      </c>
      <c r="L52" s="334" t="s">
        <v>190</v>
      </c>
      <c r="M52" s="334" t="s">
        <v>190</v>
      </c>
      <c r="N52" s="334" t="s">
        <v>190</v>
      </c>
      <c r="O52" s="334" t="s">
        <v>190</v>
      </c>
      <c r="P52" s="334" t="s">
        <v>190</v>
      </c>
      <c r="Q52" s="334" t="s">
        <v>190</v>
      </c>
      <c r="R52" s="334" t="s">
        <v>190</v>
      </c>
      <c r="S52" s="334" t="s">
        <v>190</v>
      </c>
      <c r="T52" s="334" t="s">
        <v>190</v>
      </c>
      <c r="U52" s="204"/>
    </row>
    <row r="53" spans="1:21" x14ac:dyDescent="0.3">
      <c r="A53" s="9"/>
      <c r="B53" s="9"/>
      <c r="C53" s="136"/>
      <c r="D53" s="9"/>
      <c r="E53" s="9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29"/>
    </row>
    <row r="54" spans="1:21" x14ac:dyDescent="0.3">
      <c r="A54" s="147"/>
      <c r="B54" s="147"/>
      <c r="C54" s="173" t="s">
        <v>123</v>
      </c>
      <c r="D54" s="147"/>
      <c r="E54" s="147"/>
      <c r="F54" s="201">
        <f t="shared" ref="F54:T54" si="16">SUM(F47:F52)</f>
        <v>-1443</v>
      </c>
      <c r="G54" s="201">
        <f t="shared" si="16"/>
        <v>-1443</v>
      </c>
      <c r="H54" s="201">
        <f t="shared" si="16"/>
        <v>-1443</v>
      </c>
      <c r="I54" s="201">
        <f t="shared" si="16"/>
        <v>-1443</v>
      </c>
      <c r="J54" s="201">
        <f t="shared" si="16"/>
        <v>-1443</v>
      </c>
      <c r="K54" s="201">
        <f t="shared" si="16"/>
        <v>-1443</v>
      </c>
      <c r="L54" s="201">
        <f t="shared" si="16"/>
        <v>-1443</v>
      </c>
      <c r="M54" s="201">
        <f t="shared" si="16"/>
        <v>-1443</v>
      </c>
      <c r="N54" s="201">
        <f t="shared" si="16"/>
        <v>-1443</v>
      </c>
      <c r="O54" s="201">
        <f t="shared" si="16"/>
        <v>-1443</v>
      </c>
      <c r="P54" s="201">
        <f t="shared" si="16"/>
        <v>-1443</v>
      </c>
      <c r="Q54" s="201">
        <f t="shared" si="16"/>
        <v>-1443</v>
      </c>
      <c r="R54" s="201">
        <f t="shared" si="16"/>
        <v>-1443</v>
      </c>
      <c r="S54" s="201">
        <f t="shared" si="16"/>
        <v>-1443</v>
      </c>
      <c r="T54" s="201">
        <f t="shared" si="16"/>
        <v>-1443</v>
      </c>
      <c r="U54" s="201">
        <f t="shared" si="15"/>
        <v>-17316</v>
      </c>
    </row>
    <row r="55" spans="1:21" x14ac:dyDescent="0.3">
      <c r="A55" s="148"/>
      <c r="B55" s="148"/>
      <c r="C55" s="184" t="s">
        <v>124</v>
      </c>
      <c r="D55" s="148"/>
      <c r="E55" s="148"/>
      <c r="F55" s="203">
        <v>-5063</v>
      </c>
      <c r="G55" s="203">
        <v>-5063</v>
      </c>
      <c r="H55" s="203">
        <v>-5063</v>
      </c>
      <c r="I55" s="203">
        <v>-5063</v>
      </c>
      <c r="J55" s="203">
        <v>-5063</v>
      </c>
      <c r="K55" s="203">
        <v>-5063</v>
      </c>
      <c r="L55" s="203">
        <v>-5063</v>
      </c>
      <c r="M55" s="203">
        <v>-5063</v>
      </c>
      <c r="N55" s="203">
        <v>-5063</v>
      </c>
      <c r="O55" s="203">
        <v>-5063</v>
      </c>
      <c r="P55" s="203">
        <v>-5063</v>
      </c>
      <c r="Q55" s="203">
        <v>-5063</v>
      </c>
      <c r="R55" s="203">
        <v>-5063</v>
      </c>
      <c r="S55" s="203">
        <v>-5063</v>
      </c>
      <c r="T55" s="203">
        <v>-5063</v>
      </c>
      <c r="U55" s="203">
        <f t="shared" si="15"/>
        <v>-60756</v>
      </c>
    </row>
    <row r="56" spans="1:21" x14ac:dyDescent="0.3">
      <c r="A56" s="9"/>
      <c r="B56" s="9"/>
      <c r="C56" s="134"/>
      <c r="D56" s="9"/>
      <c r="E56" s="9"/>
      <c r="F56" s="330"/>
      <c r="G56" s="330"/>
      <c r="H56" s="330"/>
      <c r="I56" s="330"/>
      <c r="J56" s="330"/>
      <c r="K56" s="330"/>
      <c r="L56" s="330"/>
      <c r="M56" s="330"/>
      <c r="N56" s="330"/>
      <c r="O56" s="330"/>
      <c r="P56" s="330"/>
      <c r="Q56" s="330"/>
      <c r="R56" s="330"/>
      <c r="S56" s="330"/>
      <c r="T56" s="330"/>
      <c r="U56" s="204"/>
    </row>
    <row r="57" spans="1:21" x14ac:dyDescent="0.3">
      <c r="A57" s="9"/>
      <c r="B57" s="9"/>
      <c r="C57" s="135" t="s">
        <v>24</v>
      </c>
      <c r="D57" s="9"/>
      <c r="E57" s="9"/>
      <c r="F57" s="330"/>
      <c r="G57" s="330"/>
      <c r="H57" s="330"/>
      <c r="I57" s="330"/>
      <c r="J57" s="330"/>
      <c r="K57" s="330"/>
      <c r="L57" s="330"/>
      <c r="M57" s="330"/>
      <c r="N57" s="330"/>
      <c r="O57" s="330"/>
      <c r="P57" s="330"/>
      <c r="Q57" s="330"/>
      <c r="R57" s="330"/>
      <c r="S57" s="330"/>
      <c r="T57" s="330"/>
      <c r="U57" s="204"/>
    </row>
    <row r="58" spans="1:21" x14ac:dyDescent="0.3">
      <c r="A58" s="9"/>
      <c r="B58" s="9"/>
      <c r="C58" s="136" t="s">
        <v>269</v>
      </c>
      <c r="D58" s="9"/>
      <c r="E58" s="9"/>
      <c r="F58" s="372">
        <v>-1750</v>
      </c>
      <c r="G58" s="372">
        <v>-1750</v>
      </c>
      <c r="H58" s="372">
        <v>-1750</v>
      </c>
      <c r="I58" s="372">
        <v>-1750</v>
      </c>
      <c r="J58" s="372">
        <v>-1750</v>
      </c>
      <c r="K58" s="372">
        <v>-1750</v>
      </c>
      <c r="L58" s="372">
        <v>-1750</v>
      </c>
      <c r="M58" s="372">
        <v>-1750</v>
      </c>
      <c r="N58" s="372">
        <v>-1750</v>
      </c>
      <c r="O58" s="372">
        <v>-1750</v>
      </c>
      <c r="P58" s="372">
        <v>-1750</v>
      </c>
      <c r="Q58" s="372">
        <v>-1750</v>
      </c>
      <c r="R58" s="372">
        <v>-1750</v>
      </c>
      <c r="S58" s="372">
        <v>-1750</v>
      </c>
      <c r="T58" s="372">
        <v>-1750</v>
      </c>
      <c r="U58" s="372">
        <f t="shared" si="15"/>
        <v>-21000</v>
      </c>
    </row>
    <row r="59" spans="1:21" x14ac:dyDescent="0.3">
      <c r="A59" s="9"/>
      <c r="B59" s="9"/>
      <c r="C59" s="136" t="s">
        <v>219</v>
      </c>
      <c r="D59" s="9"/>
      <c r="E59" s="9"/>
      <c r="F59" s="372">
        <v>-2550</v>
      </c>
      <c r="G59" s="372">
        <v>-2550</v>
      </c>
      <c r="H59" s="372">
        <v>-2550</v>
      </c>
      <c r="I59" s="372">
        <v>-2550</v>
      </c>
      <c r="J59" s="372">
        <v>-2550</v>
      </c>
      <c r="K59" s="372">
        <v>-2550</v>
      </c>
      <c r="L59" s="372">
        <v>-2550</v>
      </c>
      <c r="M59" s="372">
        <v>-2550</v>
      </c>
      <c r="N59" s="372">
        <v>-2550</v>
      </c>
      <c r="O59" s="372">
        <v>-2550</v>
      </c>
      <c r="P59" s="372">
        <v>-2550</v>
      </c>
      <c r="Q59" s="372">
        <v>-2550</v>
      </c>
      <c r="R59" s="372">
        <v>-2550</v>
      </c>
      <c r="S59" s="372">
        <v>-2550</v>
      </c>
      <c r="T59" s="372">
        <v>-2550</v>
      </c>
      <c r="U59" s="372">
        <f t="shared" si="15"/>
        <v>-30600</v>
      </c>
    </row>
    <row r="60" spans="1:21" x14ac:dyDescent="0.3">
      <c r="A60" s="9"/>
      <c r="B60" s="9"/>
      <c r="C60" s="136" t="s">
        <v>125</v>
      </c>
      <c r="D60" s="9"/>
      <c r="E60" s="9"/>
      <c r="F60" s="372">
        <v>-1700</v>
      </c>
      <c r="G60" s="372">
        <v>-1700</v>
      </c>
      <c r="H60" s="372">
        <v>-1700</v>
      </c>
      <c r="I60" s="372">
        <v>-1700</v>
      </c>
      <c r="J60" s="372">
        <v>-1700</v>
      </c>
      <c r="K60" s="372">
        <v>-1700</v>
      </c>
      <c r="L60" s="372">
        <v>-1700</v>
      </c>
      <c r="M60" s="372">
        <v>-1700</v>
      </c>
      <c r="N60" s="372">
        <v>-1700</v>
      </c>
      <c r="O60" s="372">
        <v>-1700</v>
      </c>
      <c r="P60" s="372">
        <v>-1700</v>
      </c>
      <c r="Q60" s="372">
        <v>-1700</v>
      </c>
      <c r="R60" s="372">
        <v>-1700</v>
      </c>
      <c r="S60" s="372">
        <v>-1700</v>
      </c>
      <c r="T60" s="372">
        <v>-1700</v>
      </c>
      <c r="U60" s="372">
        <f t="shared" si="15"/>
        <v>-20400</v>
      </c>
    </row>
    <row r="61" spans="1:21" x14ac:dyDescent="0.3">
      <c r="A61" s="9"/>
      <c r="B61" s="9"/>
      <c r="C61" s="136" t="s">
        <v>270</v>
      </c>
      <c r="D61" s="9"/>
      <c r="E61" s="9"/>
      <c r="F61" s="372">
        <v>-900</v>
      </c>
      <c r="G61" s="372">
        <v>-900</v>
      </c>
      <c r="H61" s="372">
        <v>-900</v>
      </c>
      <c r="I61" s="372">
        <v>-900</v>
      </c>
      <c r="J61" s="372">
        <v>-900</v>
      </c>
      <c r="K61" s="372">
        <v>-900</v>
      </c>
      <c r="L61" s="372">
        <v>-900</v>
      </c>
      <c r="M61" s="372">
        <v>-900</v>
      </c>
      <c r="N61" s="372">
        <v>-900</v>
      </c>
      <c r="O61" s="372">
        <v>-900</v>
      </c>
      <c r="P61" s="372">
        <v>-900</v>
      </c>
      <c r="Q61" s="372">
        <v>-900</v>
      </c>
      <c r="R61" s="372">
        <v>-900</v>
      </c>
      <c r="S61" s="372">
        <v>-900</v>
      </c>
      <c r="T61" s="372">
        <v>-900</v>
      </c>
      <c r="U61" s="372">
        <f t="shared" si="15"/>
        <v>-10800</v>
      </c>
    </row>
    <row r="62" spans="1:21" x14ac:dyDescent="0.3">
      <c r="A62" s="9"/>
      <c r="B62" s="9"/>
      <c r="C62" s="136" t="s">
        <v>61</v>
      </c>
      <c r="D62" s="9"/>
      <c r="E62" s="9"/>
      <c r="F62" s="372">
        <v>-900</v>
      </c>
      <c r="G62" s="372">
        <v>-900</v>
      </c>
      <c r="H62" s="372">
        <v>-900</v>
      </c>
      <c r="I62" s="372">
        <v>-900</v>
      </c>
      <c r="J62" s="372">
        <v>-900</v>
      </c>
      <c r="K62" s="372">
        <v>-900</v>
      </c>
      <c r="L62" s="372">
        <v>-900</v>
      </c>
      <c r="M62" s="372">
        <v>-900</v>
      </c>
      <c r="N62" s="372">
        <v>-900</v>
      </c>
      <c r="O62" s="372">
        <v>-900</v>
      </c>
      <c r="P62" s="372">
        <v>-900</v>
      </c>
      <c r="Q62" s="372">
        <v>-900</v>
      </c>
      <c r="R62" s="372">
        <v>-900</v>
      </c>
      <c r="S62" s="372">
        <v>-900</v>
      </c>
      <c r="T62" s="372">
        <v>-900</v>
      </c>
      <c r="U62" s="372">
        <f t="shared" si="15"/>
        <v>-10800</v>
      </c>
    </row>
    <row r="63" spans="1:21" x14ac:dyDescent="0.3">
      <c r="A63" s="9"/>
      <c r="B63" s="9"/>
      <c r="C63" s="136" t="s">
        <v>293</v>
      </c>
      <c r="D63" s="9"/>
      <c r="E63" s="9"/>
      <c r="F63" s="330" t="s">
        <v>190</v>
      </c>
      <c r="G63" s="330" t="s">
        <v>190</v>
      </c>
      <c r="H63" s="330" t="s">
        <v>190</v>
      </c>
      <c r="I63" s="330" t="s">
        <v>190</v>
      </c>
      <c r="J63" s="330" t="s">
        <v>190</v>
      </c>
      <c r="K63" s="330" t="s">
        <v>190</v>
      </c>
      <c r="L63" s="330" t="s">
        <v>190</v>
      </c>
      <c r="M63" s="330" t="s">
        <v>190</v>
      </c>
      <c r="N63" s="330" t="s">
        <v>190</v>
      </c>
      <c r="O63" s="330" t="s">
        <v>190</v>
      </c>
      <c r="P63" s="330" t="s">
        <v>190</v>
      </c>
      <c r="Q63" s="330" t="s">
        <v>190</v>
      </c>
      <c r="R63" s="330" t="s">
        <v>190</v>
      </c>
      <c r="S63" s="330" t="s">
        <v>190</v>
      </c>
      <c r="T63" s="330" t="s">
        <v>190</v>
      </c>
      <c r="U63" s="129"/>
    </row>
    <row r="64" spans="1:21" x14ac:dyDescent="0.3">
      <c r="A64" s="9"/>
      <c r="B64" s="9"/>
      <c r="C64" s="136" t="s">
        <v>127</v>
      </c>
      <c r="D64" s="9"/>
      <c r="E64" s="9"/>
      <c r="F64" s="330" t="s">
        <v>190</v>
      </c>
      <c r="G64" s="330" t="s">
        <v>190</v>
      </c>
      <c r="H64" s="330" t="s">
        <v>190</v>
      </c>
      <c r="I64" s="330" t="s">
        <v>190</v>
      </c>
      <c r="J64" s="330" t="s">
        <v>190</v>
      </c>
      <c r="K64" s="330" t="s">
        <v>190</v>
      </c>
      <c r="L64" s="330" t="s">
        <v>190</v>
      </c>
      <c r="M64" s="330" t="s">
        <v>190</v>
      </c>
      <c r="N64" s="330" t="s">
        <v>190</v>
      </c>
      <c r="O64" s="330" t="s">
        <v>190</v>
      </c>
      <c r="P64" s="330" t="s">
        <v>190</v>
      </c>
      <c r="Q64" s="330" t="s">
        <v>190</v>
      </c>
      <c r="R64" s="330" t="s">
        <v>190</v>
      </c>
      <c r="S64" s="330" t="s">
        <v>190</v>
      </c>
      <c r="T64" s="330" t="s">
        <v>190</v>
      </c>
      <c r="U64" s="129"/>
    </row>
    <row r="65" spans="1:21" x14ac:dyDescent="0.3">
      <c r="A65" s="9"/>
      <c r="B65" s="9"/>
      <c r="C65" s="136" t="s">
        <v>128</v>
      </c>
      <c r="D65" s="9"/>
      <c r="E65" s="9"/>
      <c r="F65" s="330" t="s">
        <v>190</v>
      </c>
      <c r="G65" s="330" t="s">
        <v>190</v>
      </c>
      <c r="H65" s="330" t="s">
        <v>190</v>
      </c>
      <c r="I65" s="330" t="s">
        <v>190</v>
      </c>
      <c r="J65" s="330" t="s">
        <v>190</v>
      </c>
      <c r="K65" s="330" t="s">
        <v>190</v>
      </c>
      <c r="L65" s="330" t="s">
        <v>190</v>
      </c>
      <c r="M65" s="330" t="s">
        <v>190</v>
      </c>
      <c r="N65" s="330" t="s">
        <v>190</v>
      </c>
      <c r="O65" s="330" t="s">
        <v>190</v>
      </c>
      <c r="P65" s="330" t="s">
        <v>190</v>
      </c>
      <c r="Q65" s="330" t="s">
        <v>190</v>
      </c>
      <c r="R65" s="330" t="s">
        <v>190</v>
      </c>
      <c r="S65" s="330" t="s">
        <v>190</v>
      </c>
      <c r="T65" s="330" t="s">
        <v>190</v>
      </c>
      <c r="U65" s="129"/>
    </row>
    <row r="66" spans="1:21" x14ac:dyDescent="0.3">
      <c r="A66" s="9"/>
      <c r="B66" s="9"/>
      <c r="C66" s="136"/>
      <c r="D66" s="9"/>
      <c r="E66" s="9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29"/>
    </row>
    <row r="67" spans="1:21" s="108" customFormat="1" ht="14.4" customHeight="1" x14ac:dyDescent="0.3">
      <c r="A67" s="160"/>
      <c r="B67" s="160"/>
      <c r="C67" s="161" t="s">
        <v>136</v>
      </c>
      <c r="D67" s="160"/>
      <c r="E67" s="160"/>
      <c r="F67" s="382">
        <f t="shared" ref="F67:T67" si="17">SUM(F58:F66)</f>
        <v>-7800</v>
      </c>
      <c r="G67" s="382">
        <f t="shared" si="17"/>
        <v>-7800</v>
      </c>
      <c r="H67" s="382">
        <f t="shared" si="17"/>
        <v>-7800</v>
      </c>
      <c r="I67" s="382">
        <f t="shared" si="17"/>
        <v>-7800</v>
      </c>
      <c r="J67" s="382">
        <f t="shared" si="17"/>
        <v>-7800</v>
      </c>
      <c r="K67" s="382">
        <f t="shared" si="17"/>
        <v>-7800</v>
      </c>
      <c r="L67" s="382">
        <f t="shared" si="17"/>
        <v>-7800</v>
      </c>
      <c r="M67" s="382">
        <f t="shared" si="17"/>
        <v>-7800</v>
      </c>
      <c r="N67" s="382">
        <f t="shared" si="17"/>
        <v>-7800</v>
      </c>
      <c r="O67" s="382">
        <f t="shared" si="17"/>
        <v>-7800</v>
      </c>
      <c r="P67" s="382">
        <f t="shared" si="17"/>
        <v>-7800</v>
      </c>
      <c r="Q67" s="382">
        <f t="shared" si="17"/>
        <v>-7800</v>
      </c>
      <c r="R67" s="382">
        <f t="shared" si="17"/>
        <v>-7800</v>
      </c>
      <c r="S67" s="382">
        <f t="shared" si="17"/>
        <v>-7800</v>
      </c>
      <c r="T67" s="382">
        <f t="shared" si="17"/>
        <v>-7800</v>
      </c>
      <c r="U67" s="201">
        <f t="shared" si="15"/>
        <v>-93600</v>
      </c>
    </row>
    <row r="68" spans="1:21" s="108" customFormat="1" ht="14.4" customHeight="1" x14ac:dyDescent="0.3">
      <c r="A68" s="163"/>
      <c r="B68" s="163"/>
      <c r="C68" s="164" t="s">
        <v>6</v>
      </c>
      <c r="D68" s="163"/>
      <c r="E68" s="163"/>
      <c r="F68" s="383">
        <f t="shared" ref="F68:T68" si="18">F34+F35+F54+F67</f>
        <v>18470</v>
      </c>
      <c r="G68" s="383">
        <f t="shared" si="18"/>
        <v>18470</v>
      </c>
      <c r="H68" s="383">
        <f t="shared" si="18"/>
        <v>36262</v>
      </c>
      <c r="I68" s="383">
        <f t="shared" si="18"/>
        <v>39946</v>
      </c>
      <c r="J68" s="383">
        <f t="shared" si="18"/>
        <v>40993</v>
      </c>
      <c r="K68" s="383">
        <f t="shared" si="18"/>
        <v>42961</v>
      </c>
      <c r="L68" s="383">
        <f t="shared" si="18"/>
        <v>50144</v>
      </c>
      <c r="M68" s="383">
        <f t="shared" si="18"/>
        <v>50113</v>
      </c>
      <c r="N68" s="383">
        <f t="shared" si="18"/>
        <v>49125</v>
      </c>
      <c r="O68" s="383">
        <f t="shared" si="18"/>
        <v>41559</v>
      </c>
      <c r="P68" s="383">
        <f t="shared" si="18"/>
        <v>41462</v>
      </c>
      <c r="Q68" s="383">
        <f t="shared" si="18"/>
        <v>41832</v>
      </c>
      <c r="R68" s="383">
        <f t="shared" si="18"/>
        <v>21220</v>
      </c>
      <c r="S68" s="383">
        <f t="shared" si="18"/>
        <v>21220</v>
      </c>
      <c r="T68" s="383">
        <f t="shared" si="18"/>
        <v>39012</v>
      </c>
      <c r="U68" s="203">
        <f t="shared" si="15"/>
        <v>471337</v>
      </c>
    </row>
    <row r="69" spans="1:21" s="106" customFormat="1" ht="14.4" customHeight="1" x14ac:dyDescent="0.3">
      <c r="A69" s="335"/>
      <c r="B69" s="335"/>
      <c r="C69" s="336"/>
      <c r="D69" s="335"/>
      <c r="E69" s="335"/>
      <c r="F69" s="384"/>
      <c r="G69" s="384"/>
      <c r="H69" s="384"/>
      <c r="I69" s="384"/>
      <c r="J69" s="384"/>
      <c r="K69" s="384"/>
      <c r="L69" s="384"/>
      <c r="M69" s="384"/>
      <c r="N69" s="384"/>
      <c r="O69" s="384"/>
      <c r="P69" s="384"/>
      <c r="Q69" s="384"/>
      <c r="R69" s="384"/>
      <c r="S69" s="384"/>
      <c r="T69" s="384"/>
      <c r="U69" s="384"/>
    </row>
    <row r="70" spans="1:21" s="108" customFormat="1" ht="14.4" customHeight="1" x14ac:dyDescent="0.3">
      <c r="A70" s="106"/>
      <c r="B70" s="106"/>
      <c r="C70" s="137" t="s">
        <v>137</v>
      </c>
      <c r="D70" s="106"/>
      <c r="E70" s="106"/>
      <c r="F70" s="385">
        <v>-1450</v>
      </c>
      <c r="G70" s="385">
        <v>-1450</v>
      </c>
      <c r="H70" s="385">
        <v>-1450</v>
      </c>
      <c r="I70" s="385">
        <v>-1450</v>
      </c>
      <c r="J70" s="385">
        <v>-1450</v>
      </c>
      <c r="K70" s="385">
        <v>-1450</v>
      </c>
      <c r="L70" s="385">
        <v>-1450</v>
      </c>
      <c r="M70" s="385">
        <v>-1450</v>
      </c>
      <c r="N70" s="385">
        <v>-1450</v>
      </c>
      <c r="O70" s="385">
        <v>-1450</v>
      </c>
      <c r="P70" s="385">
        <v>-1450</v>
      </c>
      <c r="Q70" s="385">
        <v>-1850</v>
      </c>
      <c r="R70" s="385">
        <v>-1850</v>
      </c>
      <c r="S70" s="385">
        <v>-1850</v>
      </c>
      <c r="T70" s="385">
        <v>-1850</v>
      </c>
      <c r="U70" s="377">
        <f t="shared" si="15"/>
        <v>-17800</v>
      </c>
    </row>
    <row r="71" spans="1:21" s="108" customFormat="1" ht="25.05" customHeight="1" x14ac:dyDescent="0.3">
      <c r="A71" s="106"/>
      <c r="B71" s="106"/>
      <c r="C71" s="137" t="s">
        <v>8</v>
      </c>
      <c r="D71" s="106"/>
      <c r="E71" s="106"/>
      <c r="F71" s="386">
        <f>F68+F70</f>
        <v>17020</v>
      </c>
      <c r="G71" s="386">
        <f t="shared" ref="G71:T71" si="19">G68+G70</f>
        <v>17020</v>
      </c>
      <c r="H71" s="386">
        <f t="shared" si="19"/>
        <v>34812</v>
      </c>
      <c r="I71" s="386">
        <f t="shared" si="19"/>
        <v>38496</v>
      </c>
      <c r="J71" s="386">
        <f t="shared" si="19"/>
        <v>39543</v>
      </c>
      <c r="K71" s="386">
        <f t="shared" si="19"/>
        <v>41511</v>
      </c>
      <c r="L71" s="386">
        <f t="shared" si="19"/>
        <v>48694</v>
      </c>
      <c r="M71" s="386">
        <f t="shared" si="19"/>
        <v>48663</v>
      </c>
      <c r="N71" s="386">
        <f t="shared" si="19"/>
        <v>47675</v>
      </c>
      <c r="O71" s="386">
        <f t="shared" si="19"/>
        <v>40109</v>
      </c>
      <c r="P71" s="386">
        <f t="shared" si="19"/>
        <v>40012</v>
      </c>
      <c r="Q71" s="386">
        <f t="shared" si="19"/>
        <v>39982</v>
      </c>
      <c r="R71" s="386">
        <f t="shared" si="19"/>
        <v>19370</v>
      </c>
      <c r="S71" s="386">
        <f t="shared" si="19"/>
        <v>19370</v>
      </c>
      <c r="T71" s="386">
        <f t="shared" si="19"/>
        <v>37162</v>
      </c>
      <c r="U71" s="426">
        <f t="shared" si="15"/>
        <v>453537</v>
      </c>
    </row>
    <row r="72" spans="1:21" s="108" customFormat="1" ht="25.05" customHeight="1" x14ac:dyDescent="0.3">
      <c r="A72" s="106"/>
      <c r="B72" s="106"/>
      <c r="C72" s="140" t="s">
        <v>138</v>
      </c>
      <c r="D72" s="141"/>
      <c r="E72" s="106"/>
      <c r="F72" s="377">
        <f>('BS 2024'!F31*0.1)</f>
        <v>-11040</v>
      </c>
      <c r="G72" s="377">
        <f>('BS 2024'!G31*0.1)</f>
        <v>-10710</v>
      </c>
      <c r="H72" s="377">
        <f>('BS 2024'!H31*0.1)</f>
        <v>-10380</v>
      </c>
      <c r="I72" s="377">
        <f>('BS 2024'!I31*0.1)</f>
        <v>-10050</v>
      </c>
      <c r="J72" s="377">
        <f>('BS 2024'!J31*0.1)</f>
        <v>-9720</v>
      </c>
      <c r="K72" s="377">
        <f>('BS 2024'!K31*0.1)</f>
        <v>-9390</v>
      </c>
      <c r="L72" s="377">
        <f>('BS 2024'!L31*0.1)</f>
        <v>-9060</v>
      </c>
      <c r="M72" s="377">
        <f>('BS 2024'!M31*0.1)</f>
        <v>-8730</v>
      </c>
      <c r="N72" s="377">
        <f>('BS 2024'!N31*0.1)</f>
        <v>-8400</v>
      </c>
      <c r="O72" s="377">
        <f>('BS 2024'!O31*0.1)</f>
        <v>-8070</v>
      </c>
      <c r="P72" s="377">
        <f>('BS 2024'!P31*0.1)</f>
        <v>-7740</v>
      </c>
      <c r="Q72" s="377">
        <f>('BS 2024'!Q31*0.1)</f>
        <v>-7410</v>
      </c>
      <c r="R72" s="377">
        <f>('BS 2024'!R31*0.1)</f>
        <v>-7080</v>
      </c>
      <c r="S72" s="377">
        <f>('BS 2024'!S31*0.1)</f>
        <v>-6750</v>
      </c>
      <c r="T72" s="377"/>
      <c r="U72" s="377">
        <f>SUM(F72:Q72)</f>
        <v>-110700</v>
      </c>
    </row>
    <row r="73" spans="1:21" s="108" customFormat="1" ht="25.05" customHeight="1" x14ac:dyDescent="0.3">
      <c r="A73" s="106"/>
      <c r="B73" s="106"/>
      <c r="C73" s="137" t="s">
        <v>10</v>
      </c>
      <c r="D73" s="106"/>
      <c r="E73" s="106"/>
      <c r="F73" s="386">
        <f>F68</f>
        <v>18470</v>
      </c>
      <c r="G73" s="386">
        <f t="shared" ref="G73:T73" si="20">G68</f>
        <v>18470</v>
      </c>
      <c r="H73" s="386">
        <f t="shared" si="20"/>
        <v>36262</v>
      </c>
      <c r="I73" s="386">
        <f t="shared" si="20"/>
        <v>39946</v>
      </c>
      <c r="J73" s="386">
        <f t="shared" si="20"/>
        <v>40993</v>
      </c>
      <c r="K73" s="386">
        <f t="shared" si="20"/>
        <v>42961</v>
      </c>
      <c r="L73" s="386">
        <f t="shared" si="20"/>
        <v>50144</v>
      </c>
      <c r="M73" s="386">
        <f t="shared" si="20"/>
        <v>50113</v>
      </c>
      <c r="N73" s="386">
        <f t="shared" si="20"/>
        <v>49125</v>
      </c>
      <c r="O73" s="386">
        <f t="shared" si="20"/>
        <v>41559</v>
      </c>
      <c r="P73" s="386">
        <f t="shared" si="20"/>
        <v>41462</v>
      </c>
      <c r="Q73" s="386">
        <f t="shared" si="20"/>
        <v>41832</v>
      </c>
      <c r="R73" s="386">
        <f t="shared" si="20"/>
        <v>21220</v>
      </c>
      <c r="S73" s="386">
        <f t="shared" si="20"/>
        <v>21220</v>
      </c>
      <c r="T73" s="386">
        <f t="shared" si="20"/>
        <v>39012</v>
      </c>
      <c r="U73" s="426">
        <f t="shared" si="15"/>
        <v>471337</v>
      </c>
    </row>
    <row r="74" spans="1:21" s="108" customFormat="1" ht="25.05" customHeight="1" x14ac:dyDescent="0.3">
      <c r="A74" s="106"/>
      <c r="B74" s="106"/>
      <c r="C74" s="140" t="s">
        <v>11</v>
      </c>
      <c r="D74" s="106"/>
      <c r="E74" s="106"/>
      <c r="F74" s="377">
        <f>(F73*0.2)*-1</f>
        <v>-3694</v>
      </c>
      <c r="G74" s="377">
        <f t="shared" ref="G74:T74" si="21">(G73*0.2)*-1</f>
        <v>-3694</v>
      </c>
      <c r="H74" s="377">
        <f t="shared" si="21"/>
        <v>-7252.4000000000005</v>
      </c>
      <c r="I74" s="377">
        <f t="shared" si="21"/>
        <v>-7989.2000000000007</v>
      </c>
      <c r="J74" s="377">
        <f t="shared" si="21"/>
        <v>-8198.6</v>
      </c>
      <c r="K74" s="377">
        <f t="shared" si="21"/>
        <v>-8592.2000000000007</v>
      </c>
      <c r="L74" s="377">
        <f t="shared" si="21"/>
        <v>-10028.800000000001</v>
      </c>
      <c r="M74" s="377">
        <f t="shared" si="21"/>
        <v>-10022.6</v>
      </c>
      <c r="N74" s="377">
        <f t="shared" si="21"/>
        <v>-9825</v>
      </c>
      <c r="O74" s="377">
        <f t="shared" si="21"/>
        <v>-8311.8000000000011</v>
      </c>
      <c r="P74" s="377">
        <f t="shared" si="21"/>
        <v>-8292.4</v>
      </c>
      <c r="Q74" s="377">
        <f t="shared" si="21"/>
        <v>-8366.4</v>
      </c>
      <c r="R74" s="377">
        <f t="shared" si="21"/>
        <v>-4244</v>
      </c>
      <c r="S74" s="377">
        <f t="shared" si="21"/>
        <v>-4244</v>
      </c>
      <c r="T74" s="377">
        <f t="shared" si="21"/>
        <v>-7802.4000000000005</v>
      </c>
      <c r="U74" s="377">
        <f t="shared" si="15"/>
        <v>-94267.400000000009</v>
      </c>
    </row>
    <row r="75" spans="1:21" s="108" customFormat="1" ht="14.4" customHeight="1" x14ac:dyDescent="0.3">
      <c r="A75" s="166"/>
      <c r="B75" s="166"/>
      <c r="C75" s="167" t="s">
        <v>12</v>
      </c>
      <c r="D75" s="166"/>
      <c r="E75" s="166"/>
      <c r="F75" s="378">
        <f>F73+F74</f>
        <v>14776</v>
      </c>
      <c r="G75" s="378">
        <f t="shared" ref="G75:T75" si="22">G73+G74</f>
        <v>14776</v>
      </c>
      <c r="H75" s="378">
        <f t="shared" si="22"/>
        <v>29009.599999999999</v>
      </c>
      <c r="I75" s="378">
        <f t="shared" si="22"/>
        <v>31956.799999999999</v>
      </c>
      <c r="J75" s="378">
        <f t="shared" si="22"/>
        <v>32794.400000000001</v>
      </c>
      <c r="K75" s="378">
        <f t="shared" si="22"/>
        <v>34368.800000000003</v>
      </c>
      <c r="L75" s="378">
        <f t="shared" si="22"/>
        <v>40115.199999999997</v>
      </c>
      <c r="M75" s="378">
        <f t="shared" si="22"/>
        <v>40090.400000000001</v>
      </c>
      <c r="N75" s="378">
        <f t="shared" si="22"/>
        <v>39300</v>
      </c>
      <c r="O75" s="378">
        <f t="shared" si="22"/>
        <v>33247.199999999997</v>
      </c>
      <c r="P75" s="378">
        <f t="shared" si="22"/>
        <v>33169.599999999999</v>
      </c>
      <c r="Q75" s="378">
        <f t="shared" si="22"/>
        <v>33465.599999999999</v>
      </c>
      <c r="R75" s="378">
        <f t="shared" si="22"/>
        <v>16976</v>
      </c>
      <c r="S75" s="378">
        <f t="shared" si="22"/>
        <v>16976</v>
      </c>
      <c r="T75" s="378">
        <f t="shared" si="22"/>
        <v>31209.599999999999</v>
      </c>
      <c r="U75" s="379">
        <f t="shared" si="15"/>
        <v>377069.59999999992</v>
      </c>
    </row>
    <row r="76" spans="1:21" x14ac:dyDescent="0.3">
      <c r="F76"/>
    </row>
    <row r="77" spans="1:21" x14ac:dyDescent="0.3">
      <c r="F77"/>
    </row>
    <row r="78" spans="1:21" x14ac:dyDescent="0.3">
      <c r="F78"/>
    </row>
    <row r="79" spans="1:21" x14ac:dyDescent="0.3">
      <c r="F79"/>
    </row>
    <row r="80" spans="1:21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</sheetData>
  <mergeCells count="1">
    <mergeCell ref="C10:D10"/>
  </mergeCells>
  <phoneticPr fontId="7" type="noConversion"/>
  <pageMargins left="0.7" right="0.7" top="0.75" bottom="0.75" header="0.3" footer="0.3"/>
  <ignoredErrors>
    <ignoredError sqref="U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105BE-4402-4643-B0BD-9FE38298D4FD}">
  <sheetPr codeName="Sheet28"/>
  <dimension ref="A2:W80"/>
  <sheetViews>
    <sheetView showGridLines="0" topLeftCell="A43" workbookViewId="0">
      <selection activeCell="H45" sqref="H45"/>
    </sheetView>
  </sheetViews>
  <sheetFormatPr defaultRowHeight="14.4" x14ac:dyDescent="0.3"/>
  <cols>
    <col min="1" max="1" width="13.109375" customWidth="1"/>
    <col min="3" max="3" width="9.6640625" customWidth="1"/>
    <col min="5" max="5" width="6.77734375" customWidth="1"/>
    <col min="6" max="6" width="5.21875" customWidth="1"/>
    <col min="7" max="7" width="12.44140625" customWidth="1"/>
    <col min="15" max="15" width="9.6640625" customWidth="1"/>
    <col min="17" max="17" width="9.88671875" bestFit="1" customWidth="1"/>
    <col min="18" max="18" width="9.88671875" customWidth="1"/>
    <col min="19" max="19" width="9.5546875" customWidth="1"/>
    <col min="22" max="22" width="10.6640625" bestFit="1" customWidth="1"/>
    <col min="23" max="23" width="10.21875" bestFit="1" customWidth="1"/>
  </cols>
  <sheetData>
    <row r="2" spans="1:22" ht="18" x14ac:dyDescent="0.35">
      <c r="A2" s="128" t="s">
        <v>142</v>
      </c>
      <c r="C2" s="127"/>
      <c r="D2" s="9"/>
    </row>
    <row r="3" spans="1:22" x14ac:dyDescent="0.3">
      <c r="A3" s="126"/>
      <c r="C3" s="14"/>
    </row>
    <row r="4" spans="1:22" x14ac:dyDescent="0.3">
      <c r="A4" s="142"/>
      <c r="B4" s="173" t="s">
        <v>64</v>
      </c>
      <c r="C4" s="147"/>
      <c r="D4" s="147"/>
      <c r="E4" s="147"/>
      <c r="F4" s="147"/>
      <c r="G4" s="175">
        <v>45292</v>
      </c>
      <c r="H4" s="175">
        <v>45323</v>
      </c>
      <c r="I4" s="175">
        <v>45352</v>
      </c>
      <c r="J4" s="175">
        <v>45383</v>
      </c>
      <c r="K4" s="175">
        <v>45413</v>
      </c>
      <c r="L4" s="175">
        <v>45444</v>
      </c>
      <c r="M4" s="175">
        <v>45474</v>
      </c>
      <c r="N4" s="175">
        <v>45505</v>
      </c>
      <c r="O4" s="175">
        <v>45536</v>
      </c>
      <c r="P4" s="175">
        <v>45566</v>
      </c>
      <c r="Q4" s="175">
        <v>45597</v>
      </c>
      <c r="R4" s="175">
        <v>45627</v>
      </c>
      <c r="S4" s="175">
        <v>45658</v>
      </c>
      <c r="T4" s="175">
        <v>45689</v>
      </c>
      <c r="U4" s="175">
        <v>45717</v>
      </c>
      <c r="V4" s="175" t="s">
        <v>72</v>
      </c>
    </row>
    <row r="6" spans="1:22" x14ac:dyDescent="0.3">
      <c r="B6" s="14" t="s">
        <v>168</v>
      </c>
    </row>
    <row r="7" spans="1:22" x14ac:dyDescent="0.3">
      <c r="A7" s="147"/>
      <c r="B7" s="173" t="s">
        <v>145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</row>
    <row r="8" spans="1:22" x14ac:dyDescent="0.3">
      <c r="B8" s="302" t="s">
        <v>37</v>
      </c>
      <c r="C8" s="303"/>
      <c r="D8" s="303"/>
      <c r="E8" s="303"/>
      <c r="F8" s="303"/>
      <c r="G8" s="304">
        <f>SUM(G14+G22+G30)</f>
        <v>31047</v>
      </c>
      <c r="H8" s="304">
        <f t="shared" ref="H8:U8" si="0">SUM(H14+H22+H30)</f>
        <v>31047</v>
      </c>
      <c r="I8" s="304">
        <f t="shared" si="0"/>
        <v>48839</v>
      </c>
      <c r="J8" s="304">
        <f t="shared" si="0"/>
        <v>52523</v>
      </c>
      <c r="K8" s="304">
        <f t="shared" si="0"/>
        <v>53570</v>
      </c>
      <c r="L8" s="304">
        <f t="shared" si="0"/>
        <v>55538</v>
      </c>
      <c r="M8" s="304">
        <f t="shared" si="0"/>
        <v>62721</v>
      </c>
      <c r="N8" s="304">
        <f t="shared" si="0"/>
        <v>62690</v>
      </c>
      <c r="O8" s="304">
        <f t="shared" si="0"/>
        <v>61702</v>
      </c>
      <c r="P8" s="304">
        <f t="shared" si="0"/>
        <v>54136</v>
      </c>
      <c r="Q8" s="304">
        <f t="shared" si="0"/>
        <v>54039</v>
      </c>
      <c r="R8" s="304">
        <f t="shared" si="0"/>
        <v>54409</v>
      </c>
      <c r="S8" s="304">
        <f t="shared" si="0"/>
        <v>33797</v>
      </c>
      <c r="T8" s="304">
        <f t="shared" si="0"/>
        <v>33797</v>
      </c>
      <c r="U8" s="304">
        <f t="shared" si="0"/>
        <v>51589</v>
      </c>
      <c r="V8" s="194">
        <f>SUM(G8:R8)</f>
        <v>622261</v>
      </c>
    </row>
    <row r="9" spans="1:22" s="9" customFormat="1" x14ac:dyDescent="0.3">
      <c r="A9" s="344"/>
      <c r="B9" s="345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</row>
    <row r="10" spans="1:22" x14ac:dyDescent="0.3">
      <c r="B10" s="323"/>
      <c r="C10" s="343" t="str">
        <f>'IS 2023'!C10</f>
        <v>AC 7kW @ 45p Kw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338" t="str">
        <f>'IS 2024'!U10</f>
        <v>Average</v>
      </c>
    </row>
    <row r="11" spans="1:22" x14ac:dyDescent="0.3">
      <c r="B11" s="324"/>
      <c r="C11" s="342" t="str">
        <f>'IS 2023'!C11</f>
        <v>Subscription</v>
      </c>
      <c r="E11" s="9"/>
      <c r="F11" s="9"/>
      <c r="G11" s="321">
        <f>'IS 2024'!F11</f>
        <v>4191</v>
      </c>
      <c r="H11" s="321">
        <f>'IS 2024'!G11</f>
        <v>4191</v>
      </c>
      <c r="I11" s="321">
        <f>'IS 2024'!H11</f>
        <v>4191</v>
      </c>
      <c r="J11" s="321">
        <f>'IS 2024'!I11</f>
        <v>4891</v>
      </c>
      <c r="K11" s="321">
        <f>'IS 2024'!J11</f>
        <v>5191</v>
      </c>
      <c r="L11" s="321">
        <f>'IS 2024'!K11</f>
        <v>5191</v>
      </c>
      <c r="M11" s="321">
        <f>'IS 2024'!L11</f>
        <v>5222</v>
      </c>
      <c r="N11" s="321">
        <f>'IS 2024'!M11</f>
        <v>5191</v>
      </c>
      <c r="O11" s="321">
        <f>'IS 2024'!N11</f>
        <v>5203</v>
      </c>
      <c r="P11" s="321">
        <f>'IS 2024'!O11</f>
        <v>5203</v>
      </c>
      <c r="Q11" s="321">
        <f>'IS 2024'!P11</f>
        <v>5191</v>
      </c>
      <c r="R11" s="321">
        <f>'IS 2024'!Q11</f>
        <v>5187</v>
      </c>
      <c r="S11" s="321">
        <f>'IS 2025'!F11</f>
        <v>4191</v>
      </c>
      <c r="T11" s="321">
        <f>'IS 2025'!G11</f>
        <v>4191</v>
      </c>
      <c r="U11" s="321">
        <f>'IS 2025'!H11</f>
        <v>4191</v>
      </c>
      <c r="V11" s="321">
        <f>'IS 2024'!U11</f>
        <v>4774.3999999999996</v>
      </c>
    </row>
    <row r="12" spans="1:22" x14ac:dyDescent="0.3">
      <c r="B12" s="324"/>
      <c r="C12" s="342" t="str">
        <f>'IS 2023'!C12</f>
        <v>PAYG</v>
      </c>
      <c r="E12" s="9"/>
      <c r="F12" s="9"/>
      <c r="G12" s="321">
        <f>'IS 2024'!F12</f>
        <v>2357</v>
      </c>
      <c r="H12" s="321">
        <f>'IS 2024'!G12</f>
        <v>2357</v>
      </c>
      <c r="I12" s="321">
        <f>'IS 2024'!H12</f>
        <v>2357</v>
      </c>
      <c r="J12" s="321">
        <f>'IS 2024'!I12</f>
        <v>3357</v>
      </c>
      <c r="K12" s="321">
        <f>'IS 2024'!J12</f>
        <v>3557</v>
      </c>
      <c r="L12" s="321">
        <f>'IS 2024'!K12</f>
        <v>3557</v>
      </c>
      <c r="M12" s="321">
        <f>'IS 2024'!L12</f>
        <v>3557</v>
      </c>
      <c r="N12" s="321">
        <f>'IS 2024'!M12</f>
        <v>3557</v>
      </c>
      <c r="O12" s="321">
        <f>'IS 2024'!N12</f>
        <v>3557</v>
      </c>
      <c r="P12" s="321">
        <f>'IS 2024'!O12</f>
        <v>3557</v>
      </c>
      <c r="Q12" s="321">
        <f>'IS 2024'!P12</f>
        <v>3557</v>
      </c>
      <c r="R12" s="321">
        <f>'IS 2024'!Q12</f>
        <v>3557</v>
      </c>
      <c r="S12" s="321">
        <f>'IS 2025'!F12</f>
        <v>2357</v>
      </c>
      <c r="T12" s="321">
        <f>'IS 2025'!G12</f>
        <v>2357</v>
      </c>
      <c r="U12" s="321">
        <f>'IS 2025'!H12</f>
        <v>2357</v>
      </c>
      <c r="V12" s="321">
        <f>'IS 2024'!U12</f>
        <v>3063.6666666666665</v>
      </c>
    </row>
    <row r="13" spans="1:22" x14ac:dyDescent="0.3">
      <c r="B13" s="324"/>
      <c r="C13" s="342" t="str">
        <f>'IS 2023'!C13</f>
        <v>Drop By</v>
      </c>
      <c r="E13" s="9"/>
      <c r="F13" s="9"/>
      <c r="G13" s="321">
        <f>'IS 2024'!F13</f>
        <v>3357</v>
      </c>
      <c r="H13" s="321">
        <f>'IS 2024'!G13</f>
        <v>3357</v>
      </c>
      <c r="I13" s="321">
        <f>'IS 2024'!H13</f>
        <v>3357</v>
      </c>
      <c r="J13" s="321">
        <f>'IS 2024'!I13</f>
        <v>4357</v>
      </c>
      <c r="K13" s="321">
        <f>'IS 2024'!J13</f>
        <v>4010</v>
      </c>
      <c r="L13" s="321">
        <f>'IS 2024'!K13</f>
        <v>4010</v>
      </c>
      <c r="M13" s="321">
        <f>'IS 2024'!L13</f>
        <v>4010</v>
      </c>
      <c r="N13" s="321">
        <f>'IS 2024'!M13</f>
        <v>4010</v>
      </c>
      <c r="O13" s="321">
        <f>'IS 2024'!N13</f>
        <v>4010</v>
      </c>
      <c r="P13" s="321">
        <f>'IS 2024'!O13</f>
        <v>4010</v>
      </c>
      <c r="Q13" s="321">
        <f>'IS 2024'!P13</f>
        <v>4010</v>
      </c>
      <c r="R13" s="321">
        <f>'IS 2024'!Q13</f>
        <v>4010</v>
      </c>
      <c r="S13" s="321">
        <f>'IS 2025'!F13</f>
        <v>3357</v>
      </c>
      <c r="T13" s="321">
        <f>'IS 2025'!G13</f>
        <v>3357</v>
      </c>
      <c r="U13" s="321">
        <f>'IS 2025'!H13</f>
        <v>3357</v>
      </c>
      <c r="V13" s="321">
        <f>'IS 2024'!U13</f>
        <v>3771.9333333333334</v>
      </c>
    </row>
    <row r="14" spans="1:22" x14ac:dyDescent="0.3">
      <c r="B14" s="324"/>
      <c r="C14" s="342" t="str">
        <f>'IS 2023'!C14</f>
        <v>Total</v>
      </c>
      <c r="E14" s="9"/>
      <c r="F14" s="9"/>
      <c r="G14" s="321">
        <f>'IS 2024'!F14</f>
        <v>9905</v>
      </c>
      <c r="H14" s="321">
        <f>'IS 2024'!G14</f>
        <v>9905</v>
      </c>
      <c r="I14" s="321">
        <f>'IS 2024'!H14</f>
        <v>9905</v>
      </c>
      <c r="J14" s="321">
        <f>'IS 2024'!I14</f>
        <v>12605</v>
      </c>
      <c r="K14" s="321">
        <f>'IS 2024'!J14</f>
        <v>12758</v>
      </c>
      <c r="L14" s="321">
        <f>'IS 2024'!K14</f>
        <v>12758</v>
      </c>
      <c r="M14" s="321">
        <f>'IS 2024'!L14</f>
        <v>12789</v>
      </c>
      <c r="N14" s="321">
        <f>'IS 2024'!M14</f>
        <v>12758</v>
      </c>
      <c r="O14" s="321">
        <f>'IS 2024'!N14</f>
        <v>12770</v>
      </c>
      <c r="P14" s="321">
        <f>'IS 2024'!O14</f>
        <v>12770</v>
      </c>
      <c r="Q14" s="321">
        <f>'IS 2024'!P14</f>
        <v>12758</v>
      </c>
      <c r="R14" s="321">
        <f>'IS 2024'!Q14</f>
        <v>12754</v>
      </c>
      <c r="S14" s="321">
        <f>'IS 2024'!R14</f>
        <v>12655</v>
      </c>
      <c r="T14" s="321">
        <f>'IS 2024'!S14</f>
        <v>12655</v>
      </c>
      <c r="U14" s="321">
        <f>'IS 2024'!T14</f>
        <v>12655</v>
      </c>
      <c r="V14" s="321">
        <f>'IS 2024'!U14</f>
        <v>12160</v>
      </c>
    </row>
    <row r="15" spans="1:22" x14ac:dyDescent="0.3">
      <c r="B15" s="324"/>
      <c r="C15" s="342" t="str">
        <f>'IS 2023'!C15</f>
        <v>Max Traffic Total</v>
      </c>
      <c r="E15" s="9"/>
      <c r="F15" s="9"/>
      <c r="G15" s="333">
        <f>'IS 2024'!F15</f>
        <v>15000</v>
      </c>
      <c r="H15" s="333">
        <f>'IS 2024'!G15</f>
        <v>15000</v>
      </c>
      <c r="I15" s="333">
        <f>'IS 2024'!H15</f>
        <v>15000</v>
      </c>
      <c r="J15" s="333">
        <f>'IS 2024'!I15</f>
        <v>15000</v>
      </c>
      <c r="K15" s="333">
        <f>'IS 2024'!J15</f>
        <v>15000</v>
      </c>
      <c r="L15" s="333">
        <f>'IS 2024'!K15</f>
        <v>15000</v>
      </c>
      <c r="M15" s="333">
        <f>'IS 2024'!L15</f>
        <v>15000</v>
      </c>
      <c r="N15" s="333">
        <f>'IS 2024'!M15</f>
        <v>15000</v>
      </c>
      <c r="O15" s="333">
        <f>'IS 2024'!N15</f>
        <v>15000</v>
      </c>
      <c r="P15" s="333">
        <f>'IS 2024'!O15</f>
        <v>15000</v>
      </c>
      <c r="Q15" s="333">
        <f>'IS 2024'!P15</f>
        <v>15000</v>
      </c>
      <c r="R15" s="333">
        <f>'IS 2024'!Q15</f>
        <v>15000</v>
      </c>
      <c r="S15" s="333">
        <f>'IS 2024'!R15</f>
        <v>15000</v>
      </c>
      <c r="T15" s="333">
        <f>'IS 2024'!S15</f>
        <v>15000</v>
      </c>
      <c r="U15" s="333">
        <f>'IS 2024'!T15</f>
        <v>15000</v>
      </c>
      <c r="V15" s="321">
        <f>'IS 2024'!U15</f>
        <v>15000</v>
      </c>
    </row>
    <row r="16" spans="1:22" x14ac:dyDescent="0.3">
      <c r="B16" s="324"/>
      <c r="C16" s="342" t="str">
        <f>'IS 2023'!C16</f>
        <v>Percentage</v>
      </c>
      <c r="E16" s="9"/>
      <c r="F16" s="9"/>
      <c r="G16" s="322">
        <f>'IS 2024'!F16</f>
        <v>0.66033333333333333</v>
      </c>
      <c r="H16" s="322">
        <f>'IS 2024'!G16</f>
        <v>0.66033333333333333</v>
      </c>
      <c r="I16" s="322">
        <f>'IS 2024'!H16</f>
        <v>0.66033333333333333</v>
      </c>
      <c r="J16" s="322">
        <f>'IS 2024'!I16</f>
        <v>0.84033333333333338</v>
      </c>
      <c r="K16" s="322">
        <f>'IS 2024'!J16</f>
        <v>0.85053333333333336</v>
      </c>
      <c r="L16" s="322">
        <f>'IS 2024'!K16</f>
        <v>0.85053333333333336</v>
      </c>
      <c r="M16" s="322">
        <f>'IS 2024'!L16</f>
        <v>0.85260000000000002</v>
      </c>
      <c r="N16" s="322">
        <f>'IS 2024'!M16</f>
        <v>0.85053333333333336</v>
      </c>
      <c r="O16" s="322">
        <f>'IS 2024'!N16</f>
        <v>0.85133333333333339</v>
      </c>
      <c r="P16" s="322">
        <f>'IS 2024'!O16</f>
        <v>0.85133333333333339</v>
      </c>
      <c r="Q16" s="322">
        <f>'IS 2024'!P16</f>
        <v>0.85053333333333336</v>
      </c>
      <c r="R16" s="322">
        <f>'IS 2024'!Q16</f>
        <v>0.85026666666666662</v>
      </c>
      <c r="S16" s="322">
        <f>'IS 2024'!R16</f>
        <v>0.84366666666666668</v>
      </c>
      <c r="T16" s="322">
        <f>'IS 2024'!S16</f>
        <v>0.84366666666666668</v>
      </c>
      <c r="U16" s="322">
        <f>'IS 2024'!T16</f>
        <v>0.84366666666666668</v>
      </c>
      <c r="V16" s="322">
        <f>'IS 2024'!U16</f>
        <v>0.81066666666666676</v>
      </c>
    </row>
    <row r="17" spans="2:22" x14ac:dyDescent="0.3">
      <c r="B17" s="324"/>
      <c r="C17" s="340"/>
      <c r="E17" s="9"/>
      <c r="F17" s="9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</row>
    <row r="18" spans="2:22" x14ac:dyDescent="0.3">
      <c r="B18" s="324"/>
      <c r="C18" s="343" t="str">
        <f>'IS 2023'!C18</f>
        <v>Fast AC 43kW DC 50kW</v>
      </c>
      <c r="E18" s="9"/>
      <c r="F18" s="9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</row>
    <row r="19" spans="2:22" x14ac:dyDescent="0.3">
      <c r="B19" s="324"/>
      <c r="C19" s="342" t="str">
        <f>'IS 2023'!C19</f>
        <v>Subscription</v>
      </c>
      <c r="E19" s="9"/>
      <c r="F19" s="9"/>
      <c r="G19" s="321">
        <f>'IS 2024'!F19</f>
        <v>4357</v>
      </c>
      <c r="H19" s="321">
        <f>'IS 2024'!G19</f>
        <v>4357</v>
      </c>
      <c r="I19" s="321">
        <f>'IS 2024'!H19</f>
        <v>6489</v>
      </c>
      <c r="J19" s="321">
        <f>'IS 2024'!I19</f>
        <v>6653</v>
      </c>
      <c r="K19" s="321">
        <f>'IS 2024'!J19</f>
        <v>6802</v>
      </c>
      <c r="L19" s="321">
        <f>'IS 2024'!K19</f>
        <v>7130</v>
      </c>
      <c r="M19" s="321">
        <f>'IS 2024'!L19</f>
        <v>8322</v>
      </c>
      <c r="N19" s="321">
        <f>'IS 2024'!M19</f>
        <v>8322</v>
      </c>
      <c r="O19" s="321">
        <f>'IS 2024'!N19</f>
        <v>8322</v>
      </c>
      <c r="P19" s="321">
        <f>'IS 2024'!O19</f>
        <v>6311</v>
      </c>
      <c r="Q19" s="321">
        <f>'IS 2024'!P19</f>
        <v>6271</v>
      </c>
      <c r="R19" s="321">
        <f>'IS 2024'!Q19</f>
        <v>6100</v>
      </c>
      <c r="S19" s="321">
        <f>'IS 2025'!F19</f>
        <v>4357</v>
      </c>
      <c r="T19" s="321">
        <f>'IS 2025'!G19</f>
        <v>4357</v>
      </c>
      <c r="U19" s="321">
        <f>'IS 2025'!H19</f>
        <v>6489</v>
      </c>
      <c r="V19" s="321">
        <f>'IS 2024'!U19</f>
        <v>6309.2666666666664</v>
      </c>
    </row>
    <row r="20" spans="2:22" x14ac:dyDescent="0.3">
      <c r="B20" s="324"/>
      <c r="C20" s="342" t="str">
        <f>'IS 2023'!C20</f>
        <v>PAYG</v>
      </c>
      <c r="E20" s="9"/>
      <c r="F20" s="9"/>
      <c r="G20" s="321">
        <f>'IS 2024'!F20</f>
        <v>2357</v>
      </c>
      <c r="H20" s="321">
        <f>'IS 2024'!G20</f>
        <v>2357</v>
      </c>
      <c r="I20" s="321">
        <f>'IS 2024'!H20</f>
        <v>6489</v>
      </c>
      <c r="J20" s="321">
        <f>'IS 2024'!I20</f>
        <v>6653</v>
      </c>
      <c r="K20" s="321">
        <f>'IS 2024'!J20</f>
        <v>6802</v>
      </c>
      <c r="L20" s="321">
        <f>'IS 2024'!K20</f>
        <v>7130</v>
      </c>
      <c r="M20" s="321">
        <f>'IS 2024'!L20</f>
        <v>8322</v>
      </c>
      <c r="N20" s="321">
        <f>'IS 2024'!M20</f>
        <v>8322</v>
      </c>
      <c r="O20" s="321">
        <f>'IS 2024'!N20</f>
        <v>8322</v>
      </c>
      <c r="P20" s="321">
        <f>'IS 2024'!O20</f>
        <v>6411</v>
      </c>
      <c r="Q20" s="321">
        <f>'IS 2024'!P20</f>
        <v>6334</v>
      </c>
      <c r="R20" s="321">
        <f>'IS 2024'!Q20</f>
        <v>6232</v>
      </c>
      <c r="S20" s="321">
        <f>'IS 2025'!F20</f>
        <v>2357</v>
      </c>
      <c r="T20" s="321">
        <f>'IS 2025'!G20</f>
        <v>2357</v>
      </c>
      <c r="U20" s="321">
        <f>'IS 2025'!H20</f>
        <v>6489</v>
      </c>
      <c r="V20" s="321">
        <f>'IS 2024'!U20</f>
        <v>5795.6</v>
      </c>
    </row>
    <row r="21" spans="2:22" x14ac:dyDescent="0.3">
      <c r="B21" s="324"/>
      <c r="C21" s="342" t="str">
        <f>'IS 2023'!C21</f>
        <v>Drop By</v>
      </c>
      <c r="E21" s="9"/>
      <c r="F21" s="9"/>
      <c r="G21" s="321">
        <f>'IS 2024'!F21</f>
        <v>4357</v>
      </c>
      <c r="H21" s="321">
        <f>'IS 2024'!G21</f>
        <v>4357</v>
      </c>
      <c r="I21" s="321">
        <f>'IS 2024'!H21</f>
        <v>6489</v>
      </c>
      <c r="J21" s="321">
        <f>'IS 2024'!I21</f>
        <v>6653</v>
      </c>
      <c r="K21" s="321">
        <f>'IS 2024'!J21</f>
        <v>6802</v>
      </c>
      <c r="L21" s="321">
        <f>'IS 2024'!K21</f>
        <v>7130</v>
      </c>
      <c r="M21" s="321">
        <f>'IS 2024'!L21</f>
        <v>8322</v>
      </c>
      <c r="N21" s="321">
        <f>'IS 2024'!M21</f>
        <v>8322</v>
      </c>
      <c r="O21" s="321">
        <f>'IS 2024'!N21</f>
        <v>7322</v>
      </c>
      <c r="P21" s="321">
        <f>'IS 2024'!O21</f>
        <v>6411</v>
      </c>
      <c r="Q21" s="321">
        <f>'IS 2024'!P21</f>
        <v>6443</v>
      </c>
      <c r="R21" s="321">
        <f>'IS 2024'!Q21</f>
        <v>6211</v>
      </c>
      <c r="S21" s="321">
        <f>'IS 2025'!F21</f>
        <v>4357</v>
      </c>
      <c r="T21" s="321">
        <f>'IS 2025'!G21</f>
        <v>4357</v>
      </c>
      <c r="U21" s="321">
        <f>'IS 2025'!H21</f>
        <v>6489</v>
      </c>
      <c r="V21" s="321">
        <f>'IS 2024'!U21</f>
        <v>6268.1333333333332</v>
      </c>
    </row>
    <row r="22" spans="2:22" x14ac:dyDescent="0.3">
      <c r="B22" s="324"/>
      <c r="C22" s="342" t="str">
        <f>'IS 2023'!C22</f>
        <v>Total</v>
      </c>
      <c r="E22" s="9"/>
      <c r="F22" s="9"/>
      <c r="G22" s="321">
        <f>'IS 2024'!F22</f>
        <v>11071</v>
      </c>
      <c r="H22" s="321">
        <f>'IS 2024'!G22</f>
        <v>11071</v>
      </c>
      <c r="I22" s="321">
        <f>'IS 2024'!H22</f>
        <v>19467</v>
      </c>
      <c r="J22" s="321">
        <f>'IS 2024'!I22</f>
        <v>19959</v>
      </c>
      <c r="K22" s="321">
        <f>'IS 2024'!J22</f>
        <v>20406</v>
      </c>
      <c r="L22" s="321">
        <f>'IS 2024'!K22</f>
        <v>21390</v>
      </c>
      <c r="M22" s="321">
        <f>'IS 2024'!L22</f>
        <v>24966</v>
      </c>
      <c r="N22" s="321">
        <f>'IS 2024'!M22</f>
        <v>24966</v>
      </c>
      <c r="O22" s="321">
        <f>'IS 2024'!N22</f>
        <v>23966</v>
      </c>
      <c r="P22" s="321">
        <f>'IS 2024'!O22</f>
        <v>19133</v>
      </c>
      <c r="Q22" s="321">
        <f>'IS 2024'!P22</f>
        <v>19048</v>
      </c>
      <c r="R22" s="321">
        <f>'IS 2024'!Q22</f>
        <v>18543</v>
      </c>
      <c r="S22" s="321">
        <f>'IS 2024'!R22</f>
        <v>11071</v>
      </c>
      <c r="T22" s="321">
        <f>'IS 2024'!S22</f>
        <v>11071</v>
      </c>
      <c r="U22" s="321">
        <f>'IS 2024'!T22</f>
        <v>19467</v>
      </c>
      <c r="V22" s="321">
        <f>'IS 2024'!U22</f>
        <v>18373</v>
      </c>
    </row>
    <row r="23" spans="2:22" x14ac:dyDescent="0.3">
      <c r="B23" s="324"/>
      <c r="C23" s="342" t="str">
        <f>'IS 2023'!C23</f>
        <v>Max Traffic Total</v>
      </c>
      <c r="E23" s="9"/>
      <c r="F23" s="9"/>
      <c r="G23" s="349">
        <f>'IS 2024'!F23</f>
        <v>15000</v>
      </c>
      <c r="H23" s="349">
        <f>'IS 2024'!G23</f>
        <v>15000</v>
      </c>
      <c r="I23" s="349">
        <f>'IS 2024'!H23</f>
        <v>21000</v>
      </c>
      <c r="J23" s="349">
        <f>'IS 2024'!I23</f>
        <v>21000</v>
      </c>
      <c r="K23" s="349">
        <f>'IS 2024'!J23</f>
        <v>22000</v>
      </c>
      <c r="L23" s="349">
        <f>'IS 2024'!K23</f>
        <v>22000</v>
      </c>
      <c r="M23" s="349">
        <f>'IS 2024'!L23</f>
        <v>24000</v>
      </c>
      <c r="N23" s="349">
        <f>'IS 2024'!M23</f>
        <v>24000</v>
      </c>
      <c r="O23" s="349">
        <f>'IS 2024'!N23</f>
        <v>23000</v>
      </c>
      <c r="P23" s="349">
        <f>'IS 2024'!O23</f>
        <v>22000</v>
      </c>
      <c r="Q23" s="349">
        <f>'IS 2024'!P23</f>
        <v>21000</v>
      </c>
      <c r="R23" s="349">
        <f>'IS 2024'!Q23</f>
        <v>21000</v>
      </c>
      <c r="S23" s="349">
        <f>'IS 2024'!R23</f>
        <v>16000</v>
      </c>
      <c r="T23" s="349">
        <f>'IS 2024'!S23</f>
        <v>16000</v>
      </c>
      <c r="U23" s="349">
        <f>'IS 2024'!T23</f>
        <v>21000</v>
      </c>
      <c r="V23" s="321">
        <f>'IS 2024'!U23</f>
        <v>20266.666666666668</v>
      </c>
    </row>
    <row r="24" spans="2:22" x14ac:dyDescent="0.3">
      <c r="B24" s="324"/>
      <c r="C24" s="342" t="str">
        <f>'IS 2023'!C24</f>
        <v>Percentage</v>
      </c>
      <c r="E24" s="9"/>
      <c r="F24" s="9"/>
      <c r="G24" s="322">
        <f>'IS 2024'!F24</f>
        <v>0.73806666666666665</v>
      </c>
      <c r="H24" s="322">
        <f>'IS 2024'!G24</f>
        <v>0.73806666666666665</v>
      </c>
      <c r="I24" s="322">
        <f>'IS 2024'!H24</f>
        <v>0.92700000000000005</v>
      </c>
      <c r="J24" s="322">
        <f>'IS 2024'!I24</f>
        <v>0.9504285714285714</v>
      </c>
      <c r="K24" s="322">
        <f>'IS 2024'!J24</f>
        <v>0.92754545454545456</v>
      </c>
      <c r="L24" s="322">
        <f>'IS 2024'!K24</f>
        <v>0.97227272727272729</v>
      </c>
      <c r="M24" s="322">
        <f>'IS 2024'!L24</f>
        <v>1.0402499999999999</v>
      </c>
      <c r="N24" s="322">
        <f>'IS 2024'!M24</f>
        <v>1.0402499999999999</v>
      </c>
      <c r="O24" s="322">
        <f>'IS 2024'!N24</f>
        <v>1.042</v>
      </c>
      <c r="P24" s="322">
        <f>'IS 2024'!O24</f>
        <v>0.86968181818181822</v>
      </c>
      <c r="Q24" s="322">
        <f>'IS 2024'!P24</f>
        <v>0.9070476190476191</v>
      </c>
      <c r="R24" s="322">
        <f>'IS 2024'!Q24</f>
        <v>0.88300000000000001</v>
      </c>
      <c r="S24" s="322">
        <f>'IS 2024'!R24</f>
        <v>0.69193749999999998</v>
      </c>
      <c r="T24" s="322">
        <f>'IS 2024'!S24</f>
        <v>0.69193749999999998</v>
      </c>
      <c r="U24" s="322">
        <f>'IS 2024'!T24</f>
        <v>0.92700000000000005</v>
      </c>
      <c r="V24" s="322">
        <f>'IS 2024'!U24</f>
        <v>0.8897656349206351</v>
      </c>
    </row>
    <row r="25" spans="2:22" x14ac:dyDescent="0.3">
      <c r="B25" s="323"/>
      <c r="C25" s="340"/>
      <c r="E25" s="9"/>
      <c r="F25" s="9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321"/>
    </row>
    <row r="26" spans="2:22" x14ac:dyDescent="0.3">
      <c r="B26" s="324"/>
      <c r="C26" s="343" t="str">
        <f>'IS 2023'!C26</f>
        <v>Superfast DC 150+kW</v>
      </c>
      <c r="E26" s="9"/>
      <c r="F26" s="9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</row>
    <row r="27" spans="2:22" x14ac:dyDescent="0.3">
      <c r="B27" s="324"/>
      <c r="C27" s="342" t="str">
        <f>'IS 2023'!C27</f>
        <v>Subscription</v>
      </c>
      <c r="E27" s="9"/>
      <c r="F27" s="9"/>
      <c r="G27" s="321">
        <f>'IS 2024'!F27</f>
        <v>4357</v>
      </c>
      <c r="H27" s="321">
        <f>'IS 2024'!G27</f>
        <v>4357</v>
      </c>
      <c r="I27" s="321">
        <f>'IS 2024'!H27</f>
        <v>6489</v>
      </c>
      <c r="J27" s="321">
        <f>'IS 2024'!I27</f>
        <v>6653</v>
      </c>
      <c r="K27" s="321">
        <f>'IS 2024'!J27</f>
        <v>6802</v>
      </c>
      <c r="L27" s="321">
        <f>'IS 2024'!K27</f>
        <v>7130</v>
      </c>
      <c r="M27" s="321">
        <f>'IS 2024'!L27</f>
        <v>8322</v>
      </c>
      <c r="N27" s="321">
        <f>'IS 2024'!M27</f>
        <v>8322</v>
      </c>
      <c r="O27" s="321">
        <f>'IS 2024'!N27</f>
        <v>8322</v>
      </c>
      <c r="P27" s="321">
        <f>'IS 2024'!O27</f>
        <v>7411</v>
      </c>
      <c r="Q27" s="321">
        <f>'IS 2024'!P27</f>
        <v>7411</v>
      </c>
      <c r="R27" s="321">
        <f>'IS 2024'!Q27</f>
        <v>7704</v>
      </c>
      <c r="S27" s="321">
        <f>'CF 2025'!G30</f>
        <v>4357</v>
      </c>
      <c r="T27" s="321">
        <f>'CF 2025'!H30</f>
        <v>4357</v>
      </c>
      <c r="U27" s="321">
        <f>'CF 2025'!I30</f>
        <v>6489</v>
      </c>
      <c r="V27" s="321">
        <f>'IS 2024'!U27</f>
        <v>6565.5333333333338</v>
      </c>
    </row>
    <row r="28" spans="2:22" x14ac:dyDescent="0.3">
      <c r="B28" s="324"/>
      <c r="C28" s="342" t="str">
        <f>'IS 2023'!C28</f>
        <v>PAYG</v>
      </c>
      <c r="E28" s="9"/>
      <c r="F28" s="9"/>
      <c r="G28" s="321">
        <f>'IS 2024'!F28</f>
        <v>2357</v>
      </c>
      <c r="H28" s="321">
        <f>'IS 2024'!G28</f>
        <v>2357</v>
      </c>
      <c r="I28" s="321">
        <f>'IS 2024'!H28</f>
        <v>6489</v>
      </c>
      <c r="J28" s="321">
        <f>'IS 2024'!I28</f>
        <v>6653</v>
      </c>
      <c r="K28" s="321">
        <f>'IS 2024'!J28</f>
        <v>6802</v>
      </c>
      <c r="L28" s="321">
        <f>'IS 2024'!K28</f>
        <v>7130</v>
      </c>
      <c r="M28" s="321">
        <f>'IS 2024'!L28</f>
        <v>8322</v>
      </c>
      <c r="N28" s="321">
        <f>'IS 2024'!M28</f>
        <v>8322</v>
      </c>
      <c r="O28" s="321">
        <f>'IS 2024'!N28</f>
        <v>8322</v>
      </c>
      <c r="P28" s="321">
        <f>'IS 2024'!O28</f>
        <v>7411</v>
      </c>
      <c r="Q28" s="321">
        <f>'IS 2024'!P28</f>
        <v>7411</v>
      </c>
      <c r="R28" s="321">
        <f>'IS 2024'!Q28</f>
        <v>7704</v>
      </c>
      <c r="S28" s="321">
        <f>'CF 2025'!G31</f>
        <v>2357</v>
      </c>
      <c r="T28" s="321">
        <f>'CF 2025'!H31</f>
        <v>2357</v>
      </c>
      <c r="U28" s="321">
        <f>'CF 2025'!I31</f>
        <v>6489</v>
      </c>
      <c r="V28" s="321">
        <f>'IS 2024'!U28</f>
        <v>6032.2</v>
      </c>
    </row>
    <row r="29" spans="2:22" x14ac:dyDescent="0.3">
      <c r="B29" s="324"/>
      <c r="C29" s="342" t="str">
        <f>'IS 2023'!C29</f>
        <v>Drop By</v>
      </c>
      <c r="E29" s="9"/>
      <c r="F29" s="9"/>
      <c r="G29" s="321">
        <f>'IS 2024'!F29</f>
        <v>3357</v>
      </c>
      <c r="H29" s="321">
        <f>'IS 2024'!G29</f>
        <v>3357</v>
      </c>
      <c r="I29" s="321">
        <f>'IS 2024'!H29</f>
        <v>6489</v>
      </c>
      <c r="J29" s="321">
        <f>'IS 2024'!I29</f>
        <v>6653</v>
      </c>
      <c r="K29" s="321">
        <f>'IS 2024'!J29</f>
        <v>6802</v>
      </c>
      <c r="L29" s="321">
        <f>'IS 2024'!K29</f>
        <v>7130</v>
      </c>
      <c r="M29" s="321">
        <f>'IS 2024'!L29</f>
        <v>8322</v>
      </c>
      <c r="N29" s="321">
        <f>'IS 2024'!M29</f>
        <v>8322</v>
      </c>
      <c r="O29" s="321">
        <f>'IS 2024'!N29</f>
        <v>8322</v>
      </c>
      <c r="P29" s="321">
        <f>'IS 2024'!O29</f>
        <v>7411</v>
      </c>
      <c r="Q29" s="321">
        <f>'IS 2024'!P29</f>
        <v>7411</v>
      </c>
      <c r="R29" s="321">
        <f>'IS 2024'!Q29</f>
        <v>7704</v>
      </c>
      <c r="S29" s="321">
        <f>'CF 2025'!G32</f>
        <v>3357</v>
      </c>
      <c r="T29" s="321">
        <f>'CF 2025'!H32</f>
        <v>3357</v>
      </c>
      <c r="U29" s="321">
        <f>'CF 2025'!I32</f>
        <v>6489</v>
      </c>
      <c r="V29" s="321">
        <f>'IS 2024'!U29</f>
        <v>6298.8666666666668</v>
      </c>
    </row>
    <row r="30" spans="2:22" x14ac:dyDescent="0.3">
      <c r="B30" s="324"/>
      <c r="C30" s="342" t="str">
        <f>'IS 2023'!C30</f>
        <v>Total</v>
      </c>
      <c r="E30" s="9"/>
      <c r="F30" s="9"/>
      <c r="G30" s="321">
        <f>'IS 2024'!F30</f>
        <v>10071</v>
      </c>
      <c r="H30" s="321">
        <f>'IS 2024'!G30</f>
        <v>10071</v>
      </c>
      <c r="I30" s="321">
        <f>'IS 2024'!H30</f>
        <v>19467</v>
      </c>
      <c r="J30" s="321">
        <f>'IS 2024'!I30</f>
        <v>19959</v>
      </c>
      <c r="K30" s="321">
        <f>'IS 2024'!J30</f>
        <v>20406</v>
      </c>
      <c r="L30" s="321">
        <f>'IS 2024'!K30</f>
        <v>21390</v>
      </c>
      <c r="M30" s="321">
        <f>'IS 2024'!L30</f>
        <v>24966</v>
      </c>
      <c r="N30" s="321">
        <f>'IS 2024'!M30</f>
        <v>24966</v>
      </c>
      <c r="O30" s="321">
        <f>'IS 2024'!N30</f>
        <v>24966</v>
      </c>
      <c r="P30" s="321">
        <f>'IS 2024'!O30</f>
        <v>22233</v>
      </c>
      <c r="Q30" s="321">
        <f>'IS 2024'!P30</f>
        <v>22233</v>
      </c>
      <c r="R30" s="321">
        <f>'IS 2024'!Q30</f>
        <v>23112</v>
      </c>
      <c r="S30" s="321">
        <f>'IS 2024'!R30</f>
        <v>10071</v>
      </c>
      <c r="T30" s="321">
        <f>'IS 2024'!S30</f>
        <v>10071</v>
      </c>
      <c r="U30" s="321">
        <f>'IS 2024'!T30</f>
        <v>19467</v>
      </c>
      <c r="V30" s="321">
        <f>'IS 2024'!U30</f>
        <v>18896.599999999999</v>
      </c>
    </row>
    <row r="31" spans="2:22" x14ac:dyDescent="0.3">
      <c r="B31" s="324"/>
      <c r="C31" s="342" t="str">
        <f>'IS 2023'!C31</f>
        <v>Max Traffic Total</v>
      </c>
      <c r="E31" s="9"/>
      <c r="F31" s="9"/>
      <c r="G31" s="350">
        <f>'IS 2024'!F31</f>
        <v>15000</v>
      </c>
      <c r="H31" s="350">
        <f>'IS 2024'!G31</f>
        <v>15000</v>
      </c>
      <c r="I31" s="350">
        <f>'IS 2024'!H31</f>
        <v>25000</v>
      </c>
      <c r="J31" s="350">
        <f>'IS 2024'!I31</f>
        <v>25000</v>
      </c>
      <c r="K31" s="350">
        <f>'IS 2024'!J31</f>
        <v>25000</v>
      </c>
      <c r="L31" s="350">
        <f>'IS 2024'!K31</f>
        <v>25000</v>
      </c>
      <c r="M31" s="350">
        <f>'IS 2024'!L31</f>
        <v>25000</v>
      </c>
      <c r="N31" s="350">
        <f>'IS 2024'!M31</f>
        <v>25000</v>
      </c>
      <c r="O31" s="350">
        <f>'IS 2024'!N31</f>
        <v>25000</v>
      </c>
      <c r="P31" s="350">
        <f>'IS 2024'!O31</f>
        <v>25000</v>
      </c>
      <c r="Q31" s="350">
        <f>'IS 2024'!P31</f>
        <v>25000</v>
      </c>
      <c r="R31" s="350">
        <f>'IS 2024'!Q31</f>
        <v>25000</v>
      </c>
      <c r="S31" s="350">
        <f>'IS 2024'!R31</f>
        <v>25000</v>
      </c>
      <c r="T31" s="350">
        <f>'IS 2024'!S31</f>
        <v>25000</v>
      </c>
      <c r="U31" s="350">
        <f>'IS 2024'!T31</f>
        <v>25000</v>
      </c>
      <c r="V31" s="321">
        <f>'IS 2024'!U31</f>
        <v>23666.666666666668</v>
      </c>
    </row>
    <row r="32" spans="2:22" x14ac:dyDescent="0.3">
      <c r="B32" s="302"/>
      <c r="C32" s="342" t="str">
        <f>'IS 2023'!C32</f>
        <v>Percentage</v>
      </c>
      <c r="E32" s="303"/>
      <c r="F32" s="303"/>
      <c r="G32" s="356">
        <f>'IS 2024'!F32</f>
        <v>0.6714</v>
      </c>
      <c r="H32" s="356">
        <f>'IS 2024'!G32</f>
        <v>0.6714</v>
      </c>
      <c r="I32" s="356">
        <f>'IS 2024'!H32</f>
        <v>0.77868000000000004</v>
      </c>
      <c r="J32" s="356">
        <f>'IS 2024'!I32</f>
        <v>0.79835999999999996</v>
      </c>
      <c r="K32" s="356">
        <f>'IS 2024'!J32</f>
        <v>0.81623999999999997</v>
      </c>
      <c r="L32" s="356">
        <f>'IS 2024'!K32</f>
        <v>0.85560000000000003</v>
      </c>
      <c r="M32" s="356">
        <f>'IS 2024'!L32</f>
        <v>0.99863999999999997</v>
      </c>
      <c r="N32" s="356">
        <f>'IS 2024'!M32</f>
        <v>0.99863999999999997</v>
      </c>
      <c r="O32" s="356">
        <f>'IS 2024'!N32</f>
        <v>0.99863999999999997</v>
      </c>
      <c r="P32" s="356">
        <f>'IS 2024'!O32</f>
        <v>0.88932</v>
      </c>
      <c r="Q32" s="356">
        <f>'IS 2024'!P32</f>
        <v>0.88932</v>
      </c>
      <c r="R32" s="356">
        <f>'IS 2024'!Q32</f>
        <v>0.92447999999999997</v>
      </c>
      <c r="S32" s="356">
        <f>'IS 2024'!R32</f>
        <v>0.40283999999999998</v>
      </c>
      <c r="T32" s="356">
        <f>'IS 2024'!S32</f>
        <v>0.40283999999999998</v>
      </c>
      <c r="U32" s="356">
        <f>'IS 2024'!T32</f>
        <v>0.77868000000000004</v>
      </c>
      <c r="V32" s="322">
        <f>'IS 2024'!U32</f>
        <v>0.79167199999999993</v>
      </c>
    </row>
    <row r="33" spans="1:22" x14ac:dyDescent="0.3">
      <c r="B33" s="302"/>
      <c r="C33" s="303"/>
      <c r="D33" s="340"/>
      <c r="E33" s="303"/>
      <c r="F33" s="303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5"/>
    </row>
    <row r="34" spans="1:22" x14ac:dyDescent="0.3">
      <c r="B34" s="341" t="s">
        <v>38</v>
      </c>
      <c r="G34" s="369">
        <v>-200</v>
      </c>
      <c r="H34" s="369">
        <v>-200</v>
      </c>
      <c r="I34" s="369">
        <v>-200</v>
      </c>
      <c r="J34" s="369">
        <v>-200</v>
      </c>
      <c r="K34" s="369">
        <v>-200</v>
      </c>
      <c r="L34" s="369">
        <v>-200</v>
      </c>
      <c r="M34" s="369">
        <v>-200</v>
      </c>
      <c r="N34" s="369">
        <v>-200</v>
      </c>
      <c r="O34" s="369">
        <v>-200</v>
      </c>
      <c r="P34" s="369">
        <v>-200</v>
      </c>
      <c r="Q34" s="369">
        <v>-200</v>
      </c>
      <c r="R34" s="369">
        <v>-200</v>
      </c>
      <c r="S34" s="369">
        <v>-200</v>
      </c>
      <c r="T34" s="369">
        <v>-200</v>
      </c>
      <c r="U34" s="369">
        <v>-200</v>
      </c>
      <c r="V34" s="351">
        <f>SUM(G34:R34)</f>
        <v>-2400</v>
      </c>
    </row>
    <row r="35" spans="1:22" x14ac:dyDescent="0.3">
      <c r="B35" s="341" t="s">
        <v>146</v>
      </c>
      <c r="G35" s="369">
        <f>'IS 2023'!F72</f>
        <v>-30000</v>
      </c>
      <c r="H35" s="369">
        <f>'IS 2023'!G72</f>
        <v>-29340</v>
      </c>
      <c r="I35" s="369">
        <f>'IS 2023'!H72</f>
        <v>-28680</v>
      </c>
      <c r="J35" s="369">
        <f>'IS 2023'!I72</f>
        <v>-28020</v>
      </c>
      <c r="K35" s="369">
        <f>'IS 2023'!J72</f>
        <v>-27360</v>
      </c>
      <c r="L35" s="369">
        <f>'IS 2023'!K72</f>
        <v>-26700</v>
      </c>
      <c r="M35" s="369">
        <f>'IS 2023'!L72</f>
        <v>-26040</v>
      </c>
      <c r="N35" s="369">
        <f>'IS 2023'!M72</f>
        <v>-25380</v>
      </c>
      <c r="O35" s="369">
        <f>'IS 2023'!N72</f>
        <v>-24720</v>
      </c>
      <c r="P35" s="369">
        <f>'IS 2023'!O72</f>
        <v>-24060</v>
      </c>
      <c r="Q35" s="369">
        <f>'IS 2023'!P72</f>
        <v>-23400</v>
      </c>
      <c r="R35" s="369">
        <f>'IS 2023'!Q72</f>
        <v>-22740</v>
      </c>
      <c r="S35" s="369">
        <f>'IS 2023'!R72</f>
        <v>-22080</v>
      </c>
      <c r="T35" s="369">
        <f>'IS 2023'!S72</f>
        <v>-21420</v>
      </c>
      <c r="U35" s="369">
        <f>'IS 2023'!T72</f>
        <v>-20760</v>
      </c>
    </row>
    <row r="36" spans="1:22" x14ac:dyDescent="0.3">
      <c r="B36" s="368" t="s">
        <v>147</v>
      </c>
      <c r="C36" s="366"/>
      <c r="D36" s="366"/>
      <c r="E36" s="366"/>
      <c r="F36" s="366"/>
      <c r="G36" s="370">
        <f>'IS 2023'!F74</f>
        <v>-3694</v>
      </c>
      <c r="H36" s="370">
        <f>'IS 2023'!G74</f>
        <v>-3694</v>
      </c>
      <c r="I36" s="370">
        <f>'IS 2023'!H74</f>
        <v>-7252.4000000000005</v>
      </c>
      <c r="J36" s="370">
        <f>'IS 2023'!I74</f>
        <v>-7989.2000000000007</v>
      </c>
      <c r="K36" s="370">
        <f>'IS 2023'!J74</f>
        <v>-8198.6</v>
      </c>
      <c r="L36" s="370">
        <f>'IS 2023'!K74</f>
        <v>-8752.2000000000007</v>
      </c>
      <c r="M36" s="370">
        <f>'IS 2023'!L74</f>
        <v>-10028.800000000001</v>
      </c>
      <c r="N36" s="370">
        <f>'IS 2023'!M74</f>
        <v>-10022.6</v>
      </c>
      <c r="O36" s="370">
        <f>'IS 2023'!N74</f>
        <v>-9825</v>
      </c>
      <c r="P36" s="370">
        <f>'IS 2023'!O74</f>
        <v>-8311.8000000000011</v>
      </c>
      <c r="Q36" s="370">
        <f>'IS 2023'!P74</f>
        <v>-8292.4</v>
      </c>
      <c r="R36" s="370">
        <f>'IS 2023'!Q74</f>
        <v>-8366.4</v>
      </c>
      <c r="S36" s="370">
        <f>'IS 2023'!R74</f>
        <v>-3694</v>
      </c>
      <c r="T36" s="370">
        <f>'IS 2023'!S74</f>
        <v>-3694</v>
      </c>
      <c r="U36" s="370">
        <f>'IS 2023'!T74</f>
        <v>-7252.4000000000005</v>
      </c>
    </row>
    <row r="37" spans="1:22" x14ac:dyDescent="0.3">
      <c r="B37" s="8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</row>
    <row r="38" spans="1:22" x14ac:dyDescent="0.3">
      <c r="A38" s="147"/>
      <c r="B38" s="176" t="s">
        <v>148</v>
      </c>
      <c r="C38" s="147"/>
      <c r="D38" s="147"/>
      <c r="E38" s="147"/>
      <c r="F38" s="147"/>
      <c r="G38" s="201">
        <f>'IS 2024'!F34</f>
        <v>31047</v>
      </c>
      <c r="H38" s="201">
        <f>'IS 2024'!G34</f>
        <v>31047</v>
      </c>
      <c r="I38" s="201">
        <f>'IS 2024'!H34</f>
        <v>48839</v>
      </c>
      <c r="J38" s="201">
        <f>'IS 2024'!I34</f>
        <v>52523</v>
      </c>
      <c r="K38" s="201">
        <f>'IS 2024'!J34</f>
        <v>53570</v>
      </c>
      <c r="L38" s="201">
        <f>'IS 2024'!K34</f>
        <v>55538</v>
      </c>
      <c r="M38" s="201">
        <f>'IS 2024'!L34</f>
        <v>62721</v>
      </c>
      <c r="N38" s="201">
        <f>'IS 2024'!M34</f>
        <v>62690</v>
      </c>
      <c r="O38" s="201">
        <f>'IS 2024'!N34</f>
        <v>61702</v>
      </c>
      <c r="P38" s="201">
        <f>'IS 2024'!O34</f>
        <v>54136</v>
      </c>
      <c r="Q38" s="201">
        <f>'IS 2024'!P34</f>
        <v>54039</v>
      </c>
      <c r="R38" s="201">
        <f>'IS 2024'!Q34</f>
        <v>54409</v>
      </c>
      <c r="S38" s="201">
        <f>'IS 2024'!R34</f>
        <v>33797</v>
      </c>
      <c r="T38" s="201">
        <f>'IS 2024'!S34</f>
        <v>33797</v>
      </c>
      <c r="U38" s="201">
        <f>'IS 2024'!T34</f>
        <v>51589</v>
      </c>
      <c r="V38" s="154">
        <f>SUM(G38:R38)</f>
        <v>622261</v>
      </c>
    </row>
    <row r="39" spans="1:22" x14ac:dyDescent="0.3">
      <c r="A39" s="148"/>
      <c r="B39" s="193" t="s">
        <v>149</v>
      </c>
      <c r="C39" s="148"/>
      <c r="D39" s="148"/>
      <c r="E39" s="148"/>
      <c r="F39" s="148"/>
      <c r="G39" s="202">
        <f>SUM(G34:G36)</f>
        <v>-33894</v>
      </c>
      <c r="H39" s="202">
        <f t="shared" ref="H39:U39" si="1">SUM(H34:H36)</f>
        <v>-33234</v>
      </c>
      <c r="I39" s="202">
        <f t="shared" si="1"/>
        <v>-36132.400000000001</v>
      </c>
      <c r="J39" s="202">
        <f t="shared" si="1"/>
        <v>-36209.199999999997</v>
      </c>
      <c r="K39" s="202">
        <f t="shared" si="1"/>
        <v>-35758.6</v>
      </c>
      <c r="L39" s="202">
        <f t="shared" si="1"/>
        <v>-35652.199999999997</v>
      </c>
      <c r="M39" s="202">
        <f t="shared" si="1"/>
        <v>-36268.800000000003</v>
      </c>
      <c r="N39" s="202">
        <f t="shared" si="1"/>
        <v>-35602.6</v>
      </c>
      <c r="O39" s="202">
        <f t="shared" si="1"/>
        <v>-34745</v>
      </c>
      <c r="P39" s="202">
        <f t="shared" si="1"/>
        <v>-32571.800000000003</v>
      </c>
      <c r="Q39" s="202">
        <f t="shared" si="1"/>
        <v>-31892.400000000001</v>
      </c>
      <c r="R39" s="202">
        <f t="shared" si="1"/>
        <v>-31306.400000000001</v>
      </c>
      <c r="S39" s="202">
        <f t="shared" si="1"/>
        <v>-25974</v>
      </c>
      <c r="T39" s="202">
        <f t="shared" si="1"/>
        <v>-25314</v>
      </c>
      <c r="U39" s="202">
        <f t="shared" si="1"/>
        <v>-28212.400000000001</v>
      </c>
      <c r="V39" s="149">
        <f>SUM(G39:R39)</f>
        <v>-413267.39999999997</v>
      </c>
    </row>
    <row r="40" spans="1:22" s="9" customFormat="1" x14ac:dyDescent="0.3">
      <c r="A40" s="344"/>
      <c r="B40" s="347"/>
      <c r="C40" s="344"/>
      <c r="D40" s="344"/>
      <c r="E40" s="344"/>
      <c r="F40" s="344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37"/>
    </row>
    <row r="41" spans="1:22" x14ac:dyDescent="0.3">
      <c r="B41" s="357" t="s">
        <v>150</v>
      </c>
      <c r="C41" s="357"/>
      <c r="D41" s="357"/>
      <c r="E41" s="357"/>
      <c r="F41" s="357"/>
      <c r="G41" s="372">
        <f>G38+G39</f>
        <v>-2847</v>
      </c>
      <c r="H41" s="372">
        <f t="shared" ref="H41:U41" si="2">H38+H39</f>
        <v>-2187</v>
      </c>
      <c r="I41" s="321">
        <f t="shared" si="2"/>
        <v>12706.599999999999</v>
      </c>
      <c r="J41" s="321">
        <f t="shared" si="2"/>
        <v>16313.800000000003</v>
      </c>
      <c r="K41" s="321">
        <f t="shared" si="2"/>
        <v>17811.400000000001</v>
      </c>
      <c r="L41" s="321">
        <f t="shared" si="2"/>
        <v>19885.800000000003</v>
      </c>
      <c r="M41" s="321">
        <f t="shared" si="2"/>
        <v>26452.199999999997</v>
      </c>
      <c r="N41" s="321">
        <f t="shared" si="2"/>
        <v>27087.4</v>
      </c>
      <c r="O41" s="321">
        <f t="shared" si="2"/>
        <v>26957</v>
      </c>
      <c r="P41" s="321">
        <f t="shared" si="2"/>
        <v>21564.199999999997</v>
      </c>
      <c r="Q41" s="321">
        <f t="shared" si="2"/>
        <v>22146.6</v>
      </c>
      <c r="R41" s="321">
        <f t="shared" si="2"/>
        <v>23102.6</v>
      </c>
      <c r="S41" s="321">
        <f t="shared" si="2"/>
        <v>7823</v>
      </c>
      <c r="T41" s="321">
        <f t="shared" si="2"/>
        <v>8483</v>
      </c>
      <c r="U41" s="321">
        <f t="shared" si="2"/>
        <v>23376.6</v>
      </c>
      <c r="V41" s="150">
        <f>SUM(G41:R41)</f>
        <v>208993.60000000003</v>
      </c>
    </row>
    <row r="42" spans="1:22" x14ac:dyDescent="0.3">
      <c r="B42" s="357" t="s">
        <v>194</v>
      </c>
      <c r="C42" s="357"/>
      <c r="D42" s="357"/>
      <c r="E42" s="357"/>
      <c r="F42" s="357"/>
      <c r="G42" s="372">
        <f>G41-'IS 2024'!F70</f>
        <v>-1397</v>
      </c>
      <c r="H42" s="372">
        <f>H41-'IS 2024'!G70</f>
        <v>-737</v>
      </c>
      <c r="I42" s="321">
        <f>I41-'IS 2024'!H70</f>
        <v>14156.599999999999</v>
      </c>
      <c r="J42" s="321">
        <f>J41-'IS 2024'!I70</f>
        <v>17763.800000000003</v>
      </c>
      <c r="K42" s="321">
        <f>K41-'IS 2024'!J70</f>
        <v>19261.400000000001</v>
      </c>
      <c r="L42" s="321">
        <f>L41-'IS 2024'!K70</f>
        <v>21335.800000000003</v>
      </c>
      <c r="M42" s="321">
        <f>M41-'IS 2024'!L70</f>
        <v>27902.199999999997</v>
      </c>
      <c r="N42" s="321">
        <f>N41-'IS 2024'!M70</f>
        <v>28537.4</v>
      </c>
      <c r="O42" s="321">
        <f>O41-'IS 2024'!N70</f>
        <v>28407</v>
      </c>
      <c r="P42" s="321">
        <f>P41-'IS 2024'!O70</f>
        <v>23014.199999999997</v>
      </c>
      <c r="Q42" s="321">
        <f>Q41-'IS 2024'!P70</f>
        <v>23596.6</v>
      </c>
      <c r="R42" s="321">
        <f>R41-'IS 2024'!Q70</f>
        <v>24952.6</v>
      </c>
      <c r="S42" s="321">
        <f>S41-'IS 2024'!R70</f>
        <v>9673</v>
      </c>
      <c r="T42" s="321">
        <f>T41-'IS 2024'!S70</f>
        <v>10333</v>
      </c>
      <c r="U42" s="321">
        <f>U41-'IS 2024'!T70</f>
        <v>25226.6</v>
      </c>
      <c r="V42" s="150"/>
    </row>
    <row r="43" spans="1:22" x14ac:dyDescent="0.3">
      <c r="B43" s="358" t="s">
        <v>151</v>
      </c>
      <c r="C43" s="357"/>
      <c r="D43" s="357"/>
      <c r="E43" s="357"/>
      <c r="F43" s="357"/>
      <c r="G43" s="321">
        <f>'CF 2023'!S43</f>
        <v>0</v>
      </c>
      <c r="H43" s="321">
        <f>'CF 2023'!T43</f>
        <v>0</v>
      </c>
      <c r="I43" s="321">
        <f>'CF 2023'!U43</f>
        <v>0</v>
      </c>
      <c r="J43" s="334"/>
      <c r="K43" s="334"/>
      <c r="L43" s="334"/>
      <c r="M43" s="334"/>
      <c r="N43" s="334"/>
      <c r="O43" s="334"/>
      <c r="P43" s="334"/>
      <c r="Q43" s="334"/>
      <c r="R43" s="334"/>
      <c r="S43" s="150" t="str">
        <f>'CF 2025'!G45</f>
        <v>-</v>
      </c>
      <c r="T43" s="150" t="str">
        <f>'CF 2025'!H45</f>
        <v>-</v>
      </c>
      <c r="U43" s="150" t="str">
        <f>'CF 2025'!I45</f>
        <v>-</v>
      </c>
      <c r="V43" s="340"/>
    </row>
    <row r="44" spans="1:22" x14ac:dyDescent="0.3">
      <c r="B44" s="359" t="s">
        <v>152</v>
      </c>
      <c r="C44" s="357"/>
      <c r="D44" s="357"/>
      <c r="E44" s="357"/>
      <c r="F44" s="357"/>
      <c r="G44" s="321">
        <f>'CF 2023'!S44</f>
        <v>0</v>
      </c>
      <c r="H44" s="321">
        <f>'CF 2023'!T44</f>
        <v>0</v>
      </c>
      <c r="I44" s="321">
        <f>'CF 2023'!U44</f>
        <v>0</v>
      </c>
      <c r="J44" s="334"/>
      <c r="K44" s="334"/>
      <c r="L44" s="334"/>
      <c r="M44" s="334"/>
      <c r="N44" s="334"/>
      <c r="O44" s="334"/>
      <c r="P44" s="334"/>
      <c r="Q44" s="334"/>
      <c r="R44" s="334"/>
      <c r="S44" s="150" t="str">
        <f>'CF 2025'!G46</f>
        <v>-</v>
      </c>
      <c r="T44" s="150" t="str">
        <f>'CF 2025'!H46</f>
        <v>-</v>
      </c>
      <c r="U44" s="150" t="str">
        <f>'CF 2025'!I46</f>
        <v>-</v>
      </c>
      <c r="V44" s="340"/>
    </row>
    <row r="45" spans="1:22" x14ac:dyDescent="0.3">
      <c r="B45" s="360" t="s">
        <v>116</v>
      </c>
      <c r="C45" s="357"/>
      <c r="D45" s="357"/>
      <c r="E45" s="357"/>
      <c r="F45" s="357"/>
      <c r="G45" s="321">
        <f>'CF 2023'!S45</f>
        <v>0</v>
      </c>
      <c r="H45" s="321">
        <f>'CF 2023'!T45</f>
        <v>0</v>
      </c>
      <c r="I45" s="321">
        <f>'CF 2023'!U45</f>
        <v>0</v>
      </c>
      <c r="J45" s="334"/>
      <c r="K45" s="334"/>
      <c r="L45" s="334"/>
      <c r="M45" s="334"/>
      <c r="N45" s="334"/>
      <c r="O45" s="334"/>
      <c r="P45" s="334"/>
      <c r="Q45" s="334"/>
      <c r="R45" s="334"/>
      <c r="S45" s="361" t="str">
        <f>'CF 2025'!G47</f>
        <v>-</v>
      </c>
      <c r="T45" s="150" t="str">
        <f>'CF 2025'!H47</f>
        <v>-</v>
      </c>
      <c r="U45" s="150" t="str">
        <f>'CF 2025'!I47</f>
        <v>-</v>
      </c>
      <c r="V45" s="340"/>
    </row>
    <row r="46" spans="1:22" x14ac:dyDescent="0.3">
      <c r="B46" s="359" t="s">
        <v>153</v>
      </c>
      <c r="C46" s="357"/>
      <c r="D46" s="357"/>
      <c r="E46" s="357"/>
      <c r="F46" s="357"/>
      <c r="G46" s="321">
        <f>'CF 2023'!S46</f>
        <v>0</v>
      </c>
      <c r="H46" s="321">
        <f>'CF 2023'!T46</f>
        <v>0</v>
      </c>
      <c r="I46" s="321">
        <f>'CF 2023'!U46</f>
        <v>0</v>
      </c>
      <c r="J46" s="321">
        <f t="shared" ref="J46" si="3">SUM(J44:J45)</f>
        <v>0</v>
      </c>
      <c r="K46" s="321">
        <f t="shared" ref="K46:R46" si="4">SUM(K44:K45)</f>
        <v>0</v>
      </c>
      <c r="L46" s="321">
        <f t="shared" si="4"/>
        <v>0</v>
      </c>
      <c r="M46" s="321">
        <f t="shared" si="4"/>
        <v>0</v>
      </c>
      <c r="N46" s="321">
        <f t="shared" si="4"/>
        <v>0</v>
      </c>
      <c r="O46" s="321">
        <f t="shared" si="4"/>
        <v>0</v>
      </c>
      <c r="P46" s="321">
        <f t="shared" si="4"/>
        <v>0</v>
      </c>
      <c r="Q46" s="321">
        <f t="shared" si="4"/>
        <v>0</v>
      </c>
      <c r="R46" s="321">
        <f t="shared" si="4"/>
        <v>0</v>
      </c>
      <c r="S46" s="150">
        <f>'CF 2025'!G48</f>
        <v>0</v>
      </c>
      <c r="T46" s="150">
        <f>'CF 2025'!H48</f>
        <v>0</v>
      </c>
      <c r="U46" s="150">
        <f>'CF 2025'!I48</f>
        <v>0</v>
      </c>
      <c r="V46" s="340"/>
    </row>
    <row r="47" spans="1:22" x14ac:dyDescent="0.3">
      <c r="B47" s="362" t="s">
        <v>154</v>
      </c>
      <c r="C47" s="357"/>
      <c r="D47" s="357"/>
      <c r="E47" s="357"/>
      <c r="F47" s="357"/>
      <c r="G47" s="321">
        <f>'CF 2023'!S47</f>
        <v>0</v>
      </c>
      <c r="H47" s="321">
        <f>'CF 2023'!T47</f>
        <v>0</v>
      </c>
      <c r="I47" s="321">
        <f>'CF 2023'!U47</f>
        <v>0</v>
      </c>
      <c r="J47" s="334"/>
      <c r="K47" s="334"/>
      <c r="L47" s="334"/>
      <c r="M47" s="334"/>
      <c r="N47" s="334"/>
      <c r="O47" s="334"/>
      <c r="P47" s="334"/>
      <c r="Q47" s="334"/>
      <c r="R47" s="334"/>
      <c r="S47" s="150" t="str">
        <f>'CF 2025'!G49</f>
        <v>-</v>
      </c>
      <c r="T47" s="150" t="str">
        <f>'CF 2025'!H49</f>
        <v>-</v>
      </c>
      <c r="U47" s="150" t="str">
        <f>'CF 2025'!I49</f>
        <v>-</v>
      </c>
      <c r="V47" s="340"/>
    </row>
    <row r="48" spans="1:22" x14ac:dyDescent="0.3">
      <c r="B48" s="341" t="s">
        <v>155</v>
      </c>
      <c r="C48" s="340"/>
      <c r="D48" s="340"/>
      <c r="E48" s="340"/>
      <c r="F48" s="340"/>
      <c r="G48" s="351">
        <f>'CF 2023'!S48</f>
        <v>0</v>
      </c>
      <c r="H48" s="351">
        <f>'CF 2023'!T48</f>
        <v>0</v>
      </c>
      <c r="I48" s="351">
        <f>'CF 2023'!U48</f>
        <v>0</v>
      </c>
      <c r="J48" s="364"/>
      <c r="K48" s="364"/>
      <c r="L48" s="364"/>
      <c r="M48" s="364"/>
      <c r="N48" s="364"/>
      <c r="O48" s="364"/>
      <c r="P48" s="364"/>
      <c r="Q48" s="364"/>
      <c r="R48" s="364"/>
      <c r="S48" s="209" t="str">
        <f>'CF 2025'!G50</f>
        <v>-</v>
      </c>
      <c r="T48" s="209" t="str">
        <f>'CF 2025'!H50</f>
        <v>-</v>
      </c>
      <c r="U48" s="209" t="str">
        <f>'CF 2025'!I50</f>
        <v>-</v>
      </c>
      <c r="V48" s="340"/>
    </row>
    <row r="49" spans="1:23" x14ac:dyDescent="0.3">
      <c r="B49" s="363" t="s">
        <v>116</v>
      </c>
      <c r="C49" s="340"/>
      <c r="D49" s="340"/>
      <c r="E49" s="340"/>
      <c r="F49" s="340"/>
      <c r="G49" s="351">
        <f>'CF 2023'!S49</f>
        <v>0</v>
      </c>
      <c r="H49" s="351">
        <f>'CF 2023'!T49</f>
        <v>0</v>
      </c>
      <c r="I49" s="351">
        <f>'CF 2023'!U49</f>
        <v>0</v>
      </c>
      <c r="J49" s="364"/>
      <c r="K49" s="364"/>
      <c r="L49" s="364"/>
      <c r="M49" s="364"/>
      <c r="N49" s="364"/>
      <c r="O49" s="364"/>
      <c r="P49" s="364"/>
      <c r="Q49" s="364"/>
      <c r="R49" s="364"/>
      <c r="S49" s="209" t="str">
        <f>'CF 2025'!G51</f>
        <v>-</v>
      </c>
      <c r="T49" s="209" t="str">
        <f>'CF 2025'!H51</f>
        <v>-</v>
      </c>
      <c r="U49" s="209" t="str">
        <f>'CF 2025'!I51</f>
        <v>-</v>
      </c>
      <c r="V49" s="340"/>
    </row>
    <row r="50" spans="1:23" x14ac:dyDescent="0.3">
      <c r="B50" s="363" t="s">
        <v>117</v>
      </c>
      <c r="C50" s="340"/>
      <c r="D50" s="340"/>
      <c r="E50" s="340"/>
      <c r="F50" s="340"/>
      <c r="G50" s="351">
        <f>'CF 2023'!S50</f>
        <v>0</v>
      </c>
      <c r="H50" s="351">
        <f>'CF 2023'!T50</f>
        <v>0</v>
      </c>
      <c r="I50" s="351">
        <f>'CF 2023'!U50</f>
        <v>0</v>
      </c>
      <c r="J50" s="364"/>
      <c r="K50" s="364"/>
      <c r="L50" s="364"/>
      <c r="M50" s="364"/>
      <c r="N50" s="364"/>
      <c r="O50" s="364"/>
      <c r="P50" s="364"/>
      <c r="Q50" s="364"/>
      <c r="R50" s="364"/>
      <c r="S50" s="209" t="str">
        <f>'CF 2025'!G52</f>
        <v>-</v>
      </c>
      <c r="T50" s="209" t="str">
        <f>'CF 2025'!H52</f>
        <v>-</v>
      </c>
      <c r="U50" s="209" t="str">
        <f>'CF 2025'!I52</f>
        <v>-</v>
      </c>
      <c r="V50" s="340"/>
    </row>
    <row r="51" spans="1:23" x14ac:dyDescent="0.3">
      <c r="B51" s="363" t="s">
        <v>118</v>
      </c>
      <c r="C51" s="340"/>
      <c r="D51" s="340"/>
      <c r="E51" s="340"/>
      <c r="F51" s="340"/>
      <c r="G51" s="351">
        <f>'CF 2023'!S51</f>
        <v>0</v>
      </c>
      <c r="H51" s="351">
        <f>'CF 2023'!T51</f>
        <v>0</v>
      </c>
      <c r="I51" s="351">
        <f>'CF 2023'!U51</f>
        <v>0</v>
      </c>
      <c r="J51" s="364"/>
      <c r="K51" s="364"/>
      <c r="L51" s="364"/>
      <c r="M51" s="364"/>
      <c r="N51" s="364"/>
      <c r="O51" s="364"/>
      <c r="P51" s="364"/>
      <c r="Q51" s="364"/>
      <c r="R51" s="364"/>
      <c r="S51" s="209" t="str">
        <f>'CF 2025'!G53</f>
        <v>-</v>
      </c>
      <c r="T51" s="209" t="str">
        <f>'CF 2025'!H53</f>
        <v>-</v>
      </c>
      <c r="U51" s="209" t="str">
        <f>'CF 2025'!I53</f>
        <v>-</v>
      </c>
      <c r="V51" s="340"/>
    </row>
    <row r="52" spans="1:23" x14ac:dyDescent="0.3">
      <c r="B52" s="341" t="s">
        <v>156</v>
      </c>
      <c r="C52" s="340"/>
      <c r="D52" s="340"/>
      <c r="E52" s="340"/>
      <c r="F52" s="340"/>
      <c r="G52" s="369">
        <f>'CF 2023'!S52</f>
        <v>-3300</v>
      </c>
      <c r="H52" s="369">
        <f>'CF 2023'!T52</f>
        <v>-3300</v>
      </c>
      <c r="I52" s="369">
        <f>'CF 2023'!U52</f>
        <v>-3300</v>
      </c>
      <c r="J52" s="369">
        <v>-3300</v>
      </c>
      <c r="K52" s="369">
        <v>-3300</v>
      </c>
      <c r="L52" s="369">
        <v>-3300</v>
      </c>
      <c r="M52" s="369">
        <v>-3300</v>
      </c>
      <c r="N52" s="369">
        <v>-3300</v>
      </c>
      <c r="O52" s="369">
        <v>-3300</v>
      </c>
      <c r="P52" s="369">
        <v>-3300</v>
      </c>
      <c r="Q52" s="369">
        <v>-3300</v>
      </c>
      <c r="R52" s="369">
        <v>-3300</v>
      </c>
      <c r="S52" s="369">
        <v>-3300</v>
      </c>
      <c r="T52" s="369">
        <v>-3300</v>
      </c>
      <c r="U52" s="369">
        <v>-3300</v>
      </c>
      <c r="V52" s="373">
        <f>SUM(G52:R52)</f>
        <v>-39600</v>
      </c>
      <c r="W52" s="1"/>
    </row>
    <row r="53" spans="1:23" x14ac:dyDescent="0.3">
      <c r="B53" s="363" t="s">
        <v>116</v>
      </c>
      <c r="C53" s="340"/>
      <c r="D53" s="340"/>
      <c r="E53" s="340"/>
      <c r="F53" s="340"/>
      <c r="G53" s="351">
        <f>'CF 2023'!S53</f>
        <v>0</v>
      </c>
      <c r="H53" s="351">
        <f>'CF 2023'!T53</f>
        <v>0</v>
      </c>
      <c r="I53" s="351">
        <f>'CF 2023'!U53</f>
        <v>0</v>
      </c>
      <c r="J53" s="351"/>
      <c r="K53" s="351"/>
      <c r="L53" s="351"/>
      <c r="M53" s="351"/>
      <c r="N53" s="351"/>
      <c r="O53" s="351"/>
      <c r="P53" s="351"/>
      <c r="Q53" s="351"/>
      <c r="R53" s="351"/>
      <c r="S53" s="209" t="str">
        <f>'CF 2025'!G55</f>
        <v>-</v>
      </c>
      <c r="T53" s="209" t="str">
        <f>'CF 2025'!H55</f>
        <v>-</v>
      </c>
      <c r="U53" s="209" t="str">
        <f>'CF 2025'!I55</f>
        <v>-</v>
      </c>
      <c r="V53" s="340"/>
    </row>
    <row r="54" spans="1:23" x14ac:dyDescent="0.3">
      <c r="B54" s="341" t="s">
        <v>157</v>
      </c>
      <c r="C54" s="340"/>
      <c r="D54" s="340"/>
      <c r="E54" s="340"/>
      <c r="F54" s="340"/>
      <c r="G54" s="351">
        <f>'CF 2023'!S54</f>
        <v>0</v>
      </c>
      <c r="H54" s="351">
        <f>'CF 2023'!T54</f>
        <v>0</v>
      </c>
      <c r="I54" s="351">
        <f>'CF 2023'!U54</f>
        <v>0</v>
      </c>
      <c r="J54" s="364"/>
      <c r="K54" s="364"/>
      <c r="L54" s="364"/>
      <c r="M54" s="364"/>
      <c r="N54" s="364"/>
      <c r="O54" s="364"/>
      <c r="P54" s="364"/>
      <c r="Q54" s="364"/>
      <c r="R54" s="364"/>
      <c r="S54" s="209" t="str">
        <f>'CF 2025'!G56</f>
        <v>-</v>
      </c>
      <c r="T54" s="209" t="str">
        <f>'CF 2025'!H56</f>
        <v>-</v>
      </c>
      <c r="U54" s="209" t="str">
        <f>'CF 2025'!I56</f>
        <v>-</v>
      </c>
      <c r="V54" s="340"/>
    </row>
    <row r="55" spans="1:23" x14ac:dyDescent="0.3">
      <c r="B55" s="363" t="s">
        <v>116</v>
      </c>
      <c r="C55" s="340"/>
      <c r="D55" s="340"/>
      <c r="E55" s="340"/>
      <c r="F55" s="340"/>
      <c r="G55" s="351">
        <f>'CF 2023'!S55</f>
        <v>0</v>
      </c>
      <c r="H55" s="351">
        <f>'CF 2023'!T55</f>
        <v>0</v>
      </c>
      <c r="I55" s="351">
        <f>'CF 2023'!U55</f>
        <v>0</v>
      </c>
      <c r="J55" s="364"/>
      <c r="K55" s="364"/>
      <c r="L55" s="364"/>
      <c r="M55" s="364"/>
      <c r="N55" s="364"/>
      <c r="O55" s="364"/>
      <c r="P55" s="364"/>
      <c r="Q55" s="364"/>
      <c r="R55" s="364"/>
      <c r="S55" s="209" t="str">
        <f>'CF 2025'!G57</f>
        <v>-</v>
      </c>
      <c r="T55" s="209" t="str">
        <f>'CF 2025'!H57</f>
        <v>-</v>
      </c>
      <c r="U55" s="209" t="str">
        <f>'CF 2025'!I57</f>
        <v>-</v>
      </c>
      <c r="V55" s="340"/>
    </row>
    <row r="56" spans="1:23" x14ac:dyDescent="0.3">
      <c r="B56" s="341" t="s">
        <v>158</v>
      </c>
      <c r="C56" s="340"/>
      <c r="D56" s="340"/>
      <c r="E56" s="340"/>
      <c r="F56" s="340"/>
      <c r="G56" s="351">
        <f>'CF 2023'!S56</f>
        <v>0</v>
      </c>
      <c r="H56" s="351">
        <f>'CF 2023'!T56</f>
        <v>0</v>
      </c>
      <c r="I56" s="351">
        <f>'CF 2023'!U56</f>
        <v>0</v>
      </c>
      <c r="J56" s="364"/>
      <c r="K56" s="364"/>
      <c r="L56" s="364"/>
      <c r="M56" s="364"/>
      <c r="N56" s="364"/>
      <c r="O56" s="364"/>
      <c r="P56" s="364"/>
      <c r="Q56" s="364"/>
      <c r="R56" s="364"/>
      <c r="S56" s="209" t="str">
        <f>'CF 2025'!G58</f>
        <v>-</v>
      </c>
      <c r="T56" s="209" t="str">
        <f>'CF 2025'!H58</f>
        <v>-</v>
      </c>
      <c r="U56" s="209" t="str">
        <f>'CF 2025'!I58</f>
        <v>-</v>
      </c>
      <c r="V56" s="340"/>
    </row>
    <row r="57" spans="1:23" x14ac:dyDescent="0.3">
      <c r="B57" s="363" t="s">
        <v>116</v>
      </c>
      <c r="C57" s="340"/>
      <c r="D57" s="340"/>
      <c r="E57" s="340"/>
      <c r="F57" s="340"/>
      <c r="G57" s="351">
        <f>'CF 2023'!S57</f>
        <v>0</v>
      </c>
      <c r="H57" s="351">
        <f>'CF 2023'!T57</f>
        <v>0</v>
      </c>
      <c r="I57" s="351">
        <f>'CF 2023'!U57</f>
        <v>0</v>
      </c>
      <c r="J57" s="364"/>
      <c r="K57" s="364"/>
      <c r="L57" s="364"/>
      <c r="M57" s="364"/>
      <c r="N57" s="364"/>
      <c r="O57" s="364"/>
      <c r="P57" s="364"/>
      <c r="Q57" s="364"/>
      <c r="R57" s="364"/>
      <c r="S57" s="209" t="str">
        <f>'CF 2025'!G59</f>
        <v>-</v>
      </c>
      <c r="T57" s="209" t="str">
        <f>'CF 2025'!H59</f>
        <v>-</v>
      </c>
      <c r="U57" s="209" t="str">
        <f>'CF 2025'!I59</f>
        <v>-</v>
      </c>
      <c r="V57" s="340"/>
    </row>
    <row r="58" spans="1:23" x14ac:dyDescent="0.3">
      <c r="B58" s="341" t="s">
        <v>159</v>
      </c>
      <c r="C58" s="340"/>
      <c r="D58" s="340"/>
      <c r="E58" s="340"/>
      <c r="F58" s="340"/>
      <c r="G58" s="351">
        <f>'CF 2023'!S58</f>
        <v>0</v>
      </c>
      <c r="H58" s="351">
        <f>'CF 2023'!T58</f>
        <v>0</v>
      </c>
      <c r="I58" s="351">
        <f>'CF 2023'!U58</f>
        <v>0</v>
      </c>
      <c r="J58" s="364"/>
      <c r="K58" s="364"/>
      <c r="L58" s="364"/>
      <c r="M58" s="364"/>
      <c r="N58" s="364"/>
      <c r="O58" s="364"/>
      <c r="P58" s="364"/>
      <c r="Q58" s="364"/>
      <c r="R58" s="364"/>
      <c r="S58" s="209" t="str">
        <f>'CF 2025'!G60</f>
        <v>-</v>
      </c>
      <c r="T58" s="209" t="str">
        <f>'CF 2025'!H60</f>
        <v>-</v>
      </c>
      <c r="U58" s="209" t="str">
        <f>'CF 2025'!I60</f>
        <v>-</v>
      </c>
      <c r="V58" s="340"/>
    </row>
    <row r="59" spans="1:23" x14ac:dyDescent="0.3">
      <c r="B59" s="363" t="s">
        <v>116</v>
      </c>
      <c r="C59" s="340"/>
      <c r="D59" s="340"/>
      <c r="E59" s="340"/>
      <c r="F59" s="340"/>
      <c r="G59" s="351">
        <f>'CF 2023'!S59</f>
        <v>0</v>
      </c>
      <c r="H59" s="351">
        <f>'CF 2023'!T59</f>
        <v>0</v>
      </c>
      <c r="I59" s="351">
        <f>'CF 2023'!U59</f>
        <v>0</v>
      </c>
      <c r="J59" s="364"/>
      <c r="K59" s="364"/>
      <c r="L59" s="364"/>
      <c r="M59" s="364"/>
      <c r="N59" s="364"/>
      <c r="O59" s="364"/>
      <c r="P59" s="364"/>
      <c r="Q59" s="364"/>
      <c r="R59" s="364"/>
      <c r="S59" s="209" t="str">
        <f>'CF 2025'!G61</f>
        <v>-</v>
      </c>
      <c r="T59" s="209" t="str">
        <f>'CF 2025'!H61</f>
        <v>-</v>
      </c>
      <c r="U59" s="209" t="str">
        <f>'CF 2025'!I61</f>
        <v>-</v>
      </c>
      <c r="V59" s="340"/>
    </row>
    <row r="60" spans="1:23" x14ac:dyDescent="0.3">
      <c r="B60" s="341" t="s">
        <v>45</v>
      </c>
      <c r="C60" s="340"/>
      <c r="D60" s="340"/>
      <c r="E60" s="340"/>
      <c r="F60" s="340"/>
      <c r="G60" s="351">
        <f>'CF 2023'!S60</f>
        <v>0</v>
      </c>
      <c r="H60" s="351">
        <f>'CF 2023'!T60</f>
        <v>0</v>
      </c>
      <c r="I60" s="351">
        <f>'CF 2023'!U60</f>
        <v>0</v>
      </c>
      <c r="J60" s="364"/>
      <c r="K60" s="364"/>
      <c r="L60" s="364"/>
      <c r="M60" s="364"/>
      <c r="N60" s="364"/>
      <c r="O60" s="364"/>
      <c r="P60" s="364"/>
      <c r="Q60" s="364"/>
      <c r="R60" s="364"/>
      <c r="S60" s="209" t="str">
        <f>'CF 2025'!G62</f>
        <v>-</v>
      </c>
      <c r="T60" s="209" t="str">
        <f>'CF 2025'!H62</f>
        <v>-</v>
      </c>
      <c r="U60" s="209" t="str">
        <f>'CF 2025'!I62</f>
        <v>-</v>
      </c>
      <c r="V60" s="340"/>
    </row>
    <row r="61" spans="1:23" x14ac:dyDescent="0.3">
      <c r="B61" s="341" t="s">
        <v>160</v>
      </c>
      <c r="C61" s="340"/>
      <c r="D61" s="340"/>
      <c r="E61" s="340"/>
      <c r="F61" s="340"/>
      <c r="G61" s="369">
        <f>'CF 2023'!S61</f>
        <v>-3300</v>
      </c>
      <c r="H61" s="369">
        <f>'CF 2023'!T61</f>
        <v>-3300</v>
      </c>
      <c r="I61" s="369">
        <f>'CF 2023'!U61</f>
        <v>-3300</v>
      </c>
      <c r="J61" s="369">
        <f t="shared" ref="J61" si="5">SUM(J48:J60)</f>
        <v>-3300</v>
      </c>
      <c r="K61" s="369">
        <f t="shared" ref="K61:R61" si="6">SUM(K48:K60)</f>
        <v>-3300</v>
      </c>
      <c r="L61" s="369">
        <f t="shared" si="6"/>
        <v>-3300</v>
      </c>
      <c r="M61" s="369">
        <f t="shared" si="6"/>
        <v>-3300</v>
      </c>
      <c r="N61" s="369">
        <f t="shared" si="6"/>
        <v>-3300</v>
      </c>
      <c r="O61" s="369">
        <f t="shared" si="6"/>
        <v>-3300</v>
      </c>
      <c r="P61" s="369">
        <f t="shared" si="6"/>
        <v>-3300</v>
      </c>
      <c r="Q61" s="369">
        <f t="shared" si="6"/>
        <v>-3300</v>
      </c>
      <c r="R61" s="369">
        <f t="shared" si="6"/>
        <v>-3300</v>
      </c>
      <c r="S61" s="209">
        <f>'CF 2025'!G63</f>
        <v>-3300</v>
      </c>
      <c r="T61" s="209">
        <f>'CF 2025'!H63</f>
        <v>-3300</v>
      </c>
      <c r="U61" s="209">
        <f>'CF 2025'!I63</f>
        <v>-3300</v>
      </c>
      <c r="V61" s="340"/>
    </row>
    <row r="62" spans="1:23" s="9" customFormat="1" x14ac:dyDescent="0.3">
      <c r="B62" s="359" t="s">
        <v>161</v>
      </c>
      <c r="C62" s="357"/>
      <c r="D62" s="357"/>
      <c r="E62" s="357"/>
      <c r="F62" s="357"/>
      <c r="G62" s="372">
        <f t="shared" ref="G62:J62" si="7">G41+G61</f>
        <v>-6147</v>
      </c>
      <c r="H62" s="372">
        <f t="shared" si="7"/>
        <v>-5487</v>
      </c>
      <c r="I62" s="321">
        <f t="shared" si="7"/>
        <v>9406.5999999999985</v>
      </c>
      <c r="J62" s="321">
        <f t="shared" si="7"/>
        <v>13013.800000000003</v>
      </c>
      <c r="K62" s="321">
        <f t="shared" ref="K62:R62" si="8">K41+K61</f>
        <v>14511.400000000001</v>
      </c>
      <c r="L62" s="321">
        <f t="shared" si="8"/>
        <v>16585.800000000003</v>
      </c>
      <c r="M62" s="321">
        <f t="shared" si="8"/>
        <v>23152.199999999997</v>
      </c>
      <c r="N62" s="321">
        <f t="shared" si="8"/>
        <v>23787.4</v>
      </c>
      <c r="O62" s="321">
        <f t="shared" si="8"/>
        <v>23657</v>
      </c>
      <c r="P62" s="321">
        <f t="shared" si="8"/>
        <v>18264.199999999997</v>
      </c>
      <c r="Q62" s="321">
        <f t="shared" si="8"/>
        <v>18846.599999999999</v>
      </c>
      <c r="R62" s="321">
        <f t="shared" si="8"/>
        <v>19802.599999999999</v>
      </c>
      <c r="S62" s="150">
        <f t="shared" ref="S62:T62" si="9">S41+S61</f>
        <v>4523</v>
      </c>
      <c r="T62" s="150">
        <f t="shared" si="9"/>
        <v>5183</v>
      </c>
      <c r="U62" s="150">
        <f>U41+U61</f>
        <v>20076.599999999999</v>
      </c>
      <c r="V62" s="150">
        <f>SUM(G62:R62)</f>
        <v>169393.6</v>
      </c>
    </row>
    <row r="63" spans="1:23" s="9" customFormat="1" x14ac:dyDescent="0.3">
      <c r="B63" s="359"/>
      <c r="C63" s="357"/>
      <c r="D63" s="357"/>
      <c r="E63" s="357"/>
      <c r="F63" s="357"/>
      <c r="G63" s="321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150"/>
      <c r="T63" s="150"/>
      <c r="U63" s="150"/>
      <c r="V63" s="150"/>
    </row>
    <row r="64" spans="1:23" x14ac:dyDescent="0.3">
      <c r="A64" s="147"/>
      <c r="B64" s="173" t="s">
        <v>162</v>
      </c>
      <c r="C64" s="147"/>
      <c r="D64" s="147"/>
      <c r="E64" s="147"/>
      <c r="F64" s="147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147"/>
      <c r="T64" s="147"/>
      <c r="U64" s="147"/>
      <c r="V64" s="147"/>
    </row>
    <row r="65" spans="1:22" s="9" customFormat="1" x14ac:dyDescent="0.3">
      <c r="A65" s="344"/>
      <c r="B65" s="345"/>
      <c r="C65" s="344"/>
      <c r="D65" s="344"/>
      <c r="E65" s="344"/>
      <c r="F65" s="344"/>
      <c r="G65" s="346"/>
      <c r="H65" s="346"/>
      <c r="I65" s="346"/>
      <c r="J65" s="346"/>
      <c r="K65" s="346"/>
      <c r="L65" s="346"/>
      <c r="M65" s="346"/>
      <c r="N65" s="346"/>
      <c r="O65" s="346"/>
      <c r="P65" s="346"/>
      <c r="Q65" s="346"/>
      <c r="R65" s="346"/>
      <c r="S65" s="344"/>
      <c r="T65" s="344"/>
      <c r="U65" s="344"/>
      <c r="V65" s="344"/>
    </row>
    <row r="66" spans="1:22" x14ac:dyDescent="0.3">
      <c r="B66" s="357" t="s">
        <v>153</v>
      </c>
      <c r="C66" s="357"/>
      <c r="D66" s="357"/>
      <c r="E66" s="357"/>
      <c r="F66" s="357"/>
      <c r="G66" s="321">
        <f t="shared" ref="G66:J66" si="10">G46</f>
        <v>0</v>
      </c>
      <c r="H66" s="321">
        <f t="shared" si="10"/>
        <v>0</v>
      </c>
      <c r="I66" s="321">
        <f t="shared" si="10"/>
        <v>0</v>
      </c>
      <c r="J66" s="321">
        <f t="shared" si="10"/>
        <v>0</v>
      </c>
      <c r="K66" s="321">
        <f t="shared" ref="K66:R66" si="11">K46</f>
        <v>0</v>
      </c>
      <c r="L66" s="321">
        <f t="shared" si="11"/>
        <v>0</v>
      </c>
      <c r="M66" s="321">
        <f t="shared" si="11"/>
        <v>0</v>
      </c>
      <c r="N66" s="321">
        <f t="shared" si="11"/>
        <v>0</v>
      </c>
      <c r="O66" s="321">
        <f t="shared" si="11"/>
        <v>0</v>
      </c>
      <c r="P66" s="321">
        <f t="shared" si="11"/>
        <v>0</v>
      </c>
      <c r="Q66" s="321">
        <f t="shared" si="11"/>
        <v>0</v>
      </c>
      <c r="R66" s="321">
        <f t="shared" si="11"/>
        <v>0</v>
      </c>
      <c r="S66" s="321">
        <f t="shared" ref="S66:U66" si="12">S46</f>
        <v>0</v>
      </c>
      <c r="T66" s="321">
        <f t="shared" si="12"/>
        <v>0</v>
      </c>
      <c r="U66" s="321">
        <f t="shared" si="12"/>
        <v>0</v>
      </c>
    </row>
    <row r="67" spans="1:22" x14ac:dyDescent="0.3">
      <c r="B67" s="357" t="s">
        <v>160</v>
      </c>
      <c r="C67" s="357"/>
      <c r="D67" s="357"/>
      <c r="E67" s="357"/>
      <c r="F67" s="357"/>
      <c r="G67" s="372">
        <f t="shared" ref="G67:J67" si="13">G61</f>
        <v>-3300</v>
      </c>
      <c r="H67" s="372">
        <f t="shared" si="13"/>
        <v>-3300</v>
      </c>
      <c r="I67" s="372">
        <f t="shared" si="13"/>
        <v>-3300</v>
      </c>
      <c r="J67" s="372">
        <f t="shared" si="13"/>
        <v>-3300</v>
      </c>
      <c r="K67" s="372">
        <f t="shared" ref="K67:R67" si="14">K61</f>
        <v>-3300</v>
      </c>
      <c r="L67" s="372">
        <f t="shared" si="14"/>
        <v>-3300</v>
      </c>
      <c r="M67" s="372">
        <f t="shared" si="14"/>
        <v>-3300</v>
      </c>
      <c r="N67" s="372">
        <f t="shared" si="14"/>
        <v>-3300</v>
      </c>
      <c r="O67" s="372">
        <f t="shared" si="14"/>
        <v>-3300</v>
      </c>
      <c r="P67" s="372">
        <f t="shared" si="14"/>
        <v>-3300</v>
      </c>
      <c r="Q67" s="372">
        <f t="shared" si="14"/>
        <v>-3300</v>
      </c>
      <c r="R67" s="372">
        <f t="shared" si="14"/>
        <v>-3300</v>
      </c>
      <c r="S67" s="321">
        <f t="shared" ref="S67:U67" si="15">S61</f>
        <v>-3300</v>
      </c>
      <c r="T67" s="321">
        <f t="shared" si="15"/>
        <v>-3300</v>
      </c>
      <c r="U67" s="321">
        <f t="shared" si="15"/>
        <v>-3300</v>
      </c>
    </row>
    <row r="68" spans="1:22" x14ac:dyDescent="0.3">
      <c r="B68" s="357" t="s">
        <v>37</v>
      </c>
      <c r="C68" s="357"/>
      <c r="D68" s="357"/>
      <c r="E68" s="357"/>
      <c r="F68" s="357"/>
      <c r="G68" s="321">
        <f>G38</f>
        <v>31047</v>
      </c>
      <c r="H68" s="321">
        <f t="shared" ref="H68:U68" si="16">H38</f>
        <v>31047</v>
      </c>
      <c r="I68" s="321">
        <f t="shared" si="16"/>
        <v>48839</v>
      </c>
      <c r="J68" s="321">
        <f t="shared" si="16"/>
        <v>52523</v>
      </c>
      <c r="K68" s="321">
        <f t="shared" si="16"/>
        <v>53570</v>
      </c>
      <c r="L68" s="321">
        <f t="shared" si="16"/>
        <v>55538</v>
      </c>
      <c r="M68" s="321">
        <f t="shared" si="16"/>
        <v>62721</v>
      </c>
      <c r="N68" s="321">
        <f t="shared" si="16"/>
        <v>62690</v>
      </c>
      <c r="O68" s="321">
        <f t="shared" si="16"/>
        <v>61702</v>
      </c>
      <c r="P68" s="321">
        <f t="shared" si="16"/>
        <v>54136</v>
      </c>
      <c r="Q68" s="321">
        <f t="shared" si="16"/>
        <v>54039</v>
      </c>
      <c r="R68" s="321">
        <f t="shared" si="16"/>
        <v>54409</v>
      </c>
      <c r="S68" s="321">
        <f t="shared" si="16"/>
        <v>33797</v>
      </c>
      <c r="T68" s="321">
        <f t="shared" si="16"/>
        <v>33797</v>
      </c>
      <c r="U68" s="321">
        <f t="shared" si="16"/>
        <v>51589</v>
      </c>
    </row>
    <row r="69" spans="1:22" x14ac:dyDescent="0.3">
      <c r="B69" s="357" t="s">
        <v>38</v>
      </c>
      <c r="C69" s="357"/>
      <c r="D69" s="357"/>
      <c r="E69" s="357"/>
      <c r="F69" s="357"/>
      <c r="G69" s="372">
        <f>G34</f>
        <v>-200</v>
      </c>
      <c r="H69" s="372">
        <f t="shared" ref="H69:U69" si="17">H34</f>
        <v>-200</v>
      </c>
      <c r="I69" s="372">
        <f t="shared" si="17"/>
        <v>-200</v>
      </c>
      <c r="J69" s="372">
        <f t="shared" si="17"/>
        <v>-200</v>
      </c>
      <c r="K69" s="372">
        <f t="shared" si="17"/>
        <v>-200</v>
      </c>
      <c r="L69" s="372">
        <f t="shared" si="17"/>
        <v>-200</v>
      </c>
      <c r="M69" s="372">
        <f t="shared" si="17"/>
        <v>-200</v>
      </c>
      <c r="N69" s="372">
        <f t="shared" si="17"/>
        <v>-200</v>
      </c>
      <c r="O69" s="372">
        <f t="shared" si="17"/>
        <v>-200</v>
      </c>
      <c r="P69" s="372">
        <f t="shared" si="17"/>
        <v>-200</v>
      </c>
      <c r="Q69" s="372">
        <f t="shared" si="17"/>
        <v>-200</v>
      </c>
      <c r="R69" s="372">
        <f t="shared" si="17"/>
        <v>-200</v>
      </c>
      <c r="S69" s="372">
        <f t="shared" si="17"/>
        <v>-200</v>
      </c>
      <c r="T69" s="372">
        <f t="shared" si="17"/>
        <v>-200</v>
      </c>
      <c r="U69" s="372">
        <f t="shared" si="17"/>
        <v>-200</v>
      </c>
    </row>
    <row r="70" spans="1:22" x14ac:dyDescent="0.3">
      <c r="B70" s="357" t="s">
        <v>163</v>
      </c>
      <c r="C70" s="357"/>
      <c r="D70" s="357"/>
      <c r="E70" s="357"/>
      <c r="F70" s="357"/>
      <c r="G70" s="321">
        <f t="shared" ref="G70:J70" si="18">SUM(G66:G69)</f>
        <v>27547</v>
      </c>
      <c r="H70" s="321">
        <f t="shared" si="18"/>
        <v>27547</v>
      </c>
      <c r="I70" s="321">
        <f t="shared" si="18"/>
        <v>45339</v>
      </c>
      <c r="J70" s="321">
        <f t="shared" si="18"/>
        <v>49023</v>
      </c>
      <c r="K70" s="321">
        <f t="shared" ref="K70:R70" si="19">SUM(K66:K69)</f>
        <v>50070</v>
      </c>
      <c r="L70" s="321">
        <f t="shared" si="19"/>
        <v>52038</v>
      </c>
      <c r="M70" s="321">
        <f t="shared" si="19"/>
        <v>59221</v>
      </c>
      <c r="N70" s="321">
        <f t="shared" si="19"/>
        <v>59190</v>
      </c>
      <c r="O70" s="321">
        <f t="shared" si="19"/>
        <v>58202</v>
      </c>
      <c r="P70" s="321">
        <f t="shared" si="19"/>
        <v>50636</v>
      </c>
      <c r="Q70" s="321">
        <f t="shared" si="19"/>
        <v>50539</v>
      </c>
      <c r="R70" s="321">
        <f t="shared" si="19"/>
        <v>50909</v>
      </c>
      <c r="S70" s="321">
        <f t="shared" ref="S70:U70" si="20">SUM(S66:S69)</f>
        <v>30297</v>
      </c>
      <c r="T70" s="321">
        <f t="shared" si="20"/>
        <v>30297</v>
      </c>
      <c r="U70" s="321">
        <f t="shared" si="20"/>
        <v>48089</v>
      </c>
    </row>
    <row r="71" spans="1:22" x14ac:dyDescent="0.3">
      <c r="B71" s="357" t="s">
        <v>146</v>
      </c>
      <c r="C71" s="357"/>
      <c r="D71" s="357"/>
      <c r="E71" s="357"/>
      <c r="F71" s="357"/>
      <c r="G71" s="372">
        <f>'IS 2024'!F72</f>
        <v>-11040</v>
      </c>
      <c r="H71" s="372">
        <f>'IS 2024'!G72</f>
        <v>-10710</v>
      </c>
      <c r="I71" s="372">
        <f>'IS 2024'!H72</f>
        <v>-10380</v>
      </c>
      <c r="J71" s="372">
        <f>'IS 2024'!I72</f>
        <v>-10050</v>
      </c>
      <c r="K71" s="372">
        <f>'IS 2024'!J72</f>
        <v>-9720</v>
      </c>
      <c r="L71" s="372">
        <f>'IS 2024'!K72</f>
        <v>-9390</v>
      </c>
      <c r="M71" s="372">
        <f>'IS 2024'!L72</f>
        <v>-9060</v>
      </c>
      <c r="N71" s="372">
        <f>'IS 2024'!M72</f>
        <v>-8730</v>
      </c>
      <c r="O71" s="372">
        <f>'IS 2024'!N72</f>
        <v>-8400</v>
      </c>
      <c r="P71" s="372">
        <f>'IS 2024'!O72</f>
        <v>-8070</v>
      </c>
      <c r="Q71" s="372">
        <f>'IS 2024'!P72</f>
        <v>-7740</v>
      </c>
      <c r="R71" s="372">
        <f>'IS 2024'!Q72</f>
        <v>-7410</v>
      </c>
      <c r="S71" s="321">
        <f>'IS 2024'!R72</f>
        <v>-7080</v>
      </c>
      <c r="T71" s="321">
        <f>'IS 2024'!S72</f>
        <v>-6750</v>
      </c>
      <c r="U71" s="321">
        <f>'IS 2024'!T72</f>
        <v>0</v>
      </c>
    </row>
    <row r="72" spans="1:22" x14ac:dyDescent="0.3">
      <c r="B72" s="390" t="s">
        <v>147</v>
      </c>
      <c r="C72" s="390"/>
      <c r="D72" s="390"/>
      <c r="E72" s="390"/>
      <c r="F72" s="390"/>
      <c r="G72" s="391">
        <f>'IS 2024'!F74</f>
        <v>-3694</v>
      </c>
      <c r="H72" s="391">
        <f>'IS 2024'!G74</f>
        <v>-3694</v>
      </c>
      <c r="I72" s="391">
        <f>'IS 2024'!H74</f>
        <v>-7252.4000000000005</v>
      </c>
      <c r="J72" s="391">
        <f>'IS 2024'!I74</f>
        <v>-7989.2000000000007</v>
      </c>
      <c r="K72" s="391">
        <f>'IS 2024'!J74</f>
        <v>-8198.6</v>
      </c>
      <c r="L72" s="391">
        <f>'IS 2024'!K74</f>
        <v>-8592.2000000000007</v>
      </c>
      <c r="M72" s="391">
        <f>'IS 2024'!L74</f>
        <v>-10028.800000000001</v>
      </c>
      <c r="N72" s="391">
        <f>'IS 2024'!M74</f>
        <v>-10022.6</v>
      </c>
      <c r="O72" s="391">
        <f>'IS 2024'!N74</f>
        <v>-9825</v>
      </c>
      <c r="P72" s="391">
        <f>'IS 2024'!O74</f>
        <v>-8311.8000000000011</v>
      </c>
      <c r="Q72" s="391">
        <f>'IS 2024'!P74</f>
        <v>-8292.4</v>
      </c>
      <c r="R72" s="391">
        <f>'IS 2024'!Q74</f>
        <v>-8366.4</v>
      </c>
      <c r="S72" s="391">
        <f>'IS 2024'!R74</f>
        <v>-4244</v>
      </c>
      <c r="T72" s="391">
        <f>'IS 2024'!S74</f>
        <v>-4244</v>
      </c>
      <c r="U72" s="391">
        <f>'IS 2024'!T74</f>
        <v>-7802.4000000000005</v>
      </c>
    </row>
    <row r="73" spans="1:22" x14ac:dyDescent="0.3">
      <c r="B73" s="357" t="s">
        <v>161</v>
      </c>
      <c r="C73" s="357"/>
      <c r="D73" s="357"/>
      <c r="E73" s="357"/>
      <c r="F73" s="357"/>
      <c r="G73" s="321">
        <f t="shared" ref="G73:J73" si="21">SUM(G70:G72)</f>
        <v>12813</v>
      </c>
      <c r="H73" s="321">
        <f t="shared" si="21"/>
        <v>13143</v>
      </c>
      <c r="I73" s="321">
        <f t="shared" si="21"/>
        <v>27706.6</v>
      </c>
      <c r="J73" s="321">
        <f t="shared" si="21"/>
        <v>30983.8</v>
      </c>
      <c r="K73" s="321">
        <f t="shared" ref="K73:R73" si="22">SUM(K70:K72)</f>
        <v>32151.4</v>
      </c>
      <c r="L73" s="321">
        <f t="shared" si="22"/>
        <v>34055.800000000003</v>
      </c>
      <c r="M73" s="321">
        <f t="shared" si="22"/>
        <v>40132.199999999997</v>
      </c>
      <c r="N73" s="321">
        <f t="shared" si="22"/>
        <v>40437.4</v>
      </c>
      <c r="O73" s="321">
        <f t="shared" si="22"/>
        <v>39977</v>
      </c>
      <c r="P73" s="321">
        <f t="shared" si="22"/>
        <v>34254.199999999997</v>
      </c>
      <c r="Q73" s="321">
        <f t="shared" si="22"/>
        <v>34506.6</v>
      </c>
      <c r="R73" s="321">
        <f t="shared" si="22"/>
        <v>35132.6</v>
      </c>
      <c r="S73" s="321">
        <f t="shared" ref="S73:U73" si="23">SUM(S70:S72)</f>
        <v>18973</v>
      </c>
      <c r="T73" s="321">
        <f t="shared" si="23"/>
        <v>19303</v>
      </c>
      <c r="U73" s="321">
        <f t="shared" si="23"/>
        <v>40286.6</v>
      </c>
    </row>
    <row r="74" spans="1:22" x14ac:dyDescent="0.3">
      <c r="B74" s="9"/>
      <c r="C74" s="9"/>
      <c r="D74" s="9"/>
      <c r="E74" s="9"/>
      <c r="F74" s="9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 spans="1:22" x14ac:dyDescent="0.3">
      <c r="A75" s="147"/>
      <c r="B75" s="173" t="s">
        <v>164</v>
      </c>
      <c r="C75" s="147"/>
      <c r="D75" s="147"/>
      <c r="E75" s="147"/>
      <c r="F75" s="147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147"/>
      <c r="T75" s="147"/>
      <c r="U75" s="147"/>
      <c r="V75" s="147"/>
    </row>
    <row r="76" spans="1:22" x14ac:dyDescent="0.3">
      <c r="B76" s="340" t="s">
        <v>165</v>
      </c>
      <c r="C76" s="340"/>
      <c r="D76" s="340"/>
      <c r="E76" s="340"/>
      <c r="F76" s="340"/>
      <c r="G76" s="369">
        <f>SUM(G41+G46)</f>
        <v>-2847</v>
      </c>
      <c r="H76" s="369">
        <f t="shared" ref="H76:I76" si="24">SUM(H41+H46)</f>
        <v>-2187</v>
      </c>
      <c r="I76" s="351">
        <f t="shared" si="24"/>
        <v>12706.599999999999</v>
      </c>
      <c r="J76" s="351">
        <f>SUM(J41+J46)</f>
        <v>16313.800000000003</v>
      </c>
      <c r="K76" s="351">
        <f t="shared" ref="K76:R76" si="25">SUM(K41+K46)</f>
        <v>17811.400000000001</v>
      </c>
      <c r="L76" s="351">
        <f t="shared" si="25"/>
        <v>19885.800000000003</v>
      </c>
      <c r="M76" s="351">
        <f t="shared" si="25"/>
        <v>26452.199999999997</v>
      </c>
      <c r="N76" s="351">
        <f t="shared" si="25"/>
        <v>27087.4</v>
      </c>
      <c r="O76" s="351">
        <f t="shared" si="25"/>
        <v>26957</v>
      </c>
      <c r="P76" s="351">
        <f t="shared" si="25"/>
        <v>21564.199999999997</v>
      </c>
      <c r="Q76" s="351">
        <f t="shared" si="25"/>
        <v>22146.6</v>
      </c>
      <c r="R76" s="351">
        <f t="shared" si="25"/>
        <v>23102.6</v>
      </c>
      <c r="S76" s="351">
        <f t="shared" ref="S76:U76" si="26">SUM(S41+S46)</f>
        <v>7823</v>
      </c>
      <c r="T76" s="351">
        <f t="shared" si="26"/>
        <v>8483</v>
      </c>
      <c r="U76" s="351">
        <f t="shared" si="26"/>
        <v>23376.6</v>
      </c>
      <c r="V76" s="209">
        <f>SUM(G76:R76)</f>
        <v>208993.60000000003</v>
      </c>
    </row>
    <row r="77" spans="1:22" x14ac:dyDescent="0.3">
      <c r="B77" s="340" t="s">
        <v>166</v>
      </c>
      <c r="C77" s="340"/>
      <c r="D77" s="340"/>
      <c r="E77" s="340"/>
      <c r="F77" s="340"/>
      <c r="G77" s="351">
        <f t="shared" ref="G77:J77" si="27">G73</f>
        <v>12813</v>
      </c>
      <c r="H77" s="351">
        <f t="shared" si="27"/>
        <v>13143</v>
      </c>
      <c r="I77" s="351">
        <f t="shared" si="27"/>
        <v>27706.6</v>
      </c>
      <c r="J77" s="351">
        <f t="shared" si="27"/>
        <v>30983.8</v>
      </c>
      <c r="K77" s="351">
        <f t="shared" ref="K77:R77" si="28">K73</f>
        <v>32151.4</v>
      </c>
      <c r="L77" s="351">
        <f t="shared" si="28"/>
        <v>34055.800000000003</v>
      </c>
      <c r="M77" s="351">
        <f>M73</f>
        <v>40132.199999999997</v>
      </c>
      <c r="N77" s="351">
        <f t="shared" si="28"/>
        <v>40437.4</v>
      </c>
      <c r="O77" s="351">
        <f t="shared" si="28"/>
        <v>39977</v>
      </c>
      <c r="P77" s="351">
        <f t="shared" si="28"/>
        <v>34254.199999999997</v>
      </c>
      <c r="Q77" s="351">
        <f t="shared" si="28"/>
        <v>34506.6</v>
      </c>
      <c r="R77" s="351">
        <f t="shared" si="28"/>
        <v>35132.6</v>
      </c>
      <c r="S77" s="351">
        <f t="shared" ref="S77:U77" si="29">S73</f>
        <v>18973</v>
      </c>
      <c r="T77" s="351">
        <f t="shared" si="29"/>
        <v>19303</v>
      </c>
      <c r="U77" s="351">
        <f t="shared" si="29"/>
        <v>40286.6</v>
      </c>
      <c r="V77" s="209">
        <f>SUM(G77:R77)</f>
        <v>375293.59999999992</v>
      </c>
    </row>
    <row r="78" spans="1:22" x14ac:dyDescent="0.3">
      <c r="B78" s="340" t="s">
        <v>167</v>
      </c>
      <c r="C78" s="340"/>
      <c r="D78" s="340"/>
      <c r="E78" s="340"/>
      <c r="F78" s="340"/>
      <c r="G78" s="351">
        <f t="shared" ref="G78:J78" si="30">G73</f>
        <v>12813</v>
      </c>
      <c r="H78" s="351">
        <f t="shared" si="30"/>
        <v>13143</v>
      </c>
      <c r="I78" s="351">
        <f t="shared" si="30"/>
        <v>27706.6</v>
      </c>
      <c r="J78" s="351">
        <f t="shared" si="30"/>
        <v>30983.8</v>
      </c>
      <c r="K78" s="351">
        <f t="shared" ref="K78:R78" si="31">K73</f>
        <v>32151.4</v>
      </c>
      <c r="L78" s="351">
        <f t="shared" si="31"/>
        <v>34055.800000000003</v>
      </c>
      <c r="M78" s="351">
        <f t="shared" si="31"/>
        <v>40132.199999999997</v>
      </c>
      <c r="N78" s="351">
        <f t="shared" si="31"/>
        <v>40437.4</v>
      </c>
      <c r="O78" s="351">
        <f t="shared" si="31"/>
        <v>39977</v>
      </c>
      <c r="P78" s="351">
        <f t="shared" si="31"/>
        <v>34254.199999999997</v>
      </c>
      <c r="Q78" s="351">
        <f t="shared" si="31"/>
        <v>34506.6</v>
      </c>
      <c r="R78" s="351">
        <f t="shared" si="31"/>
        <v>35132.6</v>
      </c>
      <c r="S78" s="351">
        <f t="shared" ref="S78:T78" si="32">S73</f>
        <v>18973</v>
      </c>
      <c r="T78" s="351">
        <f t="shared" si="32"/>
        <v>19303</v>
      </c>
      <c r="U78" s="351">
        <f>U73</f>
        <v>40286.6</v>
      </c>
    </row>
    <row r="79" spans="1:22" x14ac:dyDescent="0.3">
      <c r="B79" s="340" t="s">
        <v>159</v>
      </c>
      <c r="C79" s="340"/>
      <c r="D79" s="340"/>
      <c r="E79" s="340"/>
      <c r="F79" s="340"/>
      <c r="G79" s="364"/>
      <c r="H79" s="364"/>
      <c r="I79" s="364"/>
      <c r="J79" s="364"/>
      <c r="K79" s="364"/>
      <c r="L79" s="364"/>
      <c r="M79" s="364"/>
      <c r="N79" s="364"/>
      <c r="O79" s="364"/>
      <c r="P79" s="364"/>
      <c r="Q79" s="364"/>
      <c r="R79" s="364"/>
      <c r="S79" s="364"/>
      <c r="T79" s="364"/>
      <c r="U79" s="364"/>
    </row>
    <row r="80" spans="1:22" x14ac:dyDescent="0.3">
      <c r="B80" s="340" t="s">
        <v>161</v>
      </c>
      <c r="C80" s="340"/>
      <c r="D80" s="340"/>
      <c r="E80" s="340"/>
      <c r="F80" s="340"/>
      <c r="G80" s="351">
        <f t="shared" ref="G80:J80" si="33">G73</f>
        <v>12813</v>
      </c>
      <c r="H80" s="351">
        <f t="shared" si="33"/>
        <v>13143</v>
      </c>
      <c r="I80" s="351">
        <f t="shared" si="33"/>
        <v>27706.6</v>
      </c>
      <c r="J80" s="351">
        <f t="shared" si="33"/>
        <v>30983.8</v>
      </c>
      <c r="K80" s="351">
        <f t="shared" ref="K80:R80" si="34">K73</f>
        <v>32151.4</v>
      </c>
      <c r="L80" s="351">
        <f t="shared" si="34"/>
        <v>34055.800000000003</v>
      </c>
      <c r="M80" s="351">
        <f t="shared" si="34"/>
        <v>40132.199999999997</v>
      </c>
      <c r="N80" s="351">
        <f t="shared" si="34"/>
        <v>40437.4</v>
      </c>
      <c r="O80" s="351">
        <f t="shared" si="34"/>
        <v>39977</v>
      </c>
      <c r="P80" s="351">
        <f t="shared" si="34"/>
        <v>34254.199999999997</v>
      </c>
      <c r="Q80" s="351">
        <f t="shared" si="34"/>
        <v>34506.6</v>
      </c>
      <c r="R80" s="351">
        <f t="shared" si="34"/>
        <v>35132.6</v>
      </c>
      <c r="S80" s="351">
        <f t="shared" ref="S80:U80" si="35">S73</f>
        <v>18973</v>
      </c>
      <c r="T80" s="351">
        <f t="shared" si="35"/>
        <v>19303</v>
      </c>
      <c r="U80" s="351">
        <f t="shared" si="35"/>
        <v>40286.6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76CFE-DF58-4E8A-A729-491A1CD01159}">
  <sheetPr codeName="Sheet29"/>
  <dimension ref="A1:Y1110"/>
  <sheetViews>
    <sheetView showGridLines="0" topLeftCell="A13" workbookViewId="0">
      <selection activeCell="Q31" sqref="Q31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33203125" style="125" customWidth="1"/>
    <col min="7" max="8" width="9.5546875" bestFit="1" customWidth="1"/>
    <col min="9" max="9" width="10.33203125" customWidth="1"/>
    <col min="10" max="10" width="9.6640625" customWidth="1"/>
    <col min="11" max="11" width="10" customWidth="1"/>
    <col min="12" max="12" width="10.109375" customWidth="1"/>
    <col min="13" max="13" width="9.88671875" customWidth="1"/>
    <col min="14" max="14" width="10" customWidth="1"/>
    <col min="15" max="16" width="9.77734375" customWidth="1"/>
    <col min="17" max="17" width="9.88671875" customWidth="1"/>
    <col min="18" max="18" width="9.88671875" bestFit="1" customWidth="1"/>
    <col min="19" max="19" width="10" customWidth="1"/>
    <col min="20" max="20" width="9.88671875" customWidth="1"/>
    <col min="21" max="21" width="11.1093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169</v>
      </c>
      <c r="F2"/>
    </row>
    <row r="3" spans="1:25" x14ac:dyDescent="0.3">
      <c r="B3" t="s">
        <v>140</v>
      </c>
      <c r="F3"/>
    </row>
    <row r="4" spans="1:25" x14ac:dyDescent="0.3">
      <c r="F4"/>
    </row>
    <row r="5" spans="1:25" x14ac:dyDescent="0.3">
      <c r="A5" s="147"/>
      <c r="B5" s="173" t="s">
        <v>170</v>
      </c>
      <c r="C5" s="147"/>
      <c r="D5" s="147"/>
      <c r="E5" s="147"/>
      <c r="F5" s="196">
        <v>2024</v>
      </c>
      <c r="G5" s="196">
        <v>2024</v>
      </c>
      <c r="H5" s="196">
        <v>2024</v>
      </c>
      <c r="I5" s="196">
        <v>2024</v>
      </c>
      <c r="J5" s="196">
        <v>2024</v>
      </c>
      <c r="K5" s="196">
        <v>2024</v>
      </c>
      <c r="L5" s="196">
        <v>2024</v>
      </c>
      <c r="M5" s="196">
        <v>2024</v>
      </c>
      <c r="N5" s="196">
        <v>2024</v>
      </c>
      <c r="O5" s="196">
        <v>2024</v>
      </c>
      <c r="P5" s="196">
        <v>2024</v>
      </c>
      <c r="Q5" s="196">
        <v>2024</v>
      </c>
      <c r="R5" s="196">
        <v>2025</v>
      </c>
      <c r="S5" s="196">
        <v>2025</v>
      </c>
      <c r="T5" s="196">
        <v>2025</v>
      </c>
      <c r="U5" s="147"/>
    </row>
    <row r="6" spans="1:25" ht="15" thickBot="1" x14ac:dyDescent="0.35">
      <c r="A6" s="158"/>
      <c r="B6" s="159" t="s">
        <v>64</v>
      </c>
      <c r="C6" s="148"/>
      <c r="D6" s="148"/>
      <c r="E6" s="148"/>
      <c r="F6" s="195" t="s">
        <v>25</v>
      </c>
      <c r="G6" s="195" t="s">
        <v>26</v>
      </c>
      <c r="H6" s="195" t="s">
        <v>27</v>
      </c>
      <c r="I6" s="195" t="s">
        <v>28</v>
      </c>
      <c r="J6" s="195" t="s">
        <v>29</v>
      </c>
      <c r="K6" s="195" t="s">
        <v>30</v>
      </c>
      <c r="L6" s="195" t="s">
        <v>31</v>
      </c>
      <c r="M6" s="195" t="s">
        <v>32</v>
      </c>
      <c r="N6" s="195" t="s">
        <v>33</v>
      </c>
      <c r="O6" s="195" t="s">
        <v>34</v>
      </c>
      <c r="P6" s="195" t="s">
        <v>35</v>
      </c>
      <c r="Q6" s="195" t="s">
        <v>36</v>
      </c>
      <c r="R6" s="195" t="s">
        <v>25</v>
      </c>
      <c r="S6" s="195" t="s">
        <v>26</v>
      </c>
      <c r="T6" s="195" t="s">
        <v>27</v>
      </c>
      <c r="U6" s="192" t="s">
        <v>72</v>
      </c>
    </row>
    <row r="7" spans="1:25" s="124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68" t="s">
        <v>169</v>
      </c>
      <c r="F8"/>
    </row>
    <row r="9" spans="1:25" x14ac:dyDescent="0.3">
      <c r="C9" s="169"/>
      <c r="F9"/>
    </row>
    <row r="10" spans="1:25" x14ac:dyDescent="0.3">
      <c r="C10" s="168" t="s">
        <v>48</v>
      </c>
      <c r="F10"/>
      <c r="G10" s="170"/>
      <c r="H10" s="170"/>
      <c r="I10" s="170"/>
      <c r="J10" s="170"/>
      <c r="K10" s="170"/>
      <c r="L10" s="169"/>
      <c r="M10" s="170"/>
      <c r="N10" s="170"/>
      <c r="O10" s="170"/>
      <c r="P10" s="170"/>
      <c r="Q10" s="170"/>
      <c r="R10" s="170"/>
      <c r="S10" s="170"/>
      <c r="T10" s="170"/>
      <c r="V10" s="1"/>
    </row>
    <row r="11" spans="1:25" x14ac:dyDescent="0.3">
      <c r="C11" s="169" t="s">
        <v>172</v>
      </c>
      <c r="F11" s="170">
        <f>'BS 2023'!Q14+'CF 2024'!G73</f>
        <v>32615.599999999999</v>
      </c>
      <c r="G11" s="170">
        <f>F14+'CF 2024'!H73</f>
        <v>45758.6</v>
      </c>
      <c r="H11" s="170">
        <f>G14+'CF 2024'!I73</f>
        <v>73465.2</v>
      </c>
      <c r="I11" s="170">
        <f>H14+'CF 2024'!J73</f>
        <v>104449</v>
      </c>
      <c r="J11" s="170">
        <f>I14+'CF 2024'!K73</f>
        <v>136600.4</v>
      </c>
      <c r="K11" s="170">
        <f>J14+'CF 2024'!L73</f>
        <v>170656.2</v>
      </c>
      <c r="L11" s="170">
        <f>K14+'CF 2024'!M73</f>
        <v>210788.40000000002</v>
      </c>
      <c r="M11" s="170">
        <f>L14+'CF 2024'!N73</f>
        <v>251225.80000000002</v>
      </c>
      <c r="N11" s="170">
        <f>M14+'CF 2024'!O73</f>
        <v>291202.80000000005</v>
      </c>
      <c r="O11" s="170">
        <f>N14+'CF 2024'!P73</f>
        <v>325457.00000000006</v>
      </c>
      <c r="P11" s="170">
        <f>O14+'CF 2024'!Q73</f>
        <v>359963.60000000003</v>
      </c>
      <c r="Q11" s="170">
        <f>P14+'CF 2024'!R73</f>
        <v>395096.2</v>
      </c>
      <c r="R11" s="170">
        <f>'BS 2025'!F11</f>
        <v>416003.60000000003</v>
      </c>
      <c r="S11" s="170">
        <f>'BS 2025'!G11</f>
        <v>437076.00000000006</v>
      </c>
      <c r="T11" s="170">
        <f>'BS 2025'!H11</f>
        <v>472547.00000000006</v>
      </c>
      <c r="V11" s="1"/>
    </row>
    <row r="12" spans="1:25" x14ac:dyDescent="0.3">
      <c r="C12" s="169" t="s">
        <v>173</v>
      </c>
      <c r="F12" s="170"/>
      <c r="G12" s="169"/>
      <c r="H12" s="169"/>
      <c r="I12" s="169" t="s">
        <v>190</v>
      </c>
      <c r="J12" s="169"/>
      <c r="K12" s="169" t="s">
        <v>190</v>
      </c>
      <c r="L12" s="169"/>
      <c r="M12" s="169"/>
      <c r="N12" s="169"/>
      <c r="O12" s="169"/>
      <c r="P12" s="169"/>
      <c r="Q12" s="169"/>
      <c r="R12" s="169"/>
      <c r="S12" s="169" t="s">
        <v>190</v>
      </c>
      <c r="T12" s="169" t="s">
        <v>190</v>
      </c>
      <c r="V12" s="1"/>
    </row>
    <row r="13" spans="1:25" x14ac:dyDescent="0.3">
      <c r="C13" s="169" t="s">
        <v>174</v>
      </c>
      <c r="F13"/>
      <c r="I13" s="170"/>
      <c r="K13" s="170"/>
      <c r="S13" s="170"/>
      <c r="T13" s="170"/>
      <c r="V13" s="1"/>
    </row>
    <row r="14" spans="1:25" x14ac:dyDescent="0.3">
      <c r="C14" s="169" t="s">
        <v>175</v>
      </c>
      <c r="F14" s="170">
        <f>SUM(F11:F13)</f>
        <v>32615.599999999999</v>
      </c>
      <c r="G14" s="170">
        <f t="shared" ref="G14:Q14" si="0">SUM(G11:G13)</f>
        <v>45758.6</v>
      </c>
      <c r="H14" s="170">
        <f t="shared" si="0"/>
        <v>73465.2</v>
      </c>
      <c r="I14" s="170">
        <f t="shared" si="0"/>
        <v>104449</v>
      </c>
      <c r="J14" s="170">
        <f t="shared" si="0"/>
        <v>136600.4</v>
      </c>
      <c r="K14" s="170">
        <f t="shared" si="0"/>
        <v>170656.2</v>
      </c>
      <c r="L14" s="170">
        <f t="shared" si="0"/>
        <v>210788.40000000002</v>
      </c>
      <c r="M14" s="170">
        <f t="shared" si="0"/>
        <v>251225.80000000002</v>
      </c>
      <c r="N14" s="170">
        <f t="shared" si="0"/>
        <v>291202.80000000005</v>
      </c>
      <c r="O14" s="170">
        <f t="shared" si="0"/>
        <v>325457.00000000006</v>
      </c>
      <c r="P14" s="170">
        <f t="shared" si="0"/>
        <v>359963.60000000003</v>
      </c>
      <c r="Q14" s="170">
        <f t="shared" si="0"/>
        <v>395096.2</v>
      </c>
      <c r="R14" s="170">
        <f t="shared" ref="R14" si="1">SUM(R11:R13)</f>
        <v>416003.60000000003</v>
      </c>
      <c r="S14" s="170">
        <f t="shared" ref="S14" si="2">SUM(S11:S13)</f>
        <v>437076.00000000006</v>
      </c>
      <c r="T14" s="170">
        <f t="shared" ref="T14" si="3">SUM(T11:T13)</f>
        <v>472547.00000000006</v>
      </c>
      <c r="U14" s="1">
        <f>SUM(F14:Q14)</f>
        <v>2397278.8000000003</v>
      </c>
      <c r="V14" s="1"/>
    </row>
    <row r="15" spans="1:25" x14ac:dyDescent="0.3">
      <c r="C15" s="168" t="s">
        <v>49</v>
      </c>
      <c r="F15"/>
      <c r="G15" s="169"/>
      <c r="H15" s="169"/>
      <c r="I15" s="169"/>
      <c r="J15" s="172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V15" s="1"/>
    </row>
    <row r="16" spans="1:25" x14ac:dyDescent="0.3">
      <c r="C16" s="171" t="s">
        <v>176</v>
      </c>
      <c r="F16" s="170">
        <f>'BS 2023'!Q16-'IS 2024'!F70</f>
        <v>171982</v>
      </c>
      <c r="G16" s="170">
        <f>F16-'IS 2024'!G70</f>
        <v>173432</v>
      </c>
      <c r="H16" s="170">
        <f>G16-'IS 2024'!H70</f>
        <v>174882</v>
      </c>
      <c r="I16" s="170">
        <f>H16-'IS 2024'!I70</f>
        <v>176332</v>
      </c>
      <c r="J16" s="170">
        <f>I16-'IS 2024'!J70</f>
        <v>177782</v>
      </c>
      <c r="K16" s="170">
        <f>J16-'IS 2024'!K70</f>
        <v>179232</v>
      </c>
      <c r="L16" s="170">
        <f>K16-'IS 2024'!L70</f>
        <v>180682</v>
      </c>
      <c r="M16" s="170">
        <f>L16-'IS 2024'!M70</f>
        <v>182132</v>
      </c>
      <c r="N16" s="170">
        <f>M16-'IS 2024'!N70</f>
        <v>183582</v>
      </c>
      <c r="O16" s="170">
        <f>N16-'IS 2024'!O70</f>
        <v>185032</v>
      </c>
      <c r="P16" s="170">
        <f>O16-'IS 2024'!P70</f>
        <v>186482</v>
      </c>
      <c r="Q16" s="170">
        <f>P16-'IS 2024'!Q70</f>
        <v>188332</v>
      </c>
      <c r="R16" s="170">
        <f>Q16-'IS 2025'!F77</f>
        <v>190182</v>
      </c>
      <c r="S16" s="177">
        <f>R16-'IS 2024'!G70</f>
        <v>191632</v>
      </c>
      <c r="T16" s="177">
        <f>S16-'IS 2024'!H70</f>
        <v>193082</v>
      </c>
      <c r="V16" s="1"/>
    </row>
    <row r="17" spans="1:22" x14ac:dyDescent="0.3">
      <c r="C17" s="171" t="s">
        <v>177</v>
      </c>
      <c r="F17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V17" s="1"/>
    </row>
    <row r="18" spans="1:22" x14ac:dyDescent="0.3">
      <c r="C18" s="171" t="s">
        <v>178</v>
      </c>
      <c r="F18" s="177">
        <f>SUM(F16:F17)</f>
        <v>171982</v>
      </c>
      <c r="G18" s="177">
        <f t="shared" ref="G18:T18" si="4">SUM(G16:G17)</f>
        <v>173432</v>
      </c>
      <c r="H18" s="177">
        <f t="shared" si="4"/>
        <v>174882</v>
      </c>
      <c r="I18" s="177">
        <f t="shared" si="4"/>
        <v>176332</v>
      </c>
      <c r="J18" s="177">
        <f t="shared" si="4"/>
        <v>177782</v>
      </c>
      <c r="K18" s="177">
        <f t="shared" si="4"/>
        <v>179232</v>
      </c>
      <c r="L18" s="177">
        <f t="shared" si="4"/>
        <v>180682</v>
      </c>
      <c r="M18" s="177">
        <f t="shared" si="4"/>
        <v>182132</v>
      </c>
      <c r="N18" s="177">
        <f t="shared" si="4"/>
        <v>183582</v>
      </c>
      <c r="O18" s="177">
        <f t="shared" si="4"/>
        <v>185032</v>
      </c>
      <c r="P18" s="177">
        <f t="shared" si="4"/>
        <v>186482</v>
      </c>
      <c r="Q18" s="177">
        <f t="shared" si="4"/>
        <v>188332</v>
      </c>
      <c r="R18" s="177">
        <f t="shared" si="4"/>
        <v>190182</v>
      </c>
      <c r="S18" s="177">
        <f t="shared" si="4"/>
        <v>191632</v>
      </c>
      <c r="T18" s="177">
        <f t="shared" si="4"/>
        <v>193082</v>
      </c>
      <c r="V18" s="1"/>
    </row>
    <row r="19" spans="1:22" x14ac:dyDescent="0.3">
      <c r="C19" s="171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V19" s="1"/>
    </row>
    <row r="20" spans="1:22" x14ac:dyDescent="0.3">
      <c r="A20" s="142"/>
      <c r="B20" s="147"/>
      <c r="C20" s="180" t="s">
        <v>179</v>
      </c>
      <c r="D20" s="147"/>
      <c r="E20" s="147"/>
      <c r="F20" s="181">
        <f t="shared" ref="F20:T20" si="5">SUM(F17:F18)</f>
        <v>171982</v>
      </c>
      <c r="G20" s="181">
        <f t="shared" si="5"/>
        <v>173432</v>
      </c>
      <c r="H20" s="181">
        <f t="shared" si="5"/>
        <v>174882</v>
      </c>
      <c r="I20" s="181">
        <f t="shared" si="5"/>
        <v>176332</v>
      </c>
      <c r="J20" s="181">
        <f t="shared" si="5"/>
        <v>177782</v>
      </c>
      <c r="K20" s="181">
        <f t="shared" si="5"/>
        <v>179232</v>
      </c>
      <c r="L20" s="181">
        <f t="shared" si="5"/>
        <v>180682</v>
      </c>
      <c r="M20" s="181">
        <f t="shared" si="5"/>
        <v>182132</v>
      </c>
      <c r="N20" s="181">
        <f t="shared" si="5"/>
        <v>183582</v>
      </c>
      <c r="O20" s="181">
        <f t="shared" si="5"/>
        <v>185032</v>
      </c>
      <c r="P20" s="181">
        <f t="shared" si="5"/>
        <v>186482</v>
      </c>
      <c r="Q20" s="181">
        <f t="shared" si="5"/>
        <v>188332</v>
      </c>
      <c r="R20" s="181">
        <f t="shared" si="5"/>
        <v>190182</v>
      </c>
      <c r="S20" s="181">
        <f t="shared" si="5"/>
        <v>191632</v>
      </c>
      <c r="T20" s="181">
        <f t="shared" si="5"/>
        <v>193082</v>
      </c>
      <c r="U20" s="154">
        <f>SUM(F20:Q20)</f>
        <v>2159884</v>
      </c>
      <c r="V20" s="1"/>
    </row>
    <row r="21" spans="1:22" x14ac:dyDescent="0.3">
      <c r="A21" s="158"/>
      <c r="B21" s="148"/>
      <c r="C21" s="182" t="s">
        <v>50</v>
      </c>
      <c r="D21" s="148"/>
      <c r="E21" s="148"/>
      <c r="F21" s="183">
        <f>F14+F20</f>
        <v>204597.6</v>
      </c>
      <c r="G21" s="183">
        <f>G14+G20</f>
        <v>219190.6</v>
      </c>
      <c r="H21" s="183">
        <f t="shared" ref="H21:T21" si="6">H14+H20</f>
        <v>248347.2</v>
      </c>
      <c r="I21" s="183">
        <f t="shared" si="6"/>
        <v>280781</v>
      </c>
      <c r="J21" s="183">
        <f t="shared" si="6"/>
        <v>314382.40000000002</v>
      </c>
      <c r="K21" s="183">
        <f t="shared" si="6"/>
        <v>349888.2</v>
      </c>
      <c r="L21" s="183">
        <f t="shared" si="6"/>
        <v>391470.4</v>
      </c>
      <c r="M21" s="183">
        <f t="shared" si="6"/>
        <v>433357.80000000005</v>
      </c>
      <c r="N21" s="183">
        <f t="shared" si="6"/>
        <v>474784.80000000005</v>
      </c>
      <c r="O21" s="183">
        <f t="shared" si="6"/>
        <v>510489.00000000006</v>
      </c>
      <c r="P21" s="183">
        <f t="shared" si="6"/>
        <v>546445.60000000009</v>
      </c>
      <c r="Q21" s="183">
        <f t="shared" si="6"/>
        <v>583428.19999999995</v>
      </c>
      <c r="R21" s="183">
        <f t="shared" si="6"/>
        <v>606185.60000000009</v>
      </c>
      <c r="S21" s="183">
        <f t="shared" si="6"/>
        <v>628708</v>
      </c>
      <c r="T21" s="183">
        <f t="shared" si="6"/>
        <v>665629</v>
      </c>
      <c r="U21" s="149">
        <f>SUM(F21:Q21)</f>
        <v>4557162.8</v>
      </c>
      <c r="V21" s="1"/>
    </row>
    <row r="22" spans="1:22" s="9" customFormat="1" x14ac:dyDescent="0.3">
      <c r="B22" s="344"/>
      <c r="C22" s="353"/>
      <c r="D22" s="344"/>
      <c r="E22" s="34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37"/>
      <c r="V22" s="129"/>
    </row>
    <row r="23" spans="1:22" x14ac:dyDescent="0.3">
      <c r="C23" s="179" t="s">
        <v>51</v>
      </c>
      <c r="F23"/>
      <c r="I23" s="172"/>
      <c r="K23" s="172"/>
      <c r="S23" s="172"/>
      <c r="T23" s="172"/>
      <c r="V23" s="1"/>
    </row>
    <row r="24" spans="1:22" x14ac:dyDescent="0.3">
      <c r="C24" s="171" t="s">
        <v>180</v>
      </c>
      <c r="F24" s="172"/>
      <c r="G24" s="172"/>
      <c r="Q24" s="172"/>
      <c r="V24" s="1"/>
    </row>
    <row r="25" spans="1:22" x14ac:dyDescent="0.3">
      <c r="C25" s="171" t="s">
        <v>181</v>
      </c>
      <c r="F25"/>
      <c r="H25" s="172"/>
      <c r="J25" s="172"/>
      <c r="V25" s="1"/>
    </row>
    <row r="26" spans="1:22" x14ac:dyDescent="0.3">
      <c r="C26" s="169" t="s">
        <v>182</v>
      </c>
      <c r="F26" s="389">
        <f>'CF 2024'!G72</f>
        <v>-3694</v>
      </c>
      <c r="G26" s="389">
        <f>'CF 2024'!H72</f>
        <v>-3694</v>
      </c>
      <c r="H26" s="389">
        <f>'CF 2024'!I72</f>
        <v>-7252.4000000000005</v>
      </c>
      <c r="I26" s="389">
        <f>'CF 2024'!J72</f>
        <v>-7989.2000000000007</v>
      </c>
      <c r="J26" s="389">
        <f>'CF 2024'!K72</f>
        <v>-8198.6</v>
      </c>
      <c r="K26" s="389">
        <f>'CF 2024'!L72</f>
        <v>-8592.2000000000007</v>
      </c>
      <c r="L26" s="389">
        <f>'CF 2024'!M72</f>
        <v>-10028.800000000001</v>
      </c>
      <c r="M26" s="389">
        <f>'CF 2024'!N72</f>
        <v>-10022.6</v>
      </c>
      <c r="N26" s="389">
        <f>'CF 2024'!O72</f>
        <v>-9825</v>
      </c>
      <c r="O26" s="389">
        <f>'CF 2024'!P72</f>
        <v>-8311.8000000000011</v>
      </c>
      <c r="P26" s="389">
        <f>'CF 2024'!Q72</f>
        <v>-8292.4</v>
      </c>
      <c r="Q26" s="389">
        <f>'CF 2024'!R72</f>
        <v>-8366.4</v>
      </c>
      <c r="R26" s="389">
        <f>'CF 2024'!S72</f>
        <v>-4244</v>
      </c>
      <c r="S26" s="389">
        <f>'CF 2024'!T72</f>
        <v>-4244</v>
      </c>
      <c r="T26" s="389">
        <f>'CF 2024'!U72</f>
        <v>-7802.4000000000005</v>
      </c>
      <c r="V26" s="1"/>
    </row>
    <row r="27" spans="1:22" x14ac:dyDescent="0.3">
      <c r="C27" s="169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V27" s="1"/>
    </row>
    <row r="28" spans="1:22" x14ac:dyDescent="0.3">
      <c r="A28" s="147"/>
      <c r="B28" s="147"/>
      <c r="C28" s="173" t="s">
        <v>183</v>
      </c>
      <c r="D28" s="147"/>
      <c r="E28" s="147"/>
      <c r="F28" s="154">
        <f>SUM(F24:F26)</f>
        <v>-3694</v>
      </c>
      <c r="G28" s="154">
        <f t="shared" ref="G28:T28" si="7">SUM(G24:G26)</f>
        <v>-3694</v>
      </c>
      <c r="H28" s="154">
        <f t="shared" si="7"/>
        <v>-7252.4000000000005</v>
      </c>
      <c r="I28" s="154">
        <f t="shared" si="7"/>
        <v>-7989.2000000000007</v>
      </c>
      <c r="J28" s="154">
        <f t="shared" si="7"/>
        <v>-8198.6</v>
      </c>
      <c r="K28" s="154">
        <f t="shared" si="7"/>
        <v>-8592.2000000000007</v>
      </c>
      <c r="L28" s="154">
        <f t="shared" si="7"/>
        <v>-10028.800000000001</v>
      </c>
      <c r="M28" s="154">
        <f t="shared" si="7"/>
        <v>-10022.6</v>
      </c>
      <c r="N28" s="154">
        <f t="shared" si="7"/>
        <v>-9825</v>
      </c>
      <c r="O28" s="154">
        <f t="shared" si="7"/>
        <v>-8311.8000000000011</v>
      </c>
      <c r="P28" s="154">
        <f t="shared" si="7"/>
        <v>-8292.4</v>
      </c>
      <c r="Q28" s="154">
        <f t="shared" si="7"/>
        <v>-8366.4</v>
      </c>
      <c r="R28" s="154">
        <f t="shared" si="7"/>
        <v>-4244</v>
      </c>
      <c r="S28" s="154">
        <f t="shared" si="7"/>
        <v>-4244</v>
      </c>
      <c r="T28" s="154">
        <f t="shared" si="7"/>
        <v>-7802.4000000000005</v>
      </c>
      <c r="U28" s="154">
        <f>SUM(F28:Q28)</f>
        <v>-94267.400000000009</v>
      </c>
      <c r="V28" s="1"/>
    </row>
    <row r="29" spans="1:22" x14ac:dyDescent="0.3">
      <c r="A29" s="148"/>
      <c r="B29" s="148"/>
      <c r="C29" s="184" t="s">
        <v>52</v>
      </c>
      <c r="D29" s="148"/>
      <c r="E29" s="148"/>
      <c r="F29" s="149"/>
      <c r="G29" s="148"/>
      <c r="H29" s="148"/>
      <c r="I29" s="149"/>
      <c r="J29" s="148"/>
      <c r="K29" s="149"/>
      <c r="L29" s="185"/>
      <c r="M29" s="185"/>
      <c r="N29" s="185"/>
      <c r="O29" s="185"/>
      <c r="P29" s="185"/>
      <c r="Q29" s="148"/>
      <c r="R29" s="185"/>
      <c r="S29" s="149"/>
      <c r="T29" s="149"/>
      <c r="U29" s="148"/>
      <c r="V29" s="1"/>
    </row>
    <row r="30" spans="1:22" s="9" customFormat="1" x14ac:dyDescent="0.3">
      <c r="A30" s="344"/>
      <c r="B30" s="344"/>
      <c r="C30" s="345"/>
      <c r="D30" s="344"/>
      <c r="E30" s="344"/>
      <c r="F30" s="337"/>
      <c r="G30" s="344"/>
      <c r="H30" s="344"/>
      <c r="I30" s="337"/>
      <c r="J30" s="344"/>
      <c r="K30" s="337"/>
      <c r="L30" s="355"/>
      <c r="M30" s="355"/>
      <c r="N30" s="355"/>
      <c r="O30" s="355"/>
      <c r="P30" s="355"/>
      <c r="Q30" s="344"/>
      <c r="R30" s="355"/>
      <c r="S30" s="337"/>
      <c r="T30" s="337"/>
      <c r="U30" s="344"/>
      <c r="V30" s="129"/>
    </row>
    <row r="31" spans="1:22" x14ac:dyDescent="0.3">
      <c r="C31" s="168" t="s">
        <v>184</v>
      </c>
      <c r="F31" s="389">
        <f>'BS 2023'!Q27-'CF 2024'!G52</f>
        <v>-110400</v>
      </c>
      <c r="G31" s="389">
        <f>F31-'CF 2024'!H52</f>
        <v>-107100</v>
      </c>
      <c r="H31" s="389">
        <f>G31-'CF 2024'!I52</f>
        <v>-103800</v>
      </c>
      <c r="I31" s="389">
        <f>H31-'CF 2024'!J52</f>
        <v>-100500</v>
      </c>
      <c r="J31" s="389">
        <f>I31-'CF 2024'!K52</f>
        <v>-97200</v>
      </c>
      <c r="K31" s="389">
        <f>J31-'CF 2024'!L52</f>
        <v>-93900</v>
      </c>
      <c r="L31" s="389">
        <f>K31-'CF 2024'!M52</f>
        <v>-90600</v>
      </c>
      <c r="M31" s="389">
        <f>L31-'CF 2024'!N52</f>
        <v>-87300</v>
      </c>
      <c r="N31" s="389">
        <f>M31-'CF 2024'!O52</f>
        <v>-84000</v>
      </c>
      <c r="O31" s="389">
        <f>N31-'CF 2024'!P52</f>
        <v>-80700</v>
      </c>
      <c r="P31" s="389">
        <f>O31-'CF 2024'!Q52</f>
        <v>-77400</v>
      </c>
      <c r="Q31" s="389">
        <f>P31-'CF 2024'!R52</f>
        <v>-74100</v>
      </c>
      <c r="R31" s="389">
        <f>Q31-'CF 2024'!S52</f>
        <v>-70800</v>
      </c>
      <c r="S31" s="389">
        <f>R31-'CF 2024'!T52</f>
        <v>-67500</v>
      </c>
      <c r="T31" s="389">
        <f>S31-'CF 2024'!U52</f>
        <v>-64200</v>
      </c>
      <c r="U31" s="1">
        <f>SUM(F31:Q31)</f>
        <v>-1107000</v>
      </c>
      <c r="V31" s="1"/>
    </row>
    <row r="32" spans="1:22" ht="12.6" customHeight="1" x14ac:dyDescent="0.3">
      <c r="C32" s="169"/>
      <c r="F32"/>
      <c r="J32" s="170" t="s">
        <v>190</v>
      </c>
      <c r="V32" s="1"/>
    </row>
    <row r="33" spans="3:22" x14ac:dyDescent="0.3">
      <c r="C33" s="168" t="s">
        <v>185</v>
      </c>
      <c r="F33" s="170"/>
      <c r="G33" s="170"/>
      <c r="H33" s="170"/>
      <c r="Q33" s="170"/>
      <c r="V33" s="1"/>
    </row>
    <row r="34" spans="3:22" x14ac:dyDescent="0.3">
      <c r="C34" s="171" t="s">
        <v>193</v>
      </c>
      <c r="F34" s="170"/>
      <c r="G34" s="170"/>
      <c r="H34" s="170"/>
      <c r="Q34" s="170"/>
      <c r="V34" s="1"/>
    </row>
    <row r="35" spans="3:22" x14ac:dyDescent="0.3">
      <c r="C35" s="168" t="s">
        <v>186</v>
      </c>
      <c r="F35" s="389">
        <f>SUM(F31:F33)</f>
        <v>-110400</v>
      </c>
      <c r="G35" s="389">
        <f t="shared" ref="G35:T35" si="8">SUM(G31:G33)</f>
        <v>-107100</v>
      </c>
      <c r="H35" s="389">
        <f t="shared" si="8"/>
        <v>-103800</v>
      </c>
      <c r="I35" s="389">
        <f t="shared" si="8"/>
        <v>-100500</v>
      </c>
      <c r="J35" s="389">
        <f t="shared" si="8"/>
        <v>-97200</v>
      </c>
      <c r="K35" s="389">
        <f t="shared" si="8"/>
        <v>-93900</v>
      </c>
      <c r="L35" s="389">
        <f t="shared" si="8"/>
        <v>-90600</v>
      </c>
      <c r="M35" s="389">
        <f t="shared" si="8"/>
        <v>-87300</v>
      </c>
      <c r="N35" s="389">
        <f t="shared" si="8"/>
        <v>-84000</v>
      </c>
      <c r="O35" s="389">
        <f t="shared" si="8"/>
        <v>-80700</v>
      </c>
      <c r="P35" s="389">
        <f t="shared" si="8"/>
        <v>-77400</v>
      </c>
      <c r="Q35" s="389">
        <f t="shared" si="8"/>
        <v>-74100</v>
      </c>
      <c r="R35" s="389">
        <f t="shared" si="8"/>
        <v>-70800</v>
      </c>
      <c r="S35" s="389">
        <f t="shared" si="8"/>
        <v>-67500</v>
      </c>
      <c r="T35" s="389">
        <f t="shared" si="8"/>
        <v>-64200</v>
      </c>
      <c r="V35" s="1"/>
    </row>
    <row r="36" spans="3:22" x14ac:dyDescent="0.3">
      <c r="C36" s="168" t="s">
        <v>53</v>
      </c>
      <c r="F36" s="389">
        <f>F35+F28</f>
        <v>-114094</v>
      </c>
      <c r="G36" s="389">
        <f t="shared" ref="G36:T36" si="9">G35+G26</f>
        <v>-110794</v>
      </c>
      <c r="H36" s="389">
        <f t="shared" si="9"/>
        <v>-111052.4</v>
      </c>
      <c r="I36" s="389">
        <f t="shared" si="9"/>
        <v>-108489.2</v>
      </c>
      <c r="J36" s="389">
        <f t="shared" si="9"/>
        <v>-105398.6</v>
      </c>
      <c r="K36" s="389">
        <f t="shared" si="9"/>
        <v>-102492.2</v>
      </c>
      <c r="L36" s="389">
        <f t="shared" si="9"/>
        <v>-100628.8</v>
      </c>
      <c r="M36" s="389">
        <f t="shared" si="9"/>
        <v>-97322.6</v>
      </c>
      <c r="N36" s="389">
        <f t="shared" si="9"/>
        <v>-93825</v>
      </c>
      <c r="O36" s="389">
        <f t="shared" si="9"/>
        <v>-89011.8</v>
      </c>
      <c r="P36" s="389">
        <f t="shared" si="9"/>
        <v>-85692.4</v>
      </c>
      <c r="Q36" s="389">
        <f t="shared" si="9"/>
        <v>-82466.399999999994</v>
      </c>
      <c r="R36" s="389">
        <f t="shared" si="9"/>
        <v>-75044</v>
      </c>
      <c r="S36" s="389">
        <f t="shared" si="9"/>
        <v>-71744</v>
      </c>
      <c r="T36" s="389">
        <f t="shared" si="9"/>
        <v>-72002.399999999994</v>
      </c>
      <c r="V36" s="1"/>
    </row>
    <row r="37" spans="3:22" x14ac:dyDescent="0.3">
      <c r="C37" s="168" t="s">
        <v>54</v>
      </c>
      <c r="F37" s="207">
        <f>F21+F36</f>
        <v>90503.6</v>
      </c>
      <c r="G37" s="207">
        <f t="shared" ref="G37:Q37" si="10">G21+G36</f>
        <v>108396.6</v>
      </c>
      <c r="H37" s="207">
        <f t="shared" si="10"/>
        <v>137294.80000000002</v>
      </c>
      <c r="I37" s="207">
        <f t="shared" si="10"/>
        <v>172291.8</v>
      </c>
      <c r="J37" s="207">
        <f t="shared" si="10"/>
        <v>208983.80000000002</v>
      </c>
      <c r="K37" s="207">
        <f t="shared" si="10"/>
        <v>247396</v>
      </c>
      <c r="L37" s="207">
        <f t="shared" si="10"/>
        <v>290841.60000000003</v>
      </c>
      <c r="M37" s="207">
        <f t="shared" si="10"/>
        <v>336035.20000000007</v>
      </c>
      <c r="N37" s="207">
        <f t="shared" si="10"/>
        <v>380959.80000000005</v>
      </c>
      <c r="O37" s="207">
        <f t="shared" si="10"/>
        <v>421477.20000000007</v>
      </c>
      <c r="P37" s="207">
        <f t="shared" si="10"/>
        <v>460753.20000000007</v>
      </c>
      <c r="Q37" s="207">
        <f t="shared" si="10"/>
        <v>500961.79999999993</v>
      </c>
      <c r="R37" s="207">
        <f>R21+R36</f>
        <v>531141.60000000009</v>
      </c>
      <c r="S37" s="207">
        <f t="shared" ref="S37" si="11">S21+S36</f>
        <v>556964</v>
      </c>
      <c r="T37" s="207">
        <f t="shared" ref="T37" si="12">T21+T36</f>
        <v>593626.6</v>
      </c>
      <c r="U37" s="208">
        <f>SUM(F37:Q37)</f>
        <v>3355895.4</v>
      </c>
      <c r="V37" s="1"/>
    </row>
    <row r="38" spans="3:22" x14ac:dyDescent="0.3">
      <c r="C38" s="171" t="s">
        <v>56</v>
      </c>
      <c r="F38" s="169"/>
      <c r="G38" s="169"/>
      <c r="H38" s="169"/>
      <c r="I38" s="169"/>
      <c r="J38" s="170"/>
      <c r="K38" s="170"/>
      <c r="L38" s="170"/>
      <c r="M38" s="170"/>
      <c r="N38" s="170"/>
      <c r="O38" s="170"/>
      <c r="P38" s="170"/>
      <c r="Q38" s="169"/>
      <c r="R38" s="170"/>
      <c r="S38" s="170"/>
      <c r="T38" s="170"/>
      <c r="V38" s="1"/>
    </row>
    <row r="39" spans="3:22" x14ac:dyDescent="0.3">
      <c r="C39" s="171" t="s">
        <v>58</v>
      </c>
      <c r="F39" s="170">
        <f>SUM(F37:F38)</f>
        <v>90503.6</v>
      </c>
      <c r="G39" s="170">
        <f t="shared" ref="G39:T39" si="13">SUM(G37:G38)</f>
        <v>108396.6</v>
      </c>
      <c r="H39" s="170">
        <f t="shared" si="13"/>
        <v>137294.80000000002</v>
      </c>
      <c r="I39" s="170">
        <f t="shared" si="13"/>
        <v>172291.8</v>
      </c>
      <c r="J39" s="170">
        <f t="shared" si="13"/>
        <v>208983.80000000002</v>
      </c>
      <c r="K39" s="170">
        <f t="shared" si="13"/>
        <v>247396</v>
      </c>
      <c r="L39" s="170">
        <f t="shared" si="13"/>
        <v>290841.60000000003</v>
      </c>
      <c r="M39" s="170">
        <f t="shared" si="13"/>
        <v>336035.20000000007</v>
      </c>
      <c r="N39" s="170">
        <f t="shared" si="13"/>
        <v>380959.80000000005</v>
      </c>
      <c r="O39" s="170">
        <f t="shared" si="13"/>
        <v>421477.20000000007</v>
      </c>
      <c r="P39" s="170">
        <f t="shared" si="13"/>
        <v>460753.20000000007</v>
      </c>
      <c r="Q39" s="170">
        <f t="shared" si="13"/>
        <v>500961.79999999993</v>
      </c>
      <c r="R39" s="170">
        <f t="shared" si="13"/>
        <v>531141.60000000009</v>
      </c>
      <c r="S39" s="170">
        <f t="shared" si="13"/>
        <v>556964</v>
      </c>
      <c r="T39" s="170">
        <f t="shared" si="13"/>
        <v>593626.6</v>
      </c>
      <c r="V39" s="1"/>
    </row>
    <row r="40" spans="3:22" x14ac:dyDescent="0.3">
      <c r="C40" s="178" t="s">
        <v>59</v>
      </c>
      <c r="F40" s="170">
        <f>F38+F39</f>
        <v>90503.6</v>
      </c>
      <c r="G40" s="170">
        <f t="shared" ref="G40:T40" si="14">G38+G39</f>
        <v>108396.6</v>
      </c>
      <c r="H40" s="170">
        <f t="shared" si="14"/>
        <v>137294.80000000002</v>
      </c>
      <c r="I40" s="170">
        <f t="shared" si="14"/>
        <v>172291.8</v>
      </c>
      <c r="J40" s="170">
        <f t="shared" si="14"/>
        <v>208983.80000000002</v>
      </c>
      <c r="K40" s="170">
        <f t="shared" si="14"/>
        <v>247396</v>
      </c>
      <c r="L40" s="170">
        <f t="shared" si="14"/>
        <v>290841.60000000003</v>
      </c>
      <c r="M40" s="170">
        <f t="shared" si="14"/>
        <v>336035.20000000007</v>
      </c>
      <c r="N40" s="170">
        <f t="shared" si="14"/>
        <v>380959.80000000005</v>
      </c>
      <c r="O40" s="170">
        <f t="shared" si="14"/>
        <v>421477.20000000007</v>
      </c>
      <c r="P40" s="170">
        <f t="shared" si="14"/>
        <v>460753.20000000007</v>
      </c>
      <c r="Q40" s="170">
        <f t="shared" si="14"/>
        <v>500961.79999999993</v>
      </c>
      <c r="R40" s="170">
        <f t="shared" si="14"/>
        <v>531141.60000000009</v>
      </c>
      <c r="S40" s="170">
        <f t="shared" si="14"/>
        <v>556964</v>
      </c>
      <c r="T40" s="170">
        <f t="shared" si="14"/>
        <v>593626.6</v>
      </c>
      <c r="V40" s="1"/>
    </row>
    <row r="41" spans="3:22" x14ac:dyDescent="0.3">
      <c r="C41" s="171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V41" s="1"/>
    </row>
    <row r="42" spans="3:22" x14ac:dyDescent="0.3">
      <c r="C42" s="171" t="s">
        <v>187</v>
      </c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V42" s="1"/>
    </row>
    <row r="43" spans="3:22" x14ac:dyDescent="0.3">
      <c r="C43" s="171" t="s">
        <v>188</v>
      </c>
      <c r="F43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V43" s="1"/>
    </row>
    <row r="44" spans="3:22" x14ac:dyDescent="0.3">
      <c r="C44" s="171" t="s">
        <v>189</v>
      </c>
      <c r="F44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V44" s="1"/>
    </row>
    <row r="45" spans="3:22" x14ac:dyDescent="0.3">
      <c r="C45" s="171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V45" s="1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  <row r="621" spans="6:6" x14ac:dyDescent="0.3">
      <c r="F621"/>
    </row>
    <row r="622" spans="6:6" x14ac:dyDescent="0.3">
      <c r="F622"/>
    </row>
    <row r="623" spans="6:6" x14ac:dyDescent="0.3">
      <c r="F623"/>
    </row>
    <row r="624" spans="6:6" x14ac:dyDescent="0.3">
      <c r="F624"/>
    </row>
    <row r="625" spans="6:6" x14ac:dyDescent="0.3">
      <c r="F625"/>
    </row>
    <row r="626" spans="6:6" x14ac:dyDescent="0.3">
      <c r="F626"/>
    </row>
    <row r="627" spans="6:6" x14ac:dyDescent="0.3">
      <c r="F627"/>
    </row>
    <row r="628" spans="6:6" x14ac:dyDescent="0.3">
      <c r="F628"/>
    </row>
    <row r="629" spans="6:6" x14ac:dyDescent="0.3">
      <c r="F629"/>
    </row>
    <row r="630" spans="6:6" x14ac:dyDescent="0.3">
      <c r="F630"/>
    </row>
    <row r="631" spans="6:6" x14ac:dyDescent="0.3">
      <c r="F631"/>
    </row>
    <row r="632" spans="6:6" x14ac:dyDescent="0.3">
      <c r="F632"/>
    </row>
    <row r="633" spans="6:6" x14ac:dyDescent="0.3">
      <c r="F633"/>
    </row>
    <row r="634" spans="6:6" x14ac:dyDescent="0.3">
      <c r="F634"/>
    </row>
    <row r="635" spans="6:6" x14ac:dyDescent="0.3">
      <c r="F635"/>
    </row>
    <row r="636" spans="6:6" x14ac:dyDescent="0.3">
      <c r="F636"/>
    </row>
    <row r="637" spans="6:6" x14ac:dyDescent="0.3">
      <c r="F637"/>
    </row>
    <row r="638" spans="6:6" x14ac:dyDescent="0.3">
      <c r="F638"/>
    </row>
    <row r="639" spans="6:6" x14ac:dyDescent="0.3">
      <c r="F639"/>
    </row>
    <row r="640" spans="6:6" x14ac:dyDescent="0.3">
      <c r="F640"/>
    </row>
    <row r="641" spans="6:6" x14ac:dyDescent="0.3">
      <c r="F641"/>
    </row>
    <row r="642" spans="6:6" x14ac:dyDescent="0.3">
      <c r="F642"/>
    </row>
    <row r="643" spans="6:6" x14ac:dyDescent="0.3">
      <c r="F643"/>
    </row>
    <row r="644" spans="6:6" x14ac:dyDescent="0.3">
      <c r="F644"/>
    </row>
    <row r="645" spans="6:6" x14ac:dyDescent="0.3">
      <c r="F645"/>
    </row>
    <row r="646" spans="6:6" x14ac:dyDescent="0.3">
      <c r="F646"/>
    </row>
    <row r="647" spans="6:6" x14ac:dyDescent="0.3">
      <c r="F647"/>
    </row>
    <row r="648" spans="6:6" x14ac:dyDescent="0.3">
      <c r="F648"/>
    </row>
    <row r="649" spans="6:6" x14ac:dyDescent="0.3">
      <c r="F649"/>
    </row>
    <row r="650" spans="6:6" x14ac:dyDescent="0.3">
      <c r="F650"/>
    </row>
    <row r="651" spans="6:6" x14ac:dyDescent="0.3">
      <c r="F651"/>
    </row>
    <row r="652" spans="6:6" x14ac:dyDescent="0.3">
      <c r="F652"/>
    </row>
    <row r="653" spans="6:6" x14ac:dyDescent="0.3">
      <c r="F653"/>
    </row>
    <row r="654" spans="6:6" x14ac:dyDescent="0.3">
      <c r="F654"/>
    </row>
    <row r="655" spans="6:6" x14ac:dyDescent="0.3">
      <c r="F655"/>
    </row>
    <row r="656" spans="6:6" x14ac:dyDescent="0.3">
      <c r="F656"/>
    </row>
    <row r="657" spans="6:6" x14ac:dyDescent="0.3">
      <c r="F657"/>
    </row>
    <row r="658" spans="6:6" x14ac:dyDescent="0.3">
      <c r="F658"/>
    </row>
    <row r="659" spans="6:6" x14ac:dyDescent="0.3">
      <c r="F659"/>
    </row>
    <row r="660" spans="6:6" x14ac:dyDescent="0.3">
      <c r="F660"/>
    </row>
    <row r="661" spans="6:6" x14ac:dyDescent="0.3">
      <c r="F661"/>
    </row>
    <row r="662" spans="6:6" x14ac:dyDescent="0.3">
      <c r="F662"/>
    </row>
    <row r="663" spans="6:6" x14ac:dyDescent="0.3">
      <c r="F663"/>
    </row>
    <row r="664" spans="6:6" x14ac:dyDescent="0.3">
      <c r="F664"/>
    </row>
    <row r="665" spans="6:6" x14ac:dyDescent="0.3">
      <c r="F665"/>
    </row>
    <row r="666" spans="6:6" x14ac:dyDescent="0.3">
      <c r="F666"/>
    </row>
    <row r="667" spans="6:6" x14ac:dyDescent="0.3">
      <c r="F667"/>
    </row>
    <row r="668" spans="6:6" x14ac:dyDescent="0.3">
      <c r="F668"/>
    </row>
    <row r="669" spans="6:6" x14ac:dyDescent="0.3">
      <c r="F669"/>
    </row>
    <row r="670" spans="6:6" x14ac:dyDescent="0.3">
      <c r="F670"/>
    </row>
    <row r="671" spans="6:6" x14ac:dyDescent="0.3">
      <c r="F671"/>
    </row>
    <row r="672" spans="6:6" x14ac:dyDescent="0.3">
      <c r="F672"/>
    </row>
    <row r="673" spans="6:6" x14ac:dyDescent="0.3">
      <c r="F673"/>
    </row>
    <row r="674" spans="6:6" x14ac:dyDescent="0.3">
      <c r="F674"/>
    </row>
    <row r="675" spans="6:6" x14ac:dyDescent="0.3">
      <c r="F675"/>
    </row>
    <row r="676" spans="6:6" x14ac:dyDescent="0.3">
      <c r="F676"/>
    </row>
    <row r="677" spans="6:6" x14ac:dyDescent="0.3">
      <c r="F677"/>
    </row>
    <row r="678" spans="6:6" x14ac:dyDescent="0.3">
      <c r="F678"/>
    </row>
    <row r="679" spans="6:6" x14ac:dyDescent="0.3">
      <c r="F679"/>
    </row>
    <row r="680" spans="6:6" x14ac:dyDescent="0.3">
      <c r="F680"/>
    </row>
    <row r="681" spans="6:6" x14ac:dyDescent="0.3">
      <c r="F681"/>
    </row>
    <row r="682" spans="6:6" x14ac:dyDescent="0.3">
      <c r="F682"/>
    </row>
    <row r="683" spans="6:6" x14ac:dyDescent="0.3">
      <c r="F683"/>
    </row>
    <row r="684" spans="6:6" x14ac:dyDescent="0.3">
      <c r="F684"/>
    </row>
    <row r="685" spans="6:6" x14ac:dyDescent="0.3">
      <c r="F685"/>
    </row>
    <row r="686" spans="6:6" x14ac:dyDescent="0.3">
      <c r="F686"/>
    </row>
    <row r="687" spans="6:6" x14ac:dyDescent="0.3">
      <c r="F687"/>
    </row>
    <row r="688" spans="6:6" x14ac:dyDescent="0.3">
      <c r="F688"/>
    </row>
    <row r="689" spans="6:6" x14ac:dyDescent="0.3">
      <c r="F689"/>
    </row>
    <row r="690" spans="6:6" x14ac:dyDescent="0.3">
      <c r="F690"/>
    </row>
    <row r="691" spans="6:6" x14ac:dyDescent="0.3">
      <c r="F691"/>
    </row>
    <row r="692" spans="6:6" x14ac:dyDescent="0.3">
      <c r="F692"/>
    </row>
    <row r="693" spans="6:6" x14ac:dyDescent="0.3">
      <c r="F693"/>
    </row>
    <row r="694" spans="6:6" x14ac:dyDescent="0.3">
      <c r="F694"/>
    </row>
    <row r="695" spans="6:6" x14ac:dyDescent="0.3">
      <c r="F695"/>
    </row>
    <row r="696" spans="6:6" x14ac:dyDescent="0.3">
      <c r="F696"/>
    </row>
    <row r="697" spans="6:6" x14ac:dyDescent="0.3">
      <c r="F697"/>
    </row>
    <row r="698" spans="6:6" x14ac:dyDescent="0.3">
      <c r="F698"/>
    </row>
    <row r="699" spans="6:6" x14ac:dyDescent="0.3">
      <c r="F699"/>
    </row>
    <row r="700" spans="6:6" x14ac:dyDescent="0.3">
      <c r="F700"/>
    </row>
    <row r="701" spans="6:6" x14ac:dyDescent="0.3">
      <c r="F701"/>
    </row>
    <row r="702" spans="6:6" x14ac:dyDescent="0.3">
      <c r="F702"/>
    </row>
    <row r="703" spans="6:6" x14ac:dyDescent="0.3">
      <c r="F703"/>
    </row>
    <row r="704" spans="6:6" x14ac:dyDescent="0.3">
      <c r="F704"/>
    </row>
    <row r="705" spans="6:6" x14ac:dyDescent="0.3">
      <c r="F705"/>
    </row>
    <row r="706" spans="6:6" x14ac:dyDescent="0.3">
      <c r="F706"/>
    </row>
    <row r="707" spans="6:6" x14ac:dyDescent="0.3">
      <c r="F707"/>
    </row>
    <row r="708" spans="6:6" x14ac:dyDescent="0.3">
      <c r="F708"/>
    </row>
    <row r="709" spans="6:6" x14ac:dyDescent="0.3">
      <c r="F709"/>
    </row>
    <row r="710" spans="6:6" x14ac:dyDescent="0.3">
      <c r="F710"/>
    </row>
    <row r="711" spans="6:6" x14ac:dyDescent="0.3">
      <c r="F711"/>
    </row>
    <row r="712" spans="6:6" x14ac:dyDescent="0.3">
      <c r="F712"/>
    </row>
    <row r="713" spans="6:6" x14ac:dyDescent="0.3">
      <c r="F713"/>
    </row>
    <row r="714" spans="6:6" x14ac:dyDescent="0.3">
      <c r="F714"/>
    </row>
    <row r="715" spans="6:6" x14ac:dyDescent="0.3">
      <c r="F715"/>
    </row>
    <row r="716" spans="6:6" x14ac:dyDescent="0.3">
      <c r="F716"/>
    </row>
    <row r="717" spans="6:6" x14ac:dyDescent="0.3">
      <c r="F717"/>
    </row>
    <row r="718" spans="6:6" x14ac:dyDescent="0.3">
      <c r="F718"/>
    </row>
    <row r="719" spans="6:6" x14ac:dyDescent="0.3">
      <c r="F719"/>
    </row>
    <row r="720" spans="6:6" x14ac:dyDescent="0.3">
      <c r="F720"/>
    </row>
    <row r="721" spans="6:6" x14ac:dyDescent="0.3">
      <c r="F721"/>
    </row>
    <row r="722" spans="6:6" x14ac:dyDescent="0.3">
      <c r="F722"/>
    </row>
    <row r="723" spans="6:6" x14ac:dyDescent="0.3">
      <c r="F723"/>
    </row>
    <row r="724" spans="6:6" x14ac:dyDescent="0.3">
      <c r="F724"/>
    </row>
    <row r="725" spans="6:6" x14ac:dyDescent="0.3">
      <c r="F725"/>
    </row>
    <row r="726" spans="6:6" x14ac:dyDescent="0.3">
      <c r="F726"/>
    </row>
    <row r="727" spans="6:6" x14ac:dyDescent="0.3">
      <c r="F727"/>
    </row>
    <row r="728" spans="6:6" x14ac:dyDescent="0.3">
      <c r="F728"/>
    </row>
    <row r="729" spans="6:6" x14ac:dyDescent="0.3">
      <c r="F729"/>
    </row>
    <row r="730" spans="6:6" x14ac:dyDescent="0.3">
      <c r="F730"/>
    </row>
    <row r="731" spans="6:6" x14ac:dyDescent="0.3">
      <c r="F731"/>
    </row>
    <row r="732" spans="6:6" x14ac:dyDescent="0.3">
      <c r="F732"/>
    </row>
    <row r="733" spans="6:6" x14ac:dyDescent="0.3">
      <c r="F733"/>
    </row>
    <row r="734" spans="6:6" x14ac:dyDescent="0.3">
      <c r="F734"/>
    </row>
    <row r="735" spans="6:6" x14ac:dyDescent="0.3">
      <c r="F735"/>
    </row>
    <row r="736" spans="6:6" x14ac:dyDescent="0.3">
      <c r="F736"/>
    </row>
    <row r="737" spans="6:6" x14ac:dyDescent="0.3">
      <c r="F737"/>
    </row>
    <row r="738" spans="6:6" x14ac:dyDescent="0.3">
      <c r="F738"/>
    </row>
    <row r="739" spans="6:6" x14ac:dyDescent="0.3">
      <c r="F739"/>
    </row>
    <row r="740" spans="6:6" x14ac:dyDescent="0.3">
      <c r="F740"/>
    </row>
    <row r="741" spans="6:6" x14ac:dyDescent="0.3">
      <c r="F741"/>
    </row>
    <row r="742" spans="6:6" x14ac:dyDescent="0.3">
      <c r="F742"/>
    </row>
    <row r="743" spans="6:6" x14ac:dyDescent="0.3">
      <c r="F743"/>
    </row>
    <row r="744" spans="6:6" x14ac:dyDescent="0.3">
      <c r="F744"/>
    </row>
    <row r="745" spans="6:6" x14ac:dyDescent="0.3">
      <c r="F745"/>
    </row>
    <row r="746" spans="6:6" x14ac:dyDescent="0.3">
      <c r="F746"/>
    </row>
    <row r="747" spans="6:6" x14ac:dyDescent="0.3">
      <c r="F747"/>
    </row>
    <row r="748" spans="6:6" x14ac:dyDescent="0.3">
      <c r="F748"/>
    </row>
    <row r="749" spans="6:6" x14ac:dyDescent="0.3">
      <c r="F749"/>
    </row>
    <row r="750" spans="6:6" x14ac:dyDescent="0.3">
      <c r="F750"/>
    </row>
    <row r="751" spans="6:6" x14ac:dyDescent="0.3">
      <c r="F751"/>
    </row>
    <row r="752" spans="6:6" x14ac:dyDescent="0.3">
      <c r="F752"/>
    </row>
    <row r="753" spans="6:6" x14ac:dyDescent="0.3">
      <c r="F753"/>
    </row>
    <row r="754" spans="6:6" x14ac:dyDescent="0.3">
      <c r="F754"/>
    </row>
    <row r="755" spans="6:6" x14ac:dyDescent="0.3">
      <c r="F755"/>
    </row>
    <row r="756" spans="6:6" x14ac:dyDescent="0.3">
      <c r="F756"/>
    </row>
    <row r="757" spans="6:6" x14ac:dyDescent="0.3">
      <c r="F757"/>
    </row>
    <row r="758" spans="6:6" x14ac:dyDescent="0.3">
      <c r="F758"/>
    </row>
    <row r="759" spans="6:6" x14ac:dyDescent="0.3">
      <c r="F759"/>
    </row>
    <row r="760" spans="6:6" x14ac:dyDescent="0.3">
      <c r="F760"/>
    </row>
    <row r="761" spans="6:6" x14ac:dyDescent="0.3">
      <c r="F761"/>
    </row>
    <row r="762" spans="6:6" x14ac:dyDescent="0.3">
      <c r="F762"/>
    </row>
    <row r="763" spans="6:6" x14ac:dyDescent="0.3">
      <c r="F763"/>
    </row>
    <row r="764" spans="6:6" x14ac:dyDescent="0.3">
      <c r="F764"/>
    </row>
    <row r="765" spans="6:6" x14ac:dyDescent="0.3">
      <c r="F765"/>
    </row>
    <row r="766" spans="6:6" x14ac:dyDescent="0.3">
      <c r="F766"/>
    </row>
    <row r="767" spans="6:6" x14ac:dyDescent="0.3">
      <c r="F767"/>
    </row>
    <row r="768" spans="6:6" x14ac:dyDescent="0.3">
      <c r="F768"/>
    </row>
    <row r="769" spans="6:6" x14ac:dyDescent="0.3">
      <c r="F769"/>
    </row>
    <row r="770" spans="6:6" x14ac:dyDescent="0.3">
      <c r="F770"/>
    </row>
    <row r="771" spans="6:6" x14ac:dyDescent="0.3">
      <c r="F771"/>
    </row>
    <row r="772" spans="6:6" x14ac:dyDescent="0.3">
      <c r="F772"/>
    </row>
    <row r="773" spans="6:6" x14ac:dyDescent="0.3">
      <c r="F773"/>
    </row>
    <row r="774" spans="6:6" x14ac:dyDescent="0.3">
      <c r="F774"/>
    </row>
    <row r="775" spans="6:6" x14ac:dyDescent="0.3">
      <c r="F775"/>
    </row>
    <row r="776" spans="6:6" x14ac:dyDescent="0.3">
      <c r="F776"/>
    </row>
    <row r="777" spans="6:6" x14ac:dyDescent="0.3">
      <c r="F777"/>
    </row>
    <row r="778" spans="6:6" x14ac:dyDescent="0.3">
      <c r="F778"/>
    </row>
    <row r="779" spans="6:6" x14ac:dyDescent="0.3">
      <c r="F779"/>
    </row>
    <row r="780" spans="6:6" x14ac:dyDescent="0.3">
      <c r="F780"/>
    </row>
    <row r="781" spans="6:6" x14ac:dyDescent="0.3">
      <c r="F781"/>
    </row>
    <row r="782" spans="6:6" x14ac:dyDescent="0.3">
      <c r="F782"/>
    </row>
    <row r="783" spans="6:6" x14ac:dyDescent="0.3">
      <c r="F783"/>
    </row>
    <row r="784" spans="6:6" x14ac:dyDescent="0.3">
      <c r="F784"/>
    </row>
    <row r="785" spans="6:6" x14ac:dyDescent="0.3">
      <c r="F785"/>
    </row>
    <row r="786" spans="6:6" x14ac:dyDescent="0.3">
      <c r="F786"/>
    </row>
    <row r="787" spans="6:6" x14ac:dyDescent="0.3">
      <c r="F787"/>
    </row>
    <row r="788" spans="6:6" x14ac:dyDescent="0.3">
      <c r="F788"/>
    </row>
    <row r="789" spans="6:6" x14ac:dyDescent="0.3">
      <c r="F789"/>
    </row>
    <row r="790" spans="6:6" x14ac:dyDescent="0.3">
      <c r="F790"/>
    </row>
    <row r="791" spans="6:6" x14ac:dyDescent="0.3">
      <c r="F791"/>
    </row>
    <row r="792" spans="6:6" x14ac:dyDescent="0.3">
      <c r="F792"/>
    </row>
    <row r="793" spans="6:6" x14ac:dyDescent="0.3">
      <c r="F793"/>
    </row>
    <row r="794" spans="6:6" x14ac:dyDescent="0.3">
      <c r="F794"/>
    </row>
    <row r="795" spans="6:6" x14ac:dyDescent="0.3">
      <c r="F795"/>
    </row>
    <row r="796" spans="6:6" x14ac:dyDescent="0.3">
      <c r="F796"/>
    </row>
    <row r="797" spans="6:6" x14ac:dyDescent="0.3">
      <c r="F797"/>
    </row>
    <row r="798" spans="6:6" x14ac:dyDescent="0.3">
      <c r="F798"/>
    </row>
    <row r="799" spans="6:6" x14ac:dyDescent="0.3">
      <c r="F799"/>
    </row>
    <row r="800" spans="6:6" x14ac:dyDescent="0.3">
      <c r="F800"/>
    </row>
    <row r="801" spans="6:6" x14ac:dyDescent="0.3">
      <c r="F801"/>
    </row>
    <row r="802" spans="6:6" x14ac:dyDescent="0.3">
      <c r="F802"/>
    </row>
    <row r="803" spans="6:6" x14ac:dyDescent="0.3">
      <c r="F803"/>
    </row>
    <row r="804" spans="6:6" x14ac:dyDescent="0.3">
      <c r="F804"/>
    </row>
    <row r="805" spans="6:6" x14ac:dyDescent="0.3">
      <c r="F805"/>
    </row>
    <row r="806" spans="6:6" x14ac:dyDescent="0.3">
      <c r="F806"/>
    </row>
    <row r="807" spans="6:6" x14ac:dyDescent="0.3">
      <c r="F807"/>
    </row>
    <row r="808" spans="6:6" x14ac:dyDescent="0.3">
      <c r="F808"/>
    </row>
    <row r="809" spans="6:6" x14ac:dyDescent="0.3">
      <c r="F809"/>
    </row>
    <row r="810" spans="6:6" x14ac:dyDescent="0.3">
      <c r="F810"/>
    </row>
    <row r="811" spans="6:6" x14ac:dyDescent="0.3">
      <c r="F811"/>
    </row>
    <row r="812" spans="6:6" x14ac:dyDescent="0.3">
      <c r="F812"/>
    </row>
    <row r="813" spans="6:6" x14ac:dyDescent="0.3">
      <c r="F813"/>
    </row>
    <row r="814" spans="6:6" x14ac:dyDescent="0.3">
      <c r="F814"/>
    </row>
    <row r="815" spans="6:6" x14ac:dyDescent="0.3">
      <c r="F815"/>
    </row>
    <row r="816" spans="6:6" x14ac:dyDescent="0.3">
      <c r="F816"/>
    </row>
    <row r="817" spans="6:6" x14ac:dyDescent="0.3">
      <c r="F817"/>
    </row>
    <row r="818" spans="6:6" x14ac:dyDescent="0.3">
      <c r="F818"/>
    </row>
    <row r="819" spans="6:6" x14ac:dyDescent="0.3">
      <c r="F819"/>
    </row>
    <row r="820" spans="6:6" x14ac:dyDescent="0.3">
      <c r="F820"/>
    </row>
    <row r="821" spans="6:6" x14ac:dyDescent="0.3">
      <c r="F821"/>
    </row>
    <row r="822" spans="6:6" x14ac:dyDescent="0.3">
      <c r="F822"/>
    </row>
    <row r="823" spans="6:6" x14ac:dyDescent="0.3">
      <c r="F823"/>
    </row>
    <row r="824" spans="6:6" x14ac:dyDescent="0.3">
      <c r="F824"/>
    </row>
    <row r="825" spans="6:6" x14ac:dyDescent="0.3">
      <c r="F825"/>
    </row>
    <row r="826" spans="6:6" x14ac:dyDescent="0.3">
      <c r="F826"/>
    </row>
    <row r="827" spans="6:6" x14ac:dyDescent="0.3">
      <c r="F827"/>
    </row>
    <row r="828" spans="6:6" x14ac:dyDescent="0.3">
      <c r="F828"/>
    </row>
    <row r="829" spans="6:6" x14ac:dyDescent="0.3">
      <c r="F829"/>
    </row>
    <row r="830" spans="6:6" x14ac:dyDescent="0.3">
      <c r="F830"/>
    </row>
    <row r="831" spans="6:6" x14ac:dyDescent="0.3">
      <c r="F831"/>
    </row>
    <row r="832" spans="6:6" x14ac:dyDescent="0.3">
      <c r="F832"/>
    </row>
    <row r="833" spans="6:6" x14ac:dyDescent="0.3">
      <c r="F833"/>
    </row>
    <row r="834" spans="6:6" x14ac:dyDescent="0.3">
      <c r="F834"/>
    </row>
    <row r="835" spans="6:6" x14ac:dyDescent="0.3">
      <c r="F835"/>
    </row>
    <row r="836" spans="6:6" x14ac:dyDescent="0.3">
      <c r="F836"/>
    </row>
    <row r="837" spans="6:6" x14ac:dyDescent="0.3">
      <c r="F837"/>
    </row>
    <row r="838" spans="6:6" x14ac:dyDescent="0.3">
      <c r="F838"/>
    </row>
    <row r="839" spans="6:6" x14ac:dyDescent="0.3">
      <c r="F839"/>
    </row>
    <row r="840" spans="6:6" x14ac:dyDescent="0.3">
      <c r="F840"/>
    </row>
    <row r="841" spans="6:6" x14ac:dyDescent="0.3">
      <c r="F841"/>
    </row>
    <row r="842" spans="6:6" x14ac:dyDescent="0.3">
      <c r="F842"/>
    </row>
    <row r="843" spans="6:6" x14ac:dyDescent="0.3">
      <c r="F843"/>
    </row>
    <row r="844" spans="6:6" x14ac:dyDescent="0.3">
      <c r="F844"/>
    </row>
    <row r="845" spans="6:6" x14ac:dyDescent="0.3">
      <c r="F845"/>
    </row>
    <row r="846" spans="6:6" x14ac:dyDescent="0.3">
      <c r="F846"/>
    </row>
    <row r="847" spans="6:6" x14ac:dyDescent="0.3">
      <c r="F847"/>
    </row>
    <row r="848" spans="6:6" x14ac:dyDescent="0.3">
      <c r="F848"/>
    </row>
    <row r="849" spans="6:6" x14ac:dyDescent="0.3">
      <c r="F849"/>
    </row>
    <row r="850" spans="6:6" x14ac:dyDescent="0.3">
      <c r="F850"/>
    </row>
    <row r="851" spans="6:6" x14ac:dyDescent="0.3">
      <c r="F851"/>
    </row>
    <row r="852" spans="6:6" x14ac:dyDescent="0.3">
      <c r="F852"/>
    </row>
    <row r="853" spans="6:6" x14ac:dyDescent="0.3">
      <c r="F853"/>
    </row>
    <row r="854" spans="6:6" x14ac:dyDescent="0.3">
      <c r="F854"/>
    </row>
    <row r="855" spans="6:6" x14ac:dyDescent="0.3">
      <c r="F855"/>
    </row>
    <row r="856" spans="6:6" x14ac:dyDescent="0.3">
      <c r="F856"/>
    </row>
    <row r="857" spans="6:6" x14ac:dyDescent="0.3">
      <c r="F857"/>
    </row>
    <row r="858" spans="6:6" x14ac:dyDescent="0.3">
      <c r="F858"/>
    </row>
    <row r="859" spans="6:6" x14ac:dyDescent="0.3">
      <c r="F859"/>
    </row>
    <row r="860" spans="6:6" x14ac:dyDescent="0.3">
      <c r="F860"/>
    </row>
    <row r="861" spans="6:6" x14ac:dyDescent="0.3">
      <c r="F861"/>
    </row>
    <row r="862" spans="6:6" x14ac:dyDescent="0.3">
      <c r="F862"/>
    </row>
    <row r="863" spans="6:6" x14ac:dyDescent="0.3">
      <c r="F863"/>
    </row>
    <row r="864" spans="6:6" x14ac:dyDescent="0.3">
      <c r="F864"/>
    </row>
    <row r="865" spans="6:6" x14ac:dyDescent="0.3">
      <c r="F865"/>
    </row>
    <row r="866" spans="6:6" x14ac:dyDescent="0.3">
      <c r="F866"/>
    </row>
    <row r="867" spans="6:6" x14ac:dyDescent="0.3">
      <c r="F867"/>
    </row>
    <row r="868" spans="6:6" x14ac:dyDescent="0.3">
      <c r="F868"/>
    </row>
    <row r="869" spans="6:6" x14ac:dyDescent="0.3">
      <c r="F869"/>
    </row>
    <row r="870" spans="6:6" x14ac:dyDescent="0.3">
      <c r="F870"/>
    </row>
    <row r="871" spans="6:6" x14ac:dyDescent="0.3">
      <c r="F871"/>
    </row>
    <row r="872" spans="6:6" x14ac:dyDescent="0.3">
      <c r="F872"/>
    </row>
    <row r="873" spans="6:6" x14ac:dyDescent="0.3">
      <c r="F873"/>
    </row>
    <row r="874" spans="6:6" x14ac:dyDescent="0.3">
      <c r="F874"/>
    </row>
    <row r="875" spans="6:6" x14ac:dyDescent="0.3">
      <c r="F875"/>
    </row>
    <row r="876" spans="6:6" x14ac:dyDescent="0.3">
      <c r="F876"/>
    </row>
    <row r="877" spans="6:6" x14ac:dyDescent="0.3">
      <c r="F877"/>
    </row>
    <row r="878" spans="6:6" x14ac:dyDescent="0.3">
      <c r="F878"/>
    </row>
    <row r="879" spans="6:6" x14ac:dyDescent="0.3">
      <c r="F879"/>
    </row>
    <row r="880" spans="6:6" x14ac:dyDescent="0.3">
      <c r="F880"/>
    </row>
    <row r="881" spans="6:6" x14ac:dyDescent="0.3">
      <c r="F881"/>
    </row>
    <row r="882" spans="6:6" x14ac:dyDescent="0.3">
      <c r="F882"/>
    </row>
    <row r="883" spans="6:6" x14ac:dyDescent="0.3">
      <c r="F883"/>
    </row>
    <row r="884" spans="6:6" x14ac:dyDescent="0.3">
      <c r="F884"/>
    </row>
    <row r="885" spans="6:6" x14ac:dyDescent="0.3">
      <c r="F885"/>
    </row>
    <row r="886" spans="6:6" x14ac:dyDescent="0.3">
      <c r="F886"/>
    </row>
    <row r="887" spans="6:6" x14ac:dyDescent="0.3">
      <c r="F887"/>
    </row>
    <row r="888" spans="6:6" x14ac:dyDescent="0.3">
      <c r="F888"/>
    </row>
    <row r="889" spans="6:6" x14ac:dyDescent="0.3">
      <c r="F889"/>
    </row>
    <row r="890" spans="6:6" x14ac:dyDescent="0.3">
      <c r="F890"/>
    </row>
    <row r="891" spans="6:6" x14ac:dyDescent="0.3">
      <c r="F891"/>
    </row>
    <row r="892" spans="6:6" x14ac:dyDescent="0.3">
      <c r="F892"/>
    </row>
    <row r="893" spans="6:6" x14ac:dyDescent="0.3">
      <c r="F893"/>
    </row>
    <row r="894" spans="6:6" x14ac:dyDescent="0.3">
      <c r="F894"/>
    </row>
    <row r="895" spans="6:6" x14ac:dyDescent="0.3">
      <c r="F895"/>
    </row>
    <row r="896" spans="6:6" x14ac:dyDescent="0.3">
      <c r="F896"/>
    </row>
    <row r="897" spans="6:6" x14ac:dyDescent="0.3">
      <c r="F897"/>
    </row>
    <row r="898" spans="6:6" x14ac:dyDescent="0.3">
      <c r="F898"/>
    </row>
    <row r="899" spans="6:6" x14ac:dyDescent="0.3">
      <c r="F899"/>
    </row>
    <row r="900" spans="6:6" x14ac:dyDescent="0.3">
      <c r="F900"/>
    </row>
    <row r="901" spans="6:6" x14ac:dyDescent="0.3">
      <c r="F901"/>
    </row>
    <row r="902" spans="6:6" x14ac:dyDescent="0.3">
      <c r="F902"/>
    </row>
    <row r="903" spans="6:6" x14ac:dyDescent="0.3">
      <c r="F903"/>
    </row>
    <row r="904" spans="6:6" x14ac:dyDescent="0.3">
      <c r="F904"/>
    </row>
    <row r="905" spans="6:6" x14ac:dyDescent="0.3">
      <c r="F905"/>
    </row>
    <row r="906" spans="6:6" x14ac:dyDescent="0.3">
      <c r="F906"/>
    </row>
    <row r="907" spans="6:6" x14ac:dyDescent="0.3">
      <c r="F907"/>
    </row>
    <row r="908" spans="6:6" x14ac:dyDescent="0.3">
      <c r="F908"/>
    </row>
    <row r="909" spans="6:6" x14ac:dyDescent="0.3">
      <c r="F909"/>
    </row>
    <row r="910" spans="6:6" x14ac:dyDescent="0.3">
      <c r="F910"/>
    </row>
    <row r="911" spans="6:6" x14ac:dyDescent="0.3">
      <c r="F911"/>
    </row>
    <row r="912" spans="6:6" x14ac:dyDescent="0.3">
      <c r="F912"/>
    </row>
    <row r="913" spans="6:6" x14ac:dyDescent="0.3">
      <c r="F913"/>
    </row>
    <row r="914" spans="6:6" x14ac:dyDescent="0.3">
      <c r="F914"/>
    </row>
    <row r="915" spans="6:6" x14ac:dyDescent="0.3">
      <c r="F915"/>
    </row>
    <row r="916" spans="6:6" x14ac:dyDescent="0.3">
      <c r="F916"/>
    </row>
    <row r="917" spans="6:6" x14ac:dyDescent="0.3">
      <c r="F917"/>
    </row>
    <row r="918" spans="6:6" x14ac:dyDescent="0.3">
      <c r="F918"/>
    </row>
    <row r="919" spans="6:6" x14ac:dyDescent="0.3">
      <c r="F919"/>
    </row>
    <row r="920" spans="6:6" x14ac:dyDescent="0.3">
      <c r="F920"/>
    </row>
    <row r="921" spans="6:6" x14ac:dyDescent="0.3">
      <c r="F921"/>
    </row>
    <row r="922" spans="6:6" x14ac:dyDescent="0.3">
      <c r="F922"/>
    </row>
    <row r="923" spans="6:6" x14ac:dyDescent="0.3">
      <c r="F923"/>
    </row>
    <row r="924" spans="6:6" x14ac:dyDescent="0.3">
      <c r="F924"/>
    </row>
    <row r="925" spans="6:6" x14ac:dyDescent="0.3">
      <c r="F925"/>
    </row>
    <row r="926" spans="6:6" x14ac:dyDescent="0.3">
      <c r="F926"/>
    </row>
    <row r="927" spans="6:6" x14ac:dyDescent="0.3">
      <c r="F927"/>
    </row>
    <row r="928" spans="6:6" x14ac:dyDescent="0.3">
      <c r="F928"/>
    </row>
    <row r="929" spans="6:6" x14ac:dyDescent="0.3">
      <c r="F929"/>
    </row>
    <row r="930" spans="6:6" x14ac:dyDescent="0.3">
      <c r="F930"/>
    </row>
    <row r="931" spans="6:6" x14ac:dyDescent="0.3">
      <c r="F931"/>
    </row>
    <row r="932" spans="6:6" x14ac:dyDescent="0.3">
      <c r="F932"/>
    </row>
    <row r="933" spans="6:6" x14ac:dyDescent="0.3">
      <c r="F933"/>
    </row>
    <row r="934" spans="6:6" x14ac:dyDescent="0.3">
      <c r="F934"/>
    </row>
    <row r="935" spans="6:6" x14ac:dyDescent="0.3">
      <c r="F935"/>
    </row>
    <row r="936" spans="6:6" x14ac:dyDescent="0.3">
      <c r="F936"/>
    </row>
    <row r="937" spans="6:6" x14ac:dyDescent="0.3">
      <c r="F937"/>
    </row>
    <row r="938" spans="6:6" x14ac:dyDescent="0.3">
      <c r="F938"/>
    </row>
    <row r="939" spans="6:6" x14ac:dyDescent="0.3">
      <c r="F939"/>
    </row>
    <row r="940" spans="6:6" x14ac:dyDescent="0.3">
      <c r="F940"/>
    </row>
    <row r="941" spans="6:6" x14ac:dyDescent="0.3">
      <c r="F941"/>
    </row>
    <row r="942" spans="6:6" x14ac:dyDescent="0.3">
      <c r="F942"/>
    </row>
    <row r="943" spans="6:6" x14ac:dyDescent="0.3">
      <c r="F943"/>
    </row>
    <row r="944" spans="6:6" x14ac:dyDescent="0.3">
      <c r="F944"/>
    </row>
    <row r="945" spans="6:6" x14ac:dyDescent="0.3">
      <c r="F945"/>
    </row>
    <row r="946" spans="6:6" x14ac:dyDescent="0.3">
      <c r="F946"/>
    </row>
    <row r="947" spans="6:6" x14ac:dyDescent="0.3">
      <c r="F947"/>
    </row>
    <row r="948" spans="6:6" x14ac:dyDescent="0.3">
      <c r="F948"/>
    </row>
    <row r="949" spans="6:6" x14ac:dyDescent="0.3">
      <c r="F949"/>
    </row>
    <row r="950" spans="6:6" x14ac:dyDescent="0.3">
      <c r="F950"/>
    </row>
    <row r="951" spans="6:6" x14ac:dyDescent="0.3">
      <c r="F951"/>
    </row>
    <row r="952" spans="6:6" x14ac:dyDescent="0.3">
      <c r="F952"/>
    </row>
    <row r="953" spans="6:6" x14ac:dyDescent="0.3">
      <c r="F953"/>
    </row>
    <row r="954" spans="6:6" x14ac:dyDescent="0.3">
      <c r="F954"/>
    </row>
    <row r="955" spans="6:6" x14ac:dyDescent="0.3">
      <c r="F955"/>
    </row>
    <row r="956" spans="6:6" x14ac:dyDescent="0.3">
      <c r="F956"/>
    </row>
    <row r="957" spans="6:6" x14ac:dyDescent="0.3">
      <c r="F957"/>
    </row>
    <row r="958" spans="6:6" x14ac:dyDescent="0.3">
      <c r="F958"/>
    </row>
    <row r="959" spans="6:6" x14ac:dyDescent="0.3">
      <c r="F959"/>
    </row>
    <row r="960" spans="6:6" x14ac:dyDescent="0.3">
      <c r="F960"/>
    </row>
    <row r="961" spans="6:6" x14ac:dyDescent="0.3">
      <c r="F961"/>
    </row>
    <row r="962" spans="6:6" x14ac:dyDescent="0.3">
      <c r="F962"/>
    </row>
    <row r="963" spans="6:6" x14ac:dyDescent="0.3">
      <c r="F963"/>
    </row>
    <row r="964" spans="6:6" x14ac:dyDescent="0.3">
      <c r="F964"/>
    </row>
    <row r="965" spans="6:6" x14ac:dyDescent="0.3">
      <c r="F965"/>
    </row>
    <row r="966" spans="6:6" x14ac:dyDescent="0.3">
      <c r="F966"/>
    </row>
    <row r="967" spans="6:6" x14ac:dyDescent="0.3">
      <c r="F967"/>
    </row>
    <row r="968" spans="6:6" x14ac:dyDescent="0.3">
      <c r="F968"/>
    </row>
    <row r="969" spans="6:6" x14ac:dyDescent="0.3">
      <c r="F969"/>
    </row>
    <row r="970" spans="6:6" x14ac:dyDescent="0.3">
      <c r="F970"/>
    </row>
    <row r="971" spans="6:6" x14ac:dyDescent="0.3">
      <c r="F971"/>
    </row>
    <row r="972" spans="6:6" x14ac:dyDescent="0.3">
      <c r="F972"/>
    </row>
    <row r="973" spans="6:6" x14ac:dyDescent="0.3">
      <c r="F973"/>
    </row>
    <row r="974" spans="6:6" x14ac:dyDescent="0.3">
      <c r="F974"/>
    </row>
    <row r="975" spans="6:6" x14ac:dyDescent="0.3">
      <c r="F975"/>
    </row>
    <row r="976" spans="6:6" x14ac:dyDescent="0.3">
      <c r="F976"/>
    </row>
    <row r="977" spans="6:6" x14ac:dyDescent="0.3">
      <c r="F977"/>
    </row>
    <row r="978" spans="6:6" x14ac:dyDescent="0.3">
      <c r="F978"/>
    </row>
    <row r="979" spans="6:6" x14ac:dyDescent="0.3">
      <c r="F979"/>
    </row>
    <row r="980" spans="6:6" x14ac:dyDescent="0.3">
      <c r="F980"/>
    </row>
    <row r="981" spans="6:6" x14ac:dyDescent="0.3">
      <c r="F981"/>
    </row>
    <row r="982" spans="6:6" x14ac:dyDescent="0.3">
      <c r="F982"/>
    </row>
    <row r="983" spans="6:6" x14ac:dyDescent="0.3">
      <c r="F983"/>
    </row>
    <row r="984" spans="6:6" x14ac:dyDescent="0.3">
      <c r="F984"/>
    </row>
    <row r="985" spans="6:6" x14ac:dyDescent="0.3">
      <c r="F985"/>
    </row>
    <row r="986" spans="6:6" x14ac:dyDescent="0.3">
      <c r="F986"/>
    </row>
    <row r="987" spans="6:6" x14ac:dyDescent="0.3">
      <c r="F987"/>
    </row>
    <row r="988" spans="6:6" x14ac:dyDescent="0.3">
      <c r="F988"/>
    </row>
    <row r="989" spans="6:6" x14ac:dyDescent="0.3">
      <c r="F989"/>
    </row>
    <row r="990" spans="6:6" x14ac:dyDescent="0.3">
      <c r="F990"/>
    </row>
    <row r="991" spans="6:6" x14ac:dyDescent="0.3">
      <c r="F991"/>
    </row>
    <row r="992" spans="6:6" x14ac:dyDescent="0.3">
      <c r="F992"/>
    </row>
    <row r="993" spans="6:6" x14ac:dyDescent="0.3">
      <c r="F993"/>
    </row>
    <row r="994" spans="6:6" x14ac:dyDescent="0.3">
      <c r="F994"/>
    </row>
    <row r="995" spans="6:6" x14ac:dyDescent="0.3">
      <c r="F995"/>
    </row>
    <row r="996" spans="6:6" x14ac:dyDescent="0.3">
      <c r="F996"/>
    </row>
    <row r="997" spans="6:6" x14ac:dyDescent="0.3">
      <c r="F997"/>
    </row>
    <row r="998" spans="6:6" x14ac:dyDescent="0.3">
      <c r="F998"/>
    </row>
    <row r="999" spans="6:6" x14ac:dyDescent="0.3">
      <c r="F999"/>
    </row>
    <row r="1000" spans="6:6" x14ac:dyDescent="0.3">
      <c r="F1000"/>
    </row>
    <row r="1001" spans="6:6" x14ac:dyDescent="0.3">
      <c r="F1001"/>
    </row>
    <row r="1002" spans="6:6" x14ac:dyDescent="0.3">
      <c r="F1002"/>
    </row>
    <row r="1003" spans="6:6" x14ac:dyDescent="0.3">
      <c r="F1003"/>
    </row>
    <row r="1004" spans="6:6" x14ac:dyDescent="0.3">
      <c r="F1004"/>
    </row>
    <row r="1005" spans="6:6" x14ac:dyDescent="0.3">
      <c r="F1005"/>
    </row>
    <row r="1006" spans="6:6" x14ac:dyDescent="0.3">
      <c r="F1006"/>
    </row>
    <row r="1007" spans="6:6" x14ac:dyDescent="0.3">
      <c r="F1007"/>
    </row>
    <row r="1008" spans="6:6" x14ac:dyDescent="0.3">
      <c r="F1008"/>
    </row>
    <row r="1009" spans="6:6" x14ac:dyDescent="0.3">
      <c r="F1009"/>
    </row>
    <row r="1010" spans="6:6" x14ac:dyDescent="0.3">
      <c r="F1010"/>
    </row>
    <row r="1011" spans="6:6" x14ac:dyDescent="0.3">
      <c r="F1011"/>
    </row>
    <row r="1012" spans="6:6" x14ac:dyDescent="0.3">
      <c r="F1012"/>
    </row>
    <row r="1013" spans="6:6" x14ac:dyDescent="0.3">
      <c r="F1013"/>
    </row>
    <row r="1014" spans="6:6" x14ac:dyDescent="0.3">
      <c r="F1014"/>
    </row>
    <row r="1015" spans="6:6" x14ac:dyDescent="0.3">
      <c r="F1015"/>
    </row>
    <row r="1016" spans="6:6" x14ac:dyDescent="0.3">
      <c r="F1016"/>
    </row>
    <row r="1017" spans="6:6" x14ac:dyDescent="0.3">
      <c r="F1017"/>
    </row>
    <row r="1018" spans="6:6" x14ac:dyDescent="0.3">
      <c r="F1018"/>
    </row>
    <row r="1019" spans="6:6" x14ac:dyDescent="0.3">
      <c r="F1019"/>
    </row>
    <row r="1020" spans="6:6" x14ac:dyDescent="0.3">
      <c r="F1020"/>
    </row>
    <row r="1021" spans="6:6" x14ac:dyDescent="0.3">
      <c r="F1021"/>
    </row>
    <row r="1022" spans="6:6" x14ac:dyDescent="0.3">
      <c r="F1022"/>
    </row>
    <row r="1023" spans="6:6" x14ac:dyDescent="0.3">
      <c r="F1023"/>
    </row>
    <row r="1024" spans="6:6" x14ac:dyDescent="0.3">
      <c r="F1024"/>
    </row>
    <row r="1025" spans="6:6" x14ac:dyDescent="0.3">
      <c r="F1025"/>
    </row>
    <row r="1026" spans="6:6" x14ac:dyDescent="0.3">
      <c r="F1026"/>
    </row>
    <row r="1027" spans="6:6" x14ac:dyDescent="0.3">
      <c r="F1027"/>
    </row>
    <row r="1028" spans="6:6" x14ac:dyDescent="0.3">
      <c r="F1028"/>
    </row>
    <row r="1029" spans="6:6" x14ac:dyDescent="0.3">
      <c r="F1029"/>
    </row>
    <row r="1030" spans="6:6" x14ac:dyDescent="0.3">
      <c r="F1030"/>
    </row>
    <row r="1031" spans="6:6" x14ac:dyDescent="0.3">
      <c r="F1031"/>
    </row>
    <row r="1032" spans="6:6" x14ac:dyDescent="0.3">
      <c r="F1032"/>
    </row>
    <row r="1033" spans="6:6" x14ac:dyDescent="0.3">
      <c r="F1033"/>
    </row>
    <row r="1034" spans="6:6" x14ac:dyDescent="0.3">
      <c r="F1034"/>
    </row>
    <row r="1035" spans="6:6" x14ac:dyDescent="0.3">
      <c r="F1035"/>
    </row>
    <row r="1036" spans="6:6" x14ac:dyDescent="0.3">
      <c r="F1036"/>
    </row>
    <row r="1037" spans="6:6" x14ac:dyDescent="0.3">
      <c r="F1037"/>
    </row>
    <row r="1038" spans="6:6" x14ac:dyDescent="0.3">
      <c r="F1038"/>
    </row>
    <row r="1039" spans="6:6" x14ac:dyDescent="0.3">
      <c r="F1039"/>
    </row>
    <row r="1040" spans="6:6" x14ac:dyDescent="0.3">
      <c r="F1040"/>
    </row>
    <row r="1041" spans="6:6" x14ac:dyDescent="0.3">
      <c r="F1041"/>
    </row>
    <row r="1042" spans="6:6" x14ac:dyDescent="0.3">
      <c r="F1042"/>
    </row>
    <row r="1043" spans="6:6" x14ac:dyDescent="0.3">
      <c r="F1043"/>
    </row>
    <row r="1044" spans="6:6" x14ac:dyDescent="0.3">
      <c r="F1044"/>
    </row>
    <row r="1045" spans="6:6" x14ac:dyDescent="0.3">
      <c r="F1045"/>
    </row>
    <row r="1046" spans="6:6" x14ac:dyDescent="0.3">
      <c r="F1046"/>
    </row>
    <row r="1047" spans="6:6" x14ac:dyDescent="0.3">
      <c r="F1047"/>
    </row>
    <row r="1048" spans="6:6" x14ac:dyDescent="0.3">
      <c r="F1048"/>
    </row>
    <row r="1049" spans="6:6" x14ac:dyDescent="0.3">
      <c r="F1049"/>
    </row>
    <row r="1050" spans="6:6" x14ac:dyDescent="0.3">
      <c r="F1050"/>
    </row>
    <row r="1051" spans="6:6" x14ac:dyDescent="0.3">
      <c r="F1051"/>
    </row>
    <row r="1052" spans="6:6" x14ac:dyDescent="0.3">
      <c r="F1052"/>
    </row>
    <row r="1053" spans="6:6" x14ac:dyDescent="0.3">
      <c r="F1053"/>
    </row>
    <row r="1054" spans="6:6" x14ac:dyDescent="0.3">
      <c r="F1054"/>
    </row>
    <row r="1055" spans="6:6" x14ac:dyDescent="0.3">
      <c r="F1055"/>
    </row>
    <row r="1056" spans="6:6" x14ac:dyDescent="0.3">
      <c r="F1056"/>
    </row>
    <row r="1057" spans="6:6" x14ac:dyDescent="0.3">
      <c r="F1057"/>
    </row>
    <row r="1058" spans="6:6" x14ac:dyDescent="0.3">
      <c r="F1058"/>
    </row>
    <row r="1059" spans="6:6" x14ac:dyDescent="0.3">
      <c r="F1059"/>
    </row>
    <row r="1060" spans="6:6" x14ac:dyDescent="0.3">
      <c r="F1060"/>
    </row>
    <row r="1061" spans="6:6" x14ac:dyDescent="0.3">
      <c r="F1061"/>
    </row>
    <row r="1062" spans="6:6" x14ac:dyDescent="0.3">
      <c r="F1062"/>
    </row>
    <row r="1063" spans="6:6" x14ac:dyDescent="0.3">
      <c r="F1063"/>
    </row>
    <row r="1064" spans="6:6" x14ac:dyDescent="0.3">
      <c r="F1064"/>
    </row>
    <row r="1065" spans="6:6" x14ac:dyDescent="0.3">
      <c r="F1065"/>
    </row>
    <row r="1066" spans="6:6" x14ac:dyDescent="0.3">
      <c r="F1066"/>
    </row>
    <row r="1067" spans="6:6" x14ac:dyDescent="0.3">
      <c r="F1067"/>
    </row>
    <row r="1068" spans="6:6" x14ac:dyDescent="0.3">
      <c r="F1068"/>
    </row>
    <row r="1069" spans="6:6" x14ac:dyDescent="0.3">
      <c r="F1069"/>
    </row>
    <row r="1070" spans="6:6" x14ac:dyDescent="0.3">
      <c r="F1070"/>
    </row>
    <row r="1071" spans="6:6" x14ac:dyDescent="0.3">
      <c r="F1071"/>
    </row>
    <row r="1072" spans="6:6" x14ac:dyDescent="0.3">
      <c r="F1072"/>
    </row>
    <row r="1073" spans="6:6" x14ac:dyDescent="0.3">
      <c r="F1073"/>
    </row>
    <row r="1074" spans="6:6" x14ac:dyDescent="0.3">
      <c r="F1074"/>
    </row>
    <row r="1075" spans="6:6" x14ac:dyDescent="0.3">
      <c r="F1075"/>
    </row>
    <row r="1076" spans="6:6" x14ac:dyDescent="0.3">
      <c r="F1076"/>
    </row>
    <row r="1077" spans="6:6" x14ac:dyDescent="0.3">
      <c r="F1077"/>
    </row>
    <row r="1078" spans="6:6" x14ac:dyDescent="0.3">
      <c r="F1078"/>
    </row>
    <row r="1079" spans="6:6" x14ac:dyDescent="0.3">
      <c r="F1079"/>
    </row>
    <row r="1080" spans="6:6" x14ac:dyDescent="0.3">
      <c r="F1080"/>
    </row>
    <row r="1081" spans="6:6" x14ac:dyDescent="0.3">
      <c r="F1081"/>
    </row>
    <row r="1082" spans="6:6" x14ac:dyDescent="0.3">
      <c r="F1082"/>
    </row>
    <row r="1083" spans="6:6" x14ac:dyDescent="0.3">
      <c r="F1083"/>
    </row>
    <row r="1084" spans="6:6" x14ac:dyDescent="0.3">
      <c r="F1084"/>
    </row>
    <row r="1085" spans="6:6" x14ac:dyDescent="0.3">
      <c r="F1085"/>
    </row>
    <row r="1086" spans="6:6" x14ac:dyDescent="0.3">
      <c r="F1086"/>
    </row>
    <row r="1087" spans="6:6" x14ac:dyDescent="0.3">
      <c r="F1087"/>
    </row>
    <row r="1088" spans="6:6" x14ac:dyDescent="0.3">
      <c r="F1088"/>
    </row>
    <row r="1089" spans="6:6" x14ac:dyDescent="0.3">
      <c r="F1089"/>
    </row>
    <row r="1090" spans="6:6" x14ac:dyDescent="0.3">
      <c r="F1090"/>
    </row>
    <row r="1091" spans="6:6" x14ac:dyDescent="0.3">
      <c r="F1091"/>
    </row>
    <row r="1092" spans="6:6" x14ac:dyDescent="0.3">
      <c r="F1092"/>
    </row>
    <row r="1093" spans="6:6" x14ac:dyDescent="0.3">
      <c r="F1093"/>
    </row>
    <row r="1094" spans="6:6" x14ac:dyDescent="0.3">
      <c r="F1094"/>
    </row>
    <row r="1095" spans="6:6" x14ac:dyDescent="0.3">
      <c r="F1095"/>
    </row>
    <row r="1096" spans="6:6" x14ac:dyDescent="0.3">
      <c r="F1096"/>
    </row>
    <row r="1097" spans="6:6" x14ac:dyDescent="0.3">
      <c r="F1097"/>
    </row>
    <row r="1098" spans="6:6" x14ac:dyDescent="0.3">
      <c r="F1098"/>
    </row>
    <row r="1099" spans="6:6" x14ac:dyDescent="0.3">
      <c r="F1099"/>
    </row>
    <row r="1100" spans="6:6" x14ac:dyDescent="0.3">
      <c r="F1100"/>
    </row>
    <row r="1101" spans="6:6" x14ac:dyDescent="0.3">
      <c r="F1101"/>
    </row>
    <row r="1102" spans="6:6" x14ac:dyDescent="0.3">
      <c r="F1102"/>
    </row>
    <row r="1103" spans="6:6" x14ac:dyDescent="0.3">
      <c r="F1103"/>
    </row>
    <row r="1104" spans="6:6" x14ac:dyDescent="0.3">
      <c r="F1104"/>
    </row>
    <row r="1105" spans="6:6" x14ac:dyDescent="0.3">
      <c r="F1105"/>
    </row>
    <row r="1106" spans="6:6" x14ac:dyDescent="0.3">
      <c r="F1106"/>
    </row>
    <row r="1107" spans="6:6" x14ac:dyDescent="0.3">
      <c r="F1107"/>
    </row>
    <row r="1108" spans="6:6" x14ac:dyDescent="0.3">
      <c r="F1108"/>
    </row>
    <row r="1109" spans="6:6" x14ac:dyDescent="0.3">
      <c r="F1109"/>
    </row>
    <row r="1110" spans="6:6" x14ac:dyDescent="0.3">
      <c r="F1110"/>
    </row>
  </sheetData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915F-497A-4FE1-ACBC-C8FD0309DFA3}">
  <sheetPr codeName="Sheet4"/>
  <dimension ref="B2:W100"/>
  <sheetViews>
    <sheetView showGridLines="0" topLeftCell="A56" zoomScale="95" zoomScaleNormal="95" workbookViewId="0">
      <selection activeCell="A45" sqref="A45"/>
    </sheetView>
  </sheetViews>
  <sheetFormatPr defaultRowHeight="14.4" x14ac:dyDescent="0.3"/>
  <cols>
    <col min="1" max="1" width="2.6640625" customWidth="1"/>
    <col min="5" max="5" width="11.109375" customWidth="1"/>
    <col min="6" max="6" width="11.6640625" bestFit="1" customWidth="1"/>
    <col min="7" max="9" width="11.21875" customWidth="1"/>
    <col min="10" max="10" width="4.33203125" customWidth="1"/>
    <col min="11" max="11" width="10.109375" customWidth="1"/>
    <col min="12" max="14" width="10.5546875" bestFit="1" customWidth="1"/>
    <col min="15" max="15" width="10.33203125" customWidth="1"/>
    <col min="16" max="22" width="10.5546875" bestFit="1" customWidth="1"/>
  </cols>
  <sheetData>
    <row r="2" spans="2:22" x14ac:dyDescent="0.3">
      <c r="B2" s="173" t="s">
        <v>220</v>
      </c>
      <c r="C2" s="173"/>
      <c r="D2" s="173"/>
      <c r="E2" s="173"/>
      <c r="F2" s="147"/>
      <c r="G2" s="147"/>
      <c r="H2" s="147"/>
      <c r="I2" s="147"/>
      <c r="J2" s="147"/>
      <c r="K2" s="428" t="s">
        <v>198</v>
      </c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</row>
    <row r="4" spans="2:22" x14ac:dyDescent="0.3">
      <c r="B4" s="186" t="s">
        <v>20</v>
      </c>
      <c r="C4" s="186"/>
      <c r="D4" s="186"/>
      <c r="E4" s="187">
        <v>2023</v>
      </c>
      <c r="F4" s="187">
        <v>2024</v>
      </c>
      <c r="G4" s="187">
        <v>2025</v>
      </c>
      <c r="H4" s="187">
        <v>2026</v>
      </c>
      <c r="I4" s="187">
        <v>2027</v>
      </c>
      <c r="J4" s="186"/>
      <c r="K4" s="187" t="s">
        <v>25</v>
      </c>
      <c r="L4" s="187" t="s">
        <v>26</v>
      </c>
      <c r="M4" s="187" t="s">
        <v>27</v>
      </c>
      <c r="N4" s="187" t="s">
        <v>28</v>
      </c>
      <c r="O4" s="187" t="s">
        <v>29</v>
      </c>
      <c r="P4" s="187" t="s">
        <v>30</v>
      </c>
      <c r="Q4" s="187" t="s">
        <v>31</v>
      </c>
      <c r="R4" s="187" t="s">
        <v>32</v>
      </c>
      <c r="S4" s="187" t="s">
        <v>33</v>
      </c>
      <c r="T4" s="187" t="s">
        <v>34</v>
      </c>
      <c r="U4" s="187" t="s">
        <v>35</v>
      </c>
      <c r="V4" s="187" t="s">
        <v>36</v>
      </c>
    </row>
    <row r="5" spans="2:22" x14ac:dyDescent="0.3">
      <c r="B5" t="s">
        <v>37</v>
      </c>
      <c r="E5" s="194">
        <f>'Statements Summary 2023'!V5</f>
        <v>54409</v>
      </c>
      <c r="F5" s="194">
        <f t="shared" ref="F5:F17" si="0">V5</f>
        <v>54409</v>
      </c>
      <c r="G5" s="194">
        <f>'Statements Summary 2025'!V5</f>
        <v>54409</v>
      </c>
      <c r="H5" s="194">
        <f>'Statements Summary 2026'!V5</f>
        <v>54409</v>
      </c>
      <c r="I5" s="194">
        <f>'Statements Summary 2027'!V5</f>
        <v>54409</v>
      </c>
      <c r="K5" s="194">
        <f>'CF 2024'!G68</f>
        <v>31047</v>
      </c>
      <c r="L5" s="194">
        <f>'CF 2024'!H68</f>
        <v>31047</v>
      </c>
      <c r="M5" s="194">
        <f>'CF 2024'!I68</f>
        <v>48839</v>
      </c>
      <c r="N5" s="194">
        <f>'CF 2024'!J68</f>
        <v>52523</v>
      </c>
      <c r="O5" s="194">
        <f>'CF 2024'!K68</f>
        <v>53570</v>
      </c>
      <c r="P5" s="194">
        <f>'CF 2024'!L68</f>
        <v>55538</v>
      </c>
      <c r="Q5" s="194">
        <f>'CF 2024'!M68</f>
        <v>62721</v>
      </c>
      <c r="R5" s="194">
        <f>'CF 2024'!N68</f>
        <v>62690</v>
      </c>
      <c r="S5" s="194">
        <f>'CF 2024'!O68</f>
        <v>61702</v>
      </c>
      <c r="T5" s="194">
        <f>'CF 2024'!P68</f>
        <v>54136</v>
      </c>
      <c r="U5" s="194">
        <f>'CF 2024'!Q68</f>
        <v>54039</v>
      </c>
      <c r="V5" s="194">
        <f>'CF 2024'!R68</f>
        <v>54409</v>
      </c>
    </row>
    <row r="6" spans="2:22" x14ac:dyDescent="0.3">
      <c r="B6" t="s">
        <v>38</v>
      </c>
      <c r="E6" s="194">
        <f>'Statements Summary 2023'!V6</f>
        <v>-200</v>
      </c>
      <c r="F6" s="194">
        <f>'CF 2024'!R34</f>
        <v>-200</v>
      </c>
      <c r="G6" s="194">
        <f>'CF 2025'!R36</f>
        <v>-200</v>
      </c>
      <c r="H6" s="194">
        <f>'Statements Summary 2026'!V6</f>
        <v>-250</v>
      </c>
      <c r="I6" s="194">
        <f>'Statements Summary 2027'!V6</f>
        <v>-250</v>
      </c>
      <c r="K6" s="194">
        <f>'CF 2024'!G34</f>
        <v>-200</v>
      </c>
      <c r="L6" s="194">
        <f>'CF 2024'!H34</f>
        <v>-200</v>
      </c>
      <c r="M6" s="194">
        <f>'CF 2024'!I34</f>
        <v>-200</v>
      </c>
      <c r="N6" s="194">
        <f>'CF 2024'!J34</f>
        <v>-200</v>
      </c>
      <c r="O6" s="194">
        <f>'CF 2024'!K34</f>
        <v>-200</v>
      </c>
      <c r="P6" s="194">
        <f>'CF 2024'!L34</f>
        <v>-200</v>
      </c>
      <c r="Q6" s="194">
        <f>'CF 2024'!M34</f>
        <v>-200</v>
      </c>
      <c r="R6" s="194">
        <f>'CF 2024'!N34</f>
        <v>-200</v>
      </c>
      <c r="S6" s="194">
        <f>'CF 2024'!O34</f>
        <v>-200</v>
      </c>
      <c r="T6" s="194">
        <f>'CF 2024'!P34</f>
        <v>-200</v>
      </c>
      <c r="U6" s="194">
        <f>'CF 2024'!Q34</f>
        <v>-200</v>
      </c>
      <c r="V6" s="194">
        <f>'CF 2024'!R34</f>
        <v>-200</v>
      </c>
    </row>
    <row r="7" spans="2:22" x14ac:dyDescent="0.3">
      <c r="B7" t="s">
        <v>39</v>
      </c>
      <c r="E7" s="194">
        <f>'Statements Summary 2023'!V7</f>
        <v>-3300</v>
      </c>
      <c r="F7" s="194">
        <f t="shared" si="0"/>
        <v>-3300</v>
      </c>
      <c r="G7" s="194">
        <f>'Statements Summary 2025'!V7</f>
        <v>-3300</v>
      </c>
      <c r="H7" s="194">
        <f>'Statements Summary 2026'!V7</f>
        <v>-3300</v>
      </c>
      <c r="I7" s="194">
        <f>'Statements Summary 2027'!V7</f>
        <v>0</v>
      </c>
      <c r="K7" s="194" t="s">
        <v>190</v>
      </c>
      <c r="L7" s="194">
        <f>'CF 2024'!H52</f>
        <v>-3300</v>
      </c>
      <c r="M7" s="194">
        <f>'CF 2024'!I52</f>
        <v>-3300</v>
      </c>
      <c r="N7" s="194">
        <f>'CF 2024'!J52</f>
        <v>-3300</v>
      </c>
      <c r="O7" s="194">
        <f>'CF 2024'!K52</f>
        <v>-3300</v>
      </c>
      <c r="P7" s="194">
        <f>'CF 2024'!L52</f>
        <v>-3300</v>
      </c>
      <c r="Q7" s="194">
        <f>'CF 2024'!M52</f>
        <v>-3300</v>
      </c>
      <c r="R7" s="194">
        <f>'CF 2024'!N52</f>
        <v>-3300</v>
      </c>
      <c r="S7" s="194">
        <f>'CF 2024'!O52</f>
        <v>-3300</v>
      </c>
      <c r="T7" s="194">
        <f>'CF 2024'!P52</f>
        <v>-3300</v>
      </c>
      <c r="U7" s="194">
        <f>'CF 2024'!Q52</f>
        <v>-3300</v>
      </c>
      <c r="V7" s="194">
        <f>'CF 2024'!R52</f>
        <v>-3300</v>
      </c>
    </row>
    <row r="8" spans="2:22" x14ac:dyDescent="0.3">
      <c r="B8" t="s">
        <v>14</v>
      </c>
      <c r="E8" s="194">
        <f>'Statements Summary 2023'!V8</f>
        <v>23102.6</v>
      </c>
      <c r="F8" s="194">
        <f t="shared" si="0"/>
        <v>23102.6</v>
      </c>
      <c r="G8" s="194">
        <f>'Statements Summary 2025'!V8</f>
        <v>43959.8</v>
      </c>
      <c r="H8" s="194">
        <f>'Statements Summary 2026'!V8</f>
        <v>44642.2</v>
      </c>
      <c r="I8" s="194">
        <f>'Statements Summary 2027'!V8</f>
        <v>44651</v>
      </c>
      <c r="K8" s="194">
        <f>'CF 2024'!G41</f>
        <v>-2847</v>
      </c>
      <c r="L8" s="194">
        <f>'CF 2024'!H41</f>
        <v>-2187</v>
      </c>
      <c r="M8" s="194">
        <f>'CF 2024'!I41</f>
        <v>12706.599999999999</v>
      </c>
      <c r="N8" s="194">
        <f>'CF 2024'!J41</f>
        <v>16313.800000000003</v>
      </c>
      <c r="O8" s="194">
        <f>'CF 2024'!K41</f>
        <v>17811.400000000001</v>
      </c>
      <c r="P8" s="194">
        <f>'CF 2024'!L41</f>
        <v>19885.800000000003</v>
      </c>
      <c r="Q8" s="194">
        <f>'CF 2024'!M41</f>
        <v>26452.199999999997</v>
      </c>
      <c r="R8" s="194">
        <f>'CF 2024'!N41</f>
        <v>27087.4</v>
      </c>
      <c r="S8" s="194">
        <f>'CF 2024'!O41</f>
        <v>26957</v>
      </c>
      <c r="T8" s="194">
        <f>'CF 2024'!P41</f>
        <v>21564.199999999997</v>
      </c>
      <c r="U8" s="194">
        <f>'CF 2024'!Q41</f>
        <v>22146.6</v>
      </c>
      <c r="V8" s="194">
        <f>'CF 2024'!R41</f>
        <v>23102.6</v>
      </c>
    </row>
    <row r="9" spans="2:22" x14ac:dyDescent="0.3">
      <c r="B9" t="s">
        <v>40</v>
      </c>
      <c r="E9" s="194" t="str">
        <f>'Statements Summary 2023'!V9</f>
        <v>-</v>
      </c>
      <c r="F9" s="194" t="str">
        <f t="shared" si="0"/>
        <v>-</v>
      </c>
      <c r="G9" s="194">
        <f>'Statements Summary 2025'!V9</f>
        <v>0</v>
      </c>
      <c r="H9" s="194">
        <f>'Statements Summary 2026'!V9</f>
        <v>0</v>
      </c>
      <c r="I9" s="194">
        <f>'Statements Summary 2027'!V9</f>
        <v>0</v>
      </c>
      <c r="K9" s="194">
        <f>'CF 2024'!G46</f>
        <v>0</v>
      </c>
      <c r="L9" s="194" t="s">
        <v>190</v>
      </c>
      <c r="M9" s="194" t="s">
        <v>190</v>
      </c>
      <c r="N9" s="194" t="s">
        <v>190</v>
      </c>
      <c r="O9" s="194" t="s">
        <v>190</v>
      </c>
      <c r="P9" s="194" t="s">
        <v>190</v>
      </c>
      <c r="Q9" s="194" t="s">
        <v>190</v>
      </c>
      <c r="R9" s="194" t="s">
        <v>190</v>
      </c>
      <c r="S9" s="194" t="s">
        <v>190</v>
      </c>
      <c r="T9" s="194" t="s">
        <v>190</v>
      </c>
      <c r="U9" s="194" t="s">
        <v>190</v>
      </c>
      <c r="V9" s="194" t="s">
        <v>190</v>
      </c>
    </row>
    <row r="10" spans="2:22" x14ac:dyDescent="0.3">
      <c r="B10" t="s">
        <v>41</v>
      </c>
      <c r="E10" s="194" t="str">
        <f>'Statements Summary 2023'!V10</f>
        <v>-</v>
      </c>
      <c r="F10" s="194" t="str">
        <f t="shared" si="0"/>
        <v>-</v>
      </c>
      <c r="G10" s="194" t="str">
        <f>'Statements Summary 2025'!V10</f>
        <v>-</v>
      </c>
      <c r="H10" s="194" t="str">
        <f>'Statements Summary 2026'!V10</f>
        <v>-</v>
      </c>
      <c r="I10" s="194" t="str">
        <f>'Statements Summary 2027'!V10</f>
        <v>-</v>
      </c>
      <c r="K10" s="194" t="s">
        <v>190</v>
      </c>
      <c r="L10" s="194" t="s">
        <v>190</v>
      </c>
      <c r="M10" s="194" t="s">
        <v>190</v>
      </c>
      <c r="N10" s="194" t="s">
        <v>190</v>
      </c>
      <c r="O10" s="194" t="s">
        <v>190</v>
      </c>
      <c r="P10" s="194" t="s">
        <v>190</v>
      </c>
      <c r="Q10" s="194" t="s">
        <v>190</v>
      </c>
      <c r="R10" s="194" t="s">
        <v>190</v>
      </c>
      <c r="S10" s="194" t="s">
        <v>190</v>
      </c>
      <c r="T10" s="194" t="s">
        <v>190</v>
      </c>
      <c r="U10" s="194" t="s">
        <v>190</v>
      </c>
      <c r="V10" s="194" t="s">
        <v>190</v>
      </c>
    </row>
    <row r="11" spans="2:22" x14ac:dyDescent="0.3">
      <c r="B11" t="s">
        <v>42</v>
      </c>
      <c r="E11" s="194" t="str">
        <f>'Statements Summary 2023'!V11</f>
        <v>-</v>
      </c>
      <c r="F11" s="194" t="str">
        <f t="shared" si="0"/>
        <v>-</v>
      </c>
      <c r="G11" s="194" t="str">
        <f>'Statements Summary 2025'!V11</f>
        <v>-</v>
      </c>
      <c r="H11" s="194" t="str">
        <f>'Statements Summary 2026'!V11</f>
        <v>-</v>
      </c>
      <c r="I11" s="194" t="str">
        <f>'Statements Summary 2027'!V11</f>
        <v>-</v>
      </c>
      <c r="K11" s="194">
        <f>'CF 2024'!G46</f>
        <v>0</v>
      </c>
      <c r="L11" s="194" t="s">
        <v>190</v>
      </c>
      <c r="M11" s="194" t="s">
        <v>190</v>
      </c>
      <c r="N11" s="194" t="s">
        <v>190</v>
      </c>
      <c r="O11" s="194" t="s">
        <v>190</v>
      </c>
      <c r="P11" s="194" t="s">
        <v>190</v>
      </c>
      <c r="Q11" s="194" t="s">
        <v>190</v>
      </c>
      <c r="R11" s="194" t="s">
        <v>190</v>
      </c>
      <c r="S11" s="194" t="s">
        <v>190</v>
      </c>
      <c r="T11" s="194" t="s">
        <v>190</v>
      </c>
      <c r="U11" s="194" t="s">
        <v>190</v>
      </c>
      <c r="V11" s="194" t="s">
        <v>190</v>
      </c>
    </row>
    <row r="12" spans="2:22" x14ac:dyDescent="0.3">
      <c r="B12" t="s">
        <v>43</v>
      </c>
      <c r="E12" s="194">
        <f>'Statements Summary 2023'!V12</f>
        <v>-3300</v>
      </c>
      <c r="F12" s="194">
        <f t="shared" si="0"/>
        <v>-3300</v>
      </c>
      <c r="G12" s="194">
        <f>'Statements Summary 2025'!V12</f>
        <v>-3300</v>
      </c>
      <c r="H12" s="194">
        <f>'Statements Summary 2026'!V12</f>
        <v>-3300</v>
      </c>
      <c r="I12" s="194">
        <f>'Statements Summary 2027'!V12</f>
        <v>0</v>
      </c>
      <c r="K12" s="194" t="s">
        <v>190</v>
      </c>
      <c r="L12" s="194">
        <f>'CF 2024'!H52</f>
        <v>-3300</v>
      </c>
      <c r="M12" s="194">
        <f>'CF 2024'!I52</f>
        <v>-3300</v>
      </c>
      <c r="N12" s="194">
        <f>'CF 2024'!J52</f>
        <v>-3300</v>
      </c>
      <c r="O12" s="194">
        <f>'CF 2024'!K52</f>
        <v>-3300</v>
      </c>
      <c r="P12" s="194">
        <f>'CF 2024'!L52</f>
        <v>-3300</v>
      </c>
      <c r="Q12" s="194">
        <f>'CF 2024'!M52</f>
        <v>-3300</v>
      </c>
      <c r="R12" s="194">
        <f>'CF 2024'!N52</f>
        <v>-3300</v>
      </c>
      <c r="S12" s="194">
        <f>'CF 2024'!O52</f>
        <v>-3300</v>
      </c>
      <c r="T12" s="194">
        <f>'CF 2024'!P52</f>
        <v>-3300</v>
      </c>
      <c r="U12" s="194">
        <f>'CF 2024'!Q52</f>
        <v>-3300</v>
      </c>
      <c r="V12" s="194">
        <f>'CF 2024'!R52</f>
        <v>-3300</v>
      </c>
    </row>
    <row r="13" spans="2:22" x14ac:dyDescent="0.3">
      <c r="B13" t="s">
        <v>44</v>
      </c>
      <c r="E13" s="194" t="str">
        <f>'Statements Summary 2023'!V13</f>
        <v>-</v>
      </c>
      <c r="F13" s="194" t="str">
        <f t="shared" si="0"/>
        <v>-</v>
      </c>
      <c r="G13" s="194" t="str">
        <f>'Statements Summary 2025'!V13</f>
        <v>-</v>
      </c>
      <c r="H13" s="194" t="str">
        <f>'Statements Summary 2026'!V13</f>
        <v>-</v>
      </c>
      <c r="I13" s="194" t="str">
        <f>'Statements Summary 2027'!V13</f>
        <v>-</v>
      </c>
      <c r="K13" s="194" t="s">
        <v>190</v>
      </c>
      <c r="L13" s="194" t="s">
        <v>190</v>
      </c>
      <c r="M13" s="194" t="s">
        <v>190</v>
      </c>
      <c r="N13" s="194" t="s">
        <v>190</v>
      </c>
      <c r="O13" s="194" t="s">
        <v>190</v>
      </c>
      <c r="P13" s="194" t="s">
        <v>190</v>
      </c>
      <c r="Q13" s="194" t="s">
        <v>190</v>
      </c>
      <c r="R13" s="194" t="s">
        <v>190</v>
      </c>
      <c r="S13" s="194" t="s">
        <v>190</v>
      </c>
      <c r="T13" s="194" t="s">
        <v>190</v>
      </c>
      <c r="U13" s="194" t="s">
        <v>190</v>
      </c>
      <c r="V13" s="194" t="s">
        <v>190</v>
      </c>
    </row>
    <row r="14" spans="2:22" x14ac:dyDescent="0.3">
      <c r="B14" t="s">
        <v>45</v>
      </c>
      <c r="E14" s="194" t="str">
        <f>'Statements Summary 2023'!V14</f>
        <v>-</v>
      </c>
      <c r="F14" s="194" t="str">
        <f t="shared" si="0"/>
        <v>-</v>
      </c>
      <c r="G14" s="194" t="str">
        <f>'Statements Summary 2025'!V14</f>
        <v>-</v>
      </c>
      <c r="H14" s="194" t="str">
        <f>'Statements Summary 2026'!V14</f>
        <v>-</v>
      </c>
      <c r="I14" s="194" t="str">
        <f>'Statements Summary 2027'!V14</f>
        <v>-</v>
      </c>
      <c r="K14" s="194" t="s">
        <v>190</v>
      </c>
      <c r="L14" s="194" t="s">
        <v>190</v>
      </c>
      <c r="M14" s="194" t="s">
        <v>190</v>
      </c>
      <c r="N14" s="194" t="s">
        <v>190</v>
      </c>
      <c r="O14" s="194" t="s">
        <v>190</v>
      </c>
      <c r="P14" s="194" t="s">
        <v>190</v>
      </c>
      <c r="Q14" s="194" t="s">
        <v>190</v>
      </c>
      <c r="R14" s="194" t="s">
        <v>190</v>
      </c>
      <c r="S14" s="194" t="s">
        <v>190</v>
      </c>
      <c r="T14" s="194" t="s">
        <v>190</v>
      </c>
      <c r="U14" s="194" t="s">
        <v>190</v>
      </c>
      <c r="V14" s="194" t="s">
        <v>190</v>
      </c>
    </row>
    <row r="15" spans="2:22" x14ac:dyDescent="0.3">
      <c r="B15" t="s">
        <v>46</v>
      </c>
      <c r="E15" s="194">
        <f>'Statements Summary 2023'!V15</f>
        <v>-3300</v>
      </c>
      <c r="F15" s="194">
        <f t="shared" si="0"/>
        <v>-3300</v>
      </c>
      <c r="G15" s="194">
        <f>'Statements Summary 2025'!V15</f>
        <v>-3300</v>
      </c>
      <c r="H15" s="194">
        <f>'Statements Summary 2026'!V15</f>
        <v>-3300</v>
      </c>
      <c r="I15" s="194">
        <f>'Statements Summary 2027'!V15</f>
        <v>0</v>
      </c>
      <c r="K15" s="194" t="s">
        <v>190</v>
      </c>
      <c r="L15" s="194">
        <f>'CF 2024'!H52</f>
        <v>-3300</v>
      </c>
      <c r="M15" s="194">
        <f>'CF 2024'!I52</f>
        <v>-3300</v>
      </c>
      <c r="N15" s="194">
        <f>'CF 2024'!J52</f>
        <v>-3300</v>
      </c>
      <c r="O15" s="194">
        <f>'CF 2024'!K52</f>
        <v>-3300</v>
      </c>
      <c r="P15" s="194">
        <f>'CF 2024'!L52</f>
        <v>-3300</v>
      </c>
      <c r="Q15" s="194">
        <f>'CF 2024'!M52</f>
        <v>-3300</v>
      </c>
      <c r="R15" s="194">
        <f>'CF 2024'!N52</f>
        <v>-3300</v>
      </c>
      <c r="S15" s="194">
        <f>'CF 2024'!O52</f>
        <v>-3300</v>
      </c>
      <c r="T15" s="194">
        <f>'CF 2024'!P52</f>
        <v>-3300</v>
      </c>
      <c r="U15" s="194">
        <f>'CF 2024'!Q52</f>
        <v>-3300</v>
      </c>
      <c r="V15" s="194">
        <f>'CF 2024'!R52</f>
        <v>-3300</v>
      </c>
    </row>
    <row r="16" spans="2:22" x14ac:dyDescent="0.3">
      <c r="B16" t="s">
        <v>195</v>
      </c>
      <c r="E16" s="194">
        <f>'Statements Summary 2023'!V16</f>
        <v>23102.6</v>
      </c>
      <c r="F16" s="194">
        <f t="shared" si="0"/>
        <v>23102.6</v>
      </c>
      <c r="G16" s="194">
        <f>'Statements Summary 2025'!V16</f>
        <v>43959.8</v>
      </c>
      <c r="H16" s="194">
        <f>'Statements Summary 2026'!V16</f>
        <v>44642.2</v>
      </c>
      <c r="I16" s="194">
        <f>'Statements Summary 2027'!V16</f>
        <v>44651</v>
      </c>
      <c r="K16" s="194">
        <f>'CF 2024'!G41</f>
        <v>-2847</v>
      </c>
      <c r="L16" s="194">
        <f>'CF 2024'!H41</f>
        <v>-2187</v>
      </c>
      <c r="M16" s="194">
        <f>'CF 2024'!I41</f>
        <v>12706.599999999999</v>
      </c>
      <c r="N16" s="194">
        <f>'CF 2024'!J41</f>
        <v>16313.800000000003</v>
      </c>
      <c r="O16" s="194">
        <f>'CF 2024'!K41</f>
        <v>17811.400000000001</v>
      </c>
      <c r="P16" s="194">
        <f>'CF 2024'!L41</f>
        <v>19885.800000000003</v>
      </c>
      <c r="Q16" s="194">
        <f>'CF 2024'!M41</f>
        <v>26452.199999999997</v>
      </c>
      <c r="R16" s="194">
        <f>'CF 2024'!N41</f>
        <v>27087.4</v>
      </c>
      <c r="S16" s="194">
        <f>'CF 2024'!O41</f>
        <v>26957</v>
      </c>
      <c r="T16" s="194">
        <f>'CF 2024'!P41</f>
        <v>21564.199999999997</v>
      </c>
      <c r="U16" s="194">
        <f>'CF 2024'!Q41</f>
        <v>22146.6</v>
      </c>
      <c r="V16" s="194">
        <f>'CF 2024'!R41</f>
        <v>23102.6</v>
      </c>
    </row>
    <row r="17" spans="2:22" x14ac:dyDescent="0.3">
      <c r="B17" t="s">
        <v>47</v>
      </c>
      <c r="E17" s="194">
        <f>'Statements Summary 2023'!V17</f>
        <v>42905.200000000004</v>
      </c>
      <c r="F17" s="194">
        <f t="shared" si="0"/>
        <v>42905.200000000004</v>
      </c>
      <c r="G17" s="194">
        <f>'Statements Summary 2025'!V17</f>
        <v>84619.6</v>
      </c>
      <c r="H17" s="194">
        <f>'Statements Summary 2026'!V17</f>
        <v>85984.4</v>
      </c>
      <c r="I17" s="194">
        <f>'Statements Summary 2027'!V17</f>
        <v>89302</v>
      </c>
      <c r="K17" s="194">
        <f>'CF 2024'!G62+'CF 2024'!G38+'CF 2024'!G39</f>
        <v>-8994</v>
      </c>
      <c r="L17" s="194">
        <f>'CF 2024'!H62+'CF 2024'!H38+'CF 2024'!H39</f>
        <v>-7674</v>
      </c>
      <c r="M17" s="194">
        <f>'CF 2024'!I62+'CF 2024'!I38+'CF 2024'!I39</f>
        <v>22113.199999999997</v>
      </c>
      <c r="N17" s="194">
        <f>'CF 2024'!J62+'CF 2024'!J38+'CF 2024'!J39</f>
        <v>29327.600000000006</v>
      </c>
      <c r="O17" s="194">
        <f>'CF 2024'!K62+'CF 2024'!K38+'CF 2024'!K39</f>
        <v>32322.799999999996</v>
      </c>
      <c r="P17" s="194">
        <f>'CF 2024'!L62+'CF 2024'!L38+'CF 2024'!L39</f>
        <v>36471.600000000006</v>
      </c>
      <c r="Q17" s="194">
        <f>'CF 2024'!M62+'CF 2024'!M38+'CF 2024'!M39</f>
        <v>49604.399999999994</v>
      </c>
      <c r="R17" s="194">
        <f>'CF 2024'!N62+'CF 2024'!N38+'CF 2024'!N39</f>
        <v>50874.799999999996</v>
      </c>
      <c r="S17" s="194">
        <f>'CF 2024'!O62+'CF 2024'!O38+'CF 2024'!O39</f>
        <v>50614</v>
      </c>
      <c r="T17" s="194">
        <f>'CF 2024'!P62+'CF 2024'!P38+'CF 2024'!P39</f>
        <v>39828.399999999994</v>
      </c>
      <c r="U17" s="194">
        <f>'CF 2024'!Q62+'CF 2024'!Q38+'CF 2024'!Q39</f>
        <v>40993.200000000004</v>
      </c>
      <c r="V17" s="194">
        <f>'CF 2024'!R62+'CF 2024'!R38+'CF 2024'!R39</f>
        <v>42905.200000000004</v>
      </c>
    </row>
    <row r="19" spans="2:22" x14ac:dyDescent="0.3">
      <c r="B19" s="173" t="s">
        <v>220</v>
      </c>
      <c r="C19" s="147"/>
      <c r="D19" s="147"/>
      <c r="E19" s="147"/>
      <c r="F19" s="147"/>
      <c r="G19" s="147"/>
      <c r="H19" s="147"/>
      <c r="I19" s="147"/>
      <c r="K19" s="428" t="s">
        <v>198</v>
      </c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</row>
    <row r="41" spans="2:22" x14ac:dyDescent="0.3">
      <c r="B41" s="173" t="s">
        <v>221</v>
      </c>
      <c r="C41" s="173"/>
      <c r="D41" s="173"/>
      <c r="E41" s="173"/>
      <c r="F41" s="147"/>
      <c r="G41" s="147"/>
      <c r="H41" s="147"/>
      <c r="I41" s="147"/>
      <c r="J41" s="147"/>
      <c r="K41" s="428" t="s">
        <v>199</v>
      </c>
      <c r="L41" s="428"/>
      <c r="M41" s="428"/>
      <c r="N41" s="428"/>
      <c r="O41" s="428"/>
      <c r="P41" s="428"/>
      <c r="Q41" s="428"/>
      <c r="R41" s="428"/>
      <c r="S41" s="428"/>
      <c r="T41" s="428"/>
      <c r="U41" s="428"/>
      <c r="V41" s="428"/>
    </row>
    <row r="43" spans="2:22" x14ac:dyDescent="0.3">
      <c r="B43" s="186" t="s">
        <v>20</v>
      </c>
      <c r="C43" s="186"/>
      <c r="D43" s="186"/>
      <c r="E43" s="187">
        <v>2023</v>
      </c>
      <c r="F43" s="187">
        <v>2024</v>
      </c>
      <c r="G43" s="187">
        <v>2025</v>
      </c>
      <c r="H43" s="187">
        <v>2026</v>
      </c>
      <c r="I43" s="187">
        <v>2027</v>
      </c>
      <c r="J43" s="186"/>
      <c r="K43" s="186" t="s">
        <v>25</v>
      </c>
      <c r="L43" s="186" t="s">
        <v>26</v>
      </c>
      <c r="M43" s="186" t="s">
        <v>27</v>
      </c>
      <c r="N43" s="186" t="s">
        <v>28</v>
      </c>
      <c r="O43" s="186" t="s">
        <v>29</v>
      </c>
      <c r="P43" s="186" t="s">
        <v>30</v>
      </c>
      <c r="Q43" s="186" t="s">
        <v>31</v>
      </c>
      <c r="R43" s="186" t="s">
        <v>32</v>
      </c>
      <c r="S43" s="186" t="s">
        <v>33</v>
      </c>
      <c r="T43" s="186" t="s">
        <v>34</v>
      </c>
      <c r="U43" s="186" t="s">
        <v>35</v>
      </c>
      <c r="V43" s="186" t="s">
        <v>36</v>
      </c>
    </row>
    <row r="44" spans="2:22" x14ac:dyDescent="0.3">
      <c r="B44" s="14" t="s">
        <v>2</v>
      </c>
      <c r="C44" s="14"/>
      <c r="D44" s="14"/>
      <c r="E44" s="188">
        <f>'Statements Summary 2023'!V44</f>
        <v>54409</v>
      </c>
      <c r="F44" s="188">
        <f t="shared" ref="F44:F64" si="1">V44</f>
        <v>54409</v>
      </c>
      <c r="G44" s="188">
        <f>'Statements Summary 2025'!V45</f>
        <v>54409</v>
      </c>
      <c r="H44" s="188">
        <f>'Statements Summary 2026'!V45</f>
        <v>54409</v>
      </c>
      <c r="I44" s="188">
        <f>'Statements Summary 2027'!V45</f>
        <v>54409</v>
      </c>
      <c r="K44" s="188">
        <f>'IS 2024'!F34</f>
        <v>31047</v>
      </c>
      <c r="L44" s="188">
        <f>'IS 2024'!G34</f>
        <v>31047</v>
      </c>
      <c r="M44" s="188">
        <f>'IS 2024'!H34</f>
        <v>48839</v>
      </c>
      <c r="N44" s="188">
        <f>'IS 2024'!I34</f>
        <v>52523</v>
      </c>
      <c r="O44" s="188">
        <f>'IS 2024'!J34</f>
        <v>53570</v>
      </c>
      <c r="P44" s="188">
        <f>'IS 2024'!K34</f>
        <v>55538</v>
      </c>
      <c r="Q44" s="188">
        <f>'IS 2024'!L34</f>
        <v>62721</v>
      </c>
      <c r="R44" s="188">
        <f>'IS 2024'!M34</f>
        <v>62690</v>
      </c>
      <c r="S44" s="188">
        <f>'IS 2024'!N34</f>
        <v>61702</v>
      </c>
      <c r="T44" s="188">
        <f>'IS 2024'!O34</f>
        <v>54136</v>
      </c>
      <c r="U44" s="188">
        <f>'IS 2024'!P34</f>
        <v>54039</v>
      </c>
      <c r="V44" s="188">
        <f>'IS 2024'!Q34</f>
        <v>54409</v>
      </c>
    </row>
    <row r="45" spans="2:22" x14ac:dyDescent="0.3">
      <c r="B45" t="s">
        <v>21</v>
      </c>
      <c r="E45" s="1">
        <f>'Statements Summary 2023'!V45</f>
        <v>6.8469068635615016E-3</v>
      </c>
      <c r="F45" s="2">
        <f t="shared" si="1"/>
        <v>6.8469068635615016E-3</v>
      </c>
      <c r="G45" s="2">
        <f>'Statements Summary 2025'!V46</f>
        <v>6.8469068635615016E-3</v>
      </c>
      <c r="H45" s="2">
        <f>'Statements Summary 2026'!V46</f>
        <v>6.8469068635615016E-3</v>
      </c>
      <c r="I45" s="2">
        <f>'Statements Summary 2027'!V46</f>
        <v>6.8469068635615016E-3</v>
      </c>
      <c r="K45" s="2"/>
      <c r="L45" s="2">
        <f t="shared" ref="L45" si="2">(L44-K44)/K44</f>
        <v>0</v>
      </c>
      <c r="M45" s="2">
        <f>(M44-L44)/L44</f>
        <v>0.57306664089928172</v>
      </c>
      <c r="N45" s="2">
        <f>(N44-M44)/M44</f>
        <v>7.5431519891889676E-2</v>
      </c>
      <c r="O45" s="2">
        <f t="shared" ref="O45:T45" si="3">(O44-N44)/N44</f>
        <v>1.9934124098014202E-2</v>
      </c>
      <c r="P45" s="2">
        <f t="shared" si="3"/>
        <v>3.6736979652790741E-2</v>
      </c>
      <c r="Q45" s="2">
        <f t="shared" si="3"/>
        <v>0.12933486981886277</v>
      </c>
      <c r="R45" s="2">
        <f t="shared" si="3"/>
        <v>-4.9425232378310291E-4</v>
      </c>
      <c r="S45" s="2">
        <f t="shared" si="3"/>
        <v>-1.5760089328441539E-2</v>
      </c>
      <c r="T45" s="2">
        <f t="shared" si="3"/>
        <v>-0.12262163301027519</v>
      </c>
      <c r="U45" s="2">
        <f>(U44-T44)/T44</f>
        <v>-1.791783655977538E-3</v>
      </c>
      <c r="V45" s="2">
        <f t="shared" ref="V45" si="4">(V44-U44)/U44</f>
        <v>6.8469068635615016E-3</v>
      </c>
    </row>
    <row r="46" spans="2:22" x14ac:dyDescent="0.3">
      <c r="B46" t="s">
        <v>3</v>
      </c>
      <c r="E46" s="1">
        <f>'Statements Summary 2023'!V46</f>
        <v>-3334</v>
      </c>
      <c r="F46" s="1">
        <f t="shared" si="1"/>
        <v>-3334</v>
      </c>
      <c r="G46" s="1">
        <f>'Statements Summary 2025'!V47</f>
        <v>-2545</v>
      </c>
      <c r="H46" s="1">
        <f>'Statements Summary 2026'!V47</f>
        <v>-2545</v>
      </c>
      <c r="I46" s="1">
        <f>'Statements Summary 2027'!V47</f>
        <v>-2545</v>
      </c>
      <c r="K46" s="1">
        <f>'IS 2024'!F35</f>
        <v>-3334</v>
      </c>
      <c r="L46" s="1">
        <f>'IS 2024'!G35</f>
        <v>-3334</v>
      </c>
      <c r="M46" s="1">
        <f>'IS 2024'!H35</f>
        <v>-3334</v>
      </c>
      <c r="N46" s="1">
        <f>'IS 2024'!I35</f>
        <v>-3334</v>
      </c>
      <c r="O46" s="1">
        <f>'IS 2024'!J35</f>
        <v>-3334</v>
      </c>
      <c r="P46" s="1">
        <f>'IS 2024'!K35</f>
        <v>-3334</v>
      </c>
      <c r="Q46" s="1">
        <f>'IS 2024'!L35</f>
        <v>-3334</v>
      </c>
      <c r="R46" s="1">
        <f>'IS 2024'!M35</f>
        <v>-3334</v>
      </c>
      <c r="S46" s="1">
        <f>'IS 2024'!N35</f>
        <v>-3334</v>
      </c>
      <c r="T46" s="1">
        <f>'IS 2024'!O35</f>
        <v>-3334</v>
      </c>
      <c r="U46" s="1">
        <f>'IS 2024'!P35</f>
        <v>-3334</v>
      </c>
      <c r="V46" s="1">
        <f>'IS 2024'!Q35</f>
        <v>-3334</v>
      </c>
    </row>
    <row r="47" spans="2:22" x14ac:dyDescent="0.3">
      <c r="B47" t="s">
        <v>22</v>
      </c>
      <c r="E47" s="2">
        <f>'Statements Summary 2023'!V47</f>
        <v>-6.1276627028616588E-2</v>
      </c>
      <c r="F47" s="2">
        <f t="shared" si="1"/>
        <v>-6.1276627028616588E-2</v>
      </c>
      <c r="G47" s="2">
        <f>'Statements Summary 2025'!V48</f>
        <v>-4.6775349666415486E-2</v>
      </c>
      <c r="H47" s="2">
        <f>'Statements Summary 2026'!V48</f>
        <v>-4.6775349666415486E-2</v>
      </c>
      <c r="I47" s="2">
        <f>'Statements Summary 2027'!V48</f>
        <v>-4.6775349666415486E-2</v>
      </c>
      <c r="K47" s="2">
        <f>K46/K44</f>
        <v>-0.10738557670628403</v>
      </c>
      <c r="L47" s="2">
        <f t="shared" ref="L47:V47" si="5">L46/L44</f>
        <v>-0.10738557670628403</v>
      </c>
      <c r="M47" s="2">
        <f t="shared" si="5"/>
        <v>-6.826511599336596E-2</v>
      </c>
      <c r="N47" s="2">
        <f t="shared" si="5"/>
        <v>-6.3476952953943983E-2</v>
      </c>
      <c r="O47" s="2">
        <f t="shared" si="5"/>
        <v>-6.2236326302034718E-2</v>
      </c>
      <c r="P47" s="2">
        <f t="shared" si="5"/>
        <v>-6.0030969786452518E-2</v>
      </c>
      <c r="Q47" s="2">
        <f t="shared" si="5"/>
        <v>-5.3156040241705331E-2</v>
      </c>
      <c r="R47" s="2">
        <f t="shared" si="5"/>
        <v>-5.3182325729781467E-2</v>
      </c>
      <c r="S47" s="2">
        <f t="shared" si="5"/>
        <v>-5.403390489773427E-2</v>
      </c>
      <c r="T47" s="2">
        <f t="shared" si="5"/>
        <v>-6.1585636175557852E-2</v>
      </c>
      <c r="U47" s="2">
        <f t="shared" si="5"/>
        <v>-6.1696182386794723E-2</v>
      </c>
      <c r="V47" s="2">
        <f t="shared" si="5"/>
        <v>-6.1276627028616588E-2</v>
      </c>
    </row>
    <row r="48" spans="2:22" x14ac:dyDescent="0.3">
      <c r="B48" t="s">
        <v>4</v>
      </c>
      <c r="E48" s="1">
        <f>'Statements Summary 2023'!V48</f>
        <v>51075</v>
      </c>
      <c r="F48" s="1">
        <f t="shared" si="1"/>
        <v>51075</v>
      </c>
      <c r="G48" s="1">
        <f>'Statements Summary 2025'!V49</f>
        <v>51864</v>
      </c>
      <c r="H48" s="1">
        <f>'Statements Summary 2026'!V49</f>
        <v>51864</v>
      </c>
      <c r="I48" s="1">
        <f>'Statements Summary 2027'!V49</f>
        <v>51864</v>
      </c>
      <c r="K48" s="1">
        <f>'IS 2024'!F44</f>
        <v>27713</v>
      </c>
      <c r="L48" s="1">
        <f>'IS 2024'!G44</f>
        <v>27713</v>
      </c>
      <c r="M48" s="1">
        <f>'IS 2024'!H44</f>
        <v>45505</v>
      </c>
      <c r="N48" s="1">
        <f>'IS 2024'!I44</f>
        <v>49189</v>
      </c>
      <c r="O48" s="1">
        <f>'IS 2024'!J44</f>
        <v>50236</v>
      </c>
      <c r="P48" s="1">
        <f>'IS 2024'!K44</f>
        <v>52204</v>
      </c>
      <c r="Q48" s="1">
        <f>'IS 2024'!L44</f>
        <v>59387</v>
      </c>
      <c r="R48" s="1">
        <f>'IS 2024'!M44</f>
        <v>59356</v>
      </c>
      <c r="S48" s="1">
        <f>'IS 2024'!N44</f>
        <v>58368</v>
      </c>
      <c r="T48" s="1">
        <f>'IS 2024'!O44</f>
        <v>50802</v>
      </c>
      <c r="U48" s="1">
        <f>'IS 2024'!P44</f>
        <v>50705</v>
      </c>
      <c r="V48" s="1">
        <f>'IS 2024'!Q44</f>
        <v>51075</v>
      </c>
    </row>
    <row r="49" spans="2:23" x14ac:dyDescent="0.3">
      <c r="B49" t="s">
        <v>23</v>
      </c>
      <c r="E49" s="2">
        <f>'Statements Summary 2023'!V49</f>
        <v>0.93872337297138342</v>
      </c>
      <c r="F49" s="2">
        <f t="shared" si="1"/>
        <v>0.93872337297138342</v>
      </c>
      <c r="G49" s="2">
        <f>'Statements Summary 2025'!V50</f>
        <v>0.9532246503335845</v>
      </c>
      <c r="H49" s="2">
        <f>'Statements Summary 2026'!V50</f>
        <v>0.9532246503335845</v>
      </c>
      <c r="I49" s="2">
        <f>'Statements Summary 2027'!V50</f>
        <v>0.9532246503335845</v>
      </c>
      <c r="K49" s="2">
        <f>K48/K44</f>
        <v>0.89261442329371599</v>
      </c>
      <c r="L49" s="2">
        <f t="shared" ref="L49:V49" si="6">L48/L44</f>
        <v>0.89261442329371599</v>
      </c>
      <c r="M49" s="2">
        <f t="shared" si="6"/>
        <v>0.93173488400663407</v>
      </c>
      <c r="N49" s="2">
        <f t="shared" si="6"/>
        <v>0.93652304704605605</v>
      </c>
      <c r="O49" s="2">
        <f t="shared" si="6"/>
        <v>0.93776367369796532</v>
      </c>
      <c r="P49" s="2">
        <f t="shared" si="6"/>
        <v>0.9399690302135475</v>
      </c>
      <c r="Q49" s="2">
        <f t="shared" si="6"/>
        <v>0.94684395975829472</v>
      </c>
      <c r="R49" s="2">
        <f t="shared" si="6"/>
        <v>0.94681767427021857</v>
      </c>
      <c r="S49" s="2">
        <f t="shared" si="6"/>
        <v>0.9459660951022657</v>
      </c>
      <c r="T49" s="2">
        <f t="shared" si="6"/>
        <v>0.9384143638244421</v>
      </c>
      <c r="U49" s="2">
        <f t="shared" si="6"/>
        <v>0.93830381761320525</v>
      </c>
      <c r="V49" s="2">
        <f t="shared" si="6"/>
        <v>0.93872337297138342</v>
      </c>
    </row>
    <row r="50" spans="2:23" x14ac:dyDescent="0.3">
      <c r="B50" t="s">
        <v>5</v>
      </c>
      <c r="E50" s="1">
        <f>'Statements Summary 2023'!V50</f>
        <v>-1443</v>
      </c>
      <c r="F50" s="1">
        <f t="shared" si="1"/>
        <v>-1443</v>
      </c>
      <c r="G50" s="1">
        <f>'Statements Summary 2025'!V51</f>
        <v>-5549</v>
      </c>
      <c r="H50" s="1">
        <f>'Statements Summary 2026'!V51</f>
        <v>-5549</v>
      </c>
      <c r="I50" s="1">
        <f>'Statements Summary 2027'!V51</f>
        <v>-5549</v>
      </c>
      <c r="K50" s="1">
        <f>'IS 2024'!F54</f>
        <v>-1443</v>
      </c>
      <c r="L50" s="1">
        <f>'IS 2024'!G54</f>
        <v>-1443</v>
      </c>
      <c r="M50" s="1">
        <f>'IS 2024'!H54</f>
        <v>-1443</v>
      </c>
      <c r="N50" s="1">
        <f>'IS 2024'!I54</f>
        <v>-1443</v>
      </c>
      <c r="O50" s="1">
        <f>'IS 2024'!J54</f>
        <v>-1443</v>
      </c>
      <c r="P50" s="1">
        <f>'IS 2024'!K54</f>
        <v>-1443</v>
      </c>
      <c r="Q50" s="1">
        <f>'IS 2024'!L54</f>
        <v>-1443</v>
      </c>
      <c r="R50" s="1">
        <f>'IS 2024'!M54</f>
        <v>-1443</v>
      </c>
      <c r="S50" s="1">
        <f>'IS 2024'!N54</f>
        <v>-1443</v>
      </c>
      <c r="T50" s="1">
        <f>'IS 2024'!O54</f>
        <v>-1443</v>
      </c>
      <c r="U50" s="1">
        <f>'IS 2024'!P54</f>
        <v>-1443</v>
      </c>
      <c r="V50" s="1">
        <f>'IS 2024'!Q54</f>
        <v>-1443</v>
      </c>
    </row>
    <row r="51" spans="2:23" x14ac:dyDescent="0.3">
      <c r="B51" t="s">
        <v>22</v>
      </c>
      <c r="E51" s="2">
        <f>'Statements Summary 2023'!V51</f>
        <v>-2.6521347571173887E-2</v>
      </c>
      <c r="F51" s="2">
        <f t="shared" si="1"/>
        <v>-2.6521347571173887E-2</v>
      </c>
      <c r="G51" s="2">
        <f>'Statements Summary 2025'!V52</f>
        <v>-0.10198680365380727</v>
      </c>
      <c r="H51" s="2">
        <f>'Statements Summary 2026'!V52</f>
        <v>-0.10198680365380727</v>
      </c>
      <c r="I51" s="2">
        <f>'Statements Summary 2027'!V52</f>
        <v>-0.10198680365380727</v>
      </c>
      <c r="K51" s="2">
        <f>K50/K44</f>
        <v>-4.6477920572035945E-2</v>
      </c>
      <c r="L51" s="2">
        <f t="shared" ref="L51:V51" si="7">L50/L44</f>
        <v>-4.6477920572035945E-2</v>
      </c>
      <c r="M51" s="2">
        <f t="shared" si="7"/>
        <v>-2.9546059501627798E-2</v>
      </c>
      <c r="N51" s="2">
        <f t="shared" si="7"/>
        <v>-2.7473678198122728E-2</v>
      </c>
      <c r="O51" s="2">
        <f t="shared" si="7"/>
        <v>-2.6936718312488332E-2</v>
      </c>
      <c r="P51" s="2">
        <f t="shared" si="7"/>
        <v>-2.59822103784796E-2</v>
      </c>
      <c r="Q51" s="2">
        <f t="shared" si="7"/>
        <v>-2.300664849093605E-2</v>
      </c>
      <c r="R51" s="2">
        <f t="shared" si="7"/>
        <v>-2.3018025203381719E-2</v>
      </c>
      <c r="S51" s="2">
        <f t="shared" si="7"/>
        <v>-2.3386600110207125E-2</v>
      </c>
      <c r="T51" s="2">
        <f t="shared" si="7"/>
        <v>-2.6655090882222551E-2</v>
      </c>
      <c r="U51" s="2">
        <f t="shared" si="7"/>
        <v>-2.6702936767889856E-2</v>
      </c>
      <c r="V51" s="2">
        <f t="shared" si="7"/>
        <v>-2.6521347571173887E-2</v>
      </c>
    </row>
    <row r="52" spans="2:23" x14ac:dyDescent="0.3">
      <c r="B52" t="s">
        <v>191</v>
      </c>
      <c r="E52" s="1">
        <f>'Statements Summary 2023'!V52</f>
        <v>-5063</v>
      </c>
      <c r="F52" s="1">
        <f t="shared" si="1"/>
        <v>-5063</v>
      </c>
      <c r="G52" s="1">
        <f>'Statements Summary 2025'!V53</f>
        <v>-5063</v>
      </c>
      <c r="H52" s="1">
        <f>'Statements Summary 2026'!V53</f>
        <v>-5063</v>
      </c>
      <c r="I52" s="1">
        <f>'Statements Summary 2027'!V53</f>
        <v>-45063</v>
      </c>
      <c r="K52" s="1">
        <f>'IS 2024'!F55</f>
        <v>-5063</v>
      </c>
      <c r="L52" s="1">
        <f>'IS 2024'!G55</f>
        <v>-5063</v>
      </c>
      <c r="M52" s="1">
        <f>'IS 2024'!H55</f>
        <v>-5063</v>
      </c>
      <c r="N52" s="1">
        <f>'IS 2024'!I55</f>
        <v>-5063</v>
      </c>
      <c r="O52" s="1">
        <f>'IS 2024'!J55</f>
        <v>-5063</v>
      </c>
      <c r="P52" s="1">
        <f>'IS 2024'!K55</f>
        <v>-5063</v>
      </c>
      <c r="Q52" s="1">
        <f>'IS 2024'!L55</f>
        <v>-5063</v>
      </c>
      <c r="R52" s="1">
        <f>'IS 2024'!M55</f>
        <v>-5063</v>
      </c>
      <c r="S52" s="1">
        <f>'IS 2024'!N55</f>
        <v>-5063</v>
      </c>
      <c r="T52" s="1">
        <f>'IS 2024'!O55</f>
        <v>-5063</v>
      </c>
      <c r="U52" s="1">
        <f>'IS 2024'!P55</f>
        <v>-5063</v>
      </c>
      <c r="V52" s="1">
        <f>'IS 2024'!Q55</f>
        <v>-5063</v>
      </c>
    </row>
    <row r="53" spans="2:23" x14ac:dyDescent="0.3">
      <c r="B53" t="s">
        <v>22</v>
      </c>
      <c r="E53" s="2">
        <f>'Statements Summary 2023'!V53</f>
        <v>-9.3054457902185306E-2</v>
      </c>
      <c r="F53" s="2">
        <f t="shared" si="1"/>
        <v>-9.3054457902185306E-2</v>
      </c>
      <c r="G53" s="2">
        <f>'Statements Summary 2025'!V54</f>
        <v>-9.3054457902185306E-2</v>
      </c>
      <c r="H53" s="2">
        <f>'Statements Summary 2026'!V54</f>
        <v>-9.3054457902185306E-2</v>
      </c>
      <c r="I53" s="2">
        <f>'Statements Summary 2027'!V54</f>
        <v>-0.82822694774761529</v>
      </c>
      <c r="K53" s="2">
        <f>K52/K44</f>
        <v>-0.16307533739169647</v>
      </c>
      <c r="L53" s="2">
        <f t="shared" ref="L53:V53" si="8">L52/L44</f>
        <v>-0.16307533739169647</v>
      </c>
      <c r="M53" s="2">
        <f t="shared" si="8"/>
        <v>-0.10366715125207314</v>
      </c>
      <c r="N53" s="2">
        <f t="shared" si="8"/>
        <v>-9.6395864668811754E-2</v>
      </c>
      <c r="O53" s="2">
        <f t="shared" si="8"/>
        <v>-9.4511853649430655E-2</v>
      </c>
      <c r="P53" s="2">
        <f t="shared" si="8"/>
        <v>-9.1162807447153299E-2</v>
      </c>
      <c r="Q53" s="2">
        <f t="shared" si="8"/>
        <v>-8.0722565010124203E-2</v>
      </c>
      <c r="R53" s="2">
        <f t="shared" si="8"/>
        <v>-8.0762482054554149E-2</v>
      </c>
      <c r="S53" s="2">
        <f t="shared" si="8"/>
        <v>-8.2055687011766229E-2</v>
      </c>
      <c r="T53" s="2">
        <f t="shared" si="8"/>
        <v>-9.3523718043446141E-2</v>
      </c>
      <c r="U53" s="2">
        <f t="shared" si="8"/>
        <v>-9.3691593108680762E-2</v>
      </c>
      <c r="V53" s="2">
        <f t="shared" si="8"/>
        <v>-9.3054457902185306E-2</v>
      </c>
    </row>
    <row r="54" spans="2:23" x14ac:dyDescent="0.3">
      <c r="B54" t="s">
        <v>24</v>
      </c>
      <c r="E54" s="1">
        <f>'Statements Summary 2023'!V54</f>
        <v>-7800</v>
      </c>
      <c r="F54" s="1">
        <f t="shared" si="1"/>
        <v>-7800</v>
      </c>
      <c r="G54" s="1">
        <f>'Statements Summary 2025'!V55</f>
        <v>-7250</v>
      </c>
      <c r="H54" s="1">
        <f>'Statements Summary 2026'!V55</f>
        <v>-7250</v>
      </c>
      <c r="I54" s="1">
        <f>'Statements Summary 2027'!V55</f>
        <v>-7250</v>
      </c>
      <c r="K54" s="1">
        <f>'IS 2024'!F67</f>
        <v>-7800</v>
      </c>
      <c r="L54" s="1">
        <f>'IS 2024'!G67</f>
        <v>-7800</v>
      </c>
      <c r="M54" s="1">
        <f>'IS 2024'!H67</f>
        <v>-7800</v>
      </c>
      <c r="N54" s="1">
        <f>'IS 2024'!I67</f>
        <v>-7800</v>
      </c>
      <c r="O54" s="1">
        <f>'IS 2024'!J67</f>
        <v>-7800</v>
      </c>
      <c r="P54" s="1">
        <f>'IS 2024'!K67</f>
        <v>-7800</v>
      </c>
      <c r="Q54" s="1">
        <f>'IS 2024'!L67</f>
        <v>-7800</v>
      </c>
      <c r="R54" s="1">
        <f>'IS 2024'!M67</f>
        <v>-7800</v>
      </c>
      <c r="S54" s="1">
        <f>'IS 2024'!N67</f>
        <v>-7800</v>
      </c>
      <c r="T54" s="1">
        <f>'IS 2024'!O67</f>
        <v>-7800</v>
      </c>
      <c r="U54" s="1">
        <f>'IS 2024'!P67</f>
        <v>-7800</v>
      </c>
      <c r="V54" s="1">
        <f>'IS 2024'!Q67</f>
        <v>-7800</v>
      </c>
      <c r="W54" s="1"/>
    </row>
    <row r="55" spans="2:23" x14ac:dyDescent="0.3">
      <c r="B55" t="s">
        <v>22</v>
      </c>
      <c r="E55" s="2">
        <f>'Statements Summary 2023'!V55</f>
        <v>-0.14335863551985883</v>
      </c>
      <c r="F55" s="2">
        <f t="shared" si="1"/>
        <v>-0.14335863551985883</v>
      </c>
      <c r="G55" s="2">
        <f>'Statements Summary 2025'!V56</f>
        <v>-0.13325001378448417</v>
      </c>
      <c r="H55" s="2">
        <f>'Statements Summary 2026'!V56</f>
        <v>-0.13325001378448417</v>
      </c>
      <c r="I55" s="2">
        <f>'Statements Summary 2027'!V56</f>
        <v>-0.13325001378448417</v>
      </c>
      <c r="K55" s="2">
        <f>K54/K44</f>
        <v>-0.25123200309208621</v>
      </c>
      <c r="L55" s="2">
        <f t="shared" ref="L55:V55" si="9">L54/L44</f>
        <v>-0.25123200309208621</v>
      </c>
      <c r="M55" s="2">
        <f t="shared" si="9"/>
        <v>-0.15970842973852864</v>
      </c>
      <c r="N55" s="2">
        <f t="shared" si="9"/>
        <v>-0.14850636863850122</v>
      </c>
      <c r="O55" s="2">
        <f t="shared" si="9"/>
        <v>-0.14560388277020719</v>
      </c>
      <c r="P55" s="2">
        <f t="shared" si="9"/>
        <v>-0.14044438042421406</v>
      </c>
      <c r="Q55" s="2">
        <f t="shared" si="9"/>
        <v>-0.12436026211316784</v>
      </c>
      <c r="R55" s="2">
        <f t="shared" si="9"/>
        <v>-0.12442175785611741</v>
      </c>
      <c r="S55" s="2">
        <f t="shared" si="9"/>
        <v>-0.12641405464976824</v>
      </c>
      <c r="T55" s="2">
        <f t="shared" si="9"/>
        <v>-0.14408157233633812</v>
      </c>
      <c r="U55" s="2">
        <f t="shared" si="9"/>
        <v>-0.14434019874535059</v>
      </c>
      <c r="V55" s="2">
        <f t="shared" si="9"/>
        <v>-0.14335863551985883</v>
      </c>
    </row>
    <row r="56" spans="2:23" x14ac:dyDescent="0.3">
      <c r="B56" s="14" t="s">
        <v>6</v>
      </c>
      <c r="C56" s="14"/>
      <c r="D56" s="14"/>
      <c r="E56" s="188">
        <f>'Statements Summary 2023'!V56</f>
        <v>41832</v>
      </c>
      <c r="F56" s="188">
        <f t="shared" si="1"/>
        <v>41832</v>
      </c>
      <c r="G56" s="188">
        <f>'Statements Summary 2025'!V57</f>
        <v>39065</v>
      </c>
      <c r="H56" s="188">
        <f>'Statements Summary 2026'!V57</f>
        <v>39065</v>
      </c>
      <c r="I56" s="188">
        <f>'Statements Summary 2027'!V57</f>
        <v>39065</v>
      </c>
      <c r="K56" s="188">
        <f>'IS 2024'!F68</f>
        <v>18470</v>
      </c>
      <c r="L56" s="188">
        <f>'IS 2024'!G68</f>
        <v>18470</v>
      </c>
      <c r="M56" s="188">
        <f>'IS 2024'!H68</f>
        <v>36262</v>
      </c>
      <c r="N56" s="188">
        <f>'IS 2024'!I68</f>
        <v>39946</v>
      </c>
      <c r="O56" s="188">
        <f>'IS 2024'!J68</f>
        <v>40993</v>
      </c>
      <c r="P56" s="188">
        <f>'IS 2024'!K68</f>
        <v>42961</v>
      </c>
      <c r="Q56" s="188">
        <f>'IS 2024'!L68</f>
        <v>50144</v>
      </c>
      <c r="R56" s="188">
        <f>'IS 2024'!M68</f>
        <v>50113</v>
      </c>
      <c r="S56" s="188">
        <f>'IS 2024'!N68</f>
        <v>49125</v>
      </c>
      <c r="T56" s="188">
        <f>'IS 2024'!O68</f>
        <v>41559</v>
      </c>
      <c r="U56" s="188">
        <f>'IS 2024'!P68</f>
        <v>41462</v>
      </c>
      <c r="V56" s="188">
        <f>'IS 2024'!Q68</f>
        <v>41832</v>
      </c>
    </row>
    <row r="57" spans="2:23" x14ac:dyDescent="0.3">
      <c r="B57" t="s">
        <v>15</v>
      </c>
      <c r="E57" s="2">
        <f>'Statements Summary 2023'!V57</f>
        <v>0.76884338988035072</v>
      </c>
      <c r="F57" s="2">
        <f t="shared" si="1"/>
        <v>0.76884338988035072</v>
      </c>
      <c r="G57" s="2">
        <f>'Statements Summary 2025'!V58</f>
        <v>0.71798783289529311</v>
      </c>
      <c r="H57" s="2">
        <f>'Statements Summary 2026'!V58</f>
        <v>0.71798783289529311</v>
      </c>
      <c r="I57" s="2">
        <f>'Statements Summary 2027'!V58</f>
        <v>0.71798783289529311</v>
      </c>
      <c r="K57" s="2">
        <f>K56/K44</f>
        <v>0.5949044996295938</v>
      </c>
      <c r="L57" s="2">
        <f t="shared" ref="L57:V57" si="10">L56/L44</f>
        <v>0.5949044996295938</v>
      </c>
      <c r="M57" s="2">
        <f t="shared" si="10"/>
        <v>0.74248039476647765</v>
      </c>
      <c r="N57" s="2">
        <f t="shared" si="10"/>
        <v>0.76054300020943211</v>
      </c>
      <c r="O57" s="2">
        <f t="shared" si="10"/>
        <v>0.76522307261526978</v>
      </c>
      <c r="P57" s="2">
        <f t="shared" si="10"/>
        <v>0.77354243941085388</v>
      </c>
      <c r="Q57" s="2">
        <f t="shared" si="10"/>
        <v>0.79947704915419082</v>
      </c>
      <c r="R57" s="2">
        <f t="shared" si="10"/>
        <v>0.79937789121071945</v>
      </c>
      <c r="S57" s="2">
        <f t="shared" si="10"/>
        <v>0.79616544034229031</v>
      </c>
      <c r="T57" s="2">
        <f t="shared" si="10"/>
        <v>0.76767770060588147</v>
      </c>
      <c r="U57" s="2">
        <f t="shared" si="10"/>
        <v>0.76726068209996479</v>
      </c>
      <c r="V57" s="2">
        <f t="shared" si="10"/>
        <v>0.76884338988035072</v>
      </c>
    </row>
    <row r="58" spans="2:23" x14ac:dyDescent="0.3">
      <c r="B58" t="s">
        <v>7</v>
      </c>
      <c r="E58" s="1">
        <f>'Statements Summary 2023'!V58</f>
        <v>-1711</v>
      </c>
      <c r="F58" s="1">
        <f t="shared" si="1"/>
        <v>-1850</v>
      </c>
      <c r="G58" s="1">
        <f>'Statements Summary 2025'!V59</f>
        <v>-1911</v>
      </c>
      <c r="H58" s="1">
        <f>'Statements Summary 2026'!V59</f>
        <v>-1756</v>
      </c>
      <c r="I58" s="1">
        <f>'Statements Summary 2027'!V59</f>
        <v>-1800</v>
      </c>
      <c r="K58">
        <f>'IS 2024'!F70</f>
        <v>-1450</v>
      </c>
      <c r="L58">
        <f>'IS 2024'!G70</f>
        <v>-1450</v>
      </c>
      <c r="M58">
        <f>'IS 2024'!H70</f>
        <v>-1450</v>
      </c>
      <c r="N58">
        <f>'IS 2024'!I70</f>
        <v>-1450</v>
      </c>
      <c r="O58">
        <f>'IS 2024'!J70</f>
        <v>-1450</v>
      </c>
      <c r="P58">
        <f>'IS 2024'!K70</f>
        <v>-1450</v>
      </c>
      <c r="Q58">
        <f>'IS 2024'!L70</f>
        <v>-1450</v>
      </c>
      <c r="R58">
        <f>'IS 2024'!M70</f>
        <v>-1450</v>
      </c>
      <c r="S58">
        <f>'IS 2024'!N70</f>
        <v>-1450</v>
      </c>
      <c r="T58">
        <f>'IS 2024'!O70</f>
        <v>-1450</v>
      </c>
      <c r="U58">
        <f>'IS 2024'!P70</f>
        <v>-1450</v>
      </c>
      <c r="V58">
        <f>'IS 2024'!Q70</f>
        <v>-1850</v>
      </c>
    </row>
    <row r="59" spans="2:23" x14ac:dyDescent="0.3">
      <c r="B59" t="s">
        <v>8</v>
      </c>
      <c r="E59" s="1">
        <f>'Statements Summary 2023'!V59</f>
        <v>40121</v>
      </c>
      <c r="F59" s="1">
        <f t="shared" si="1"/>
        <v>39982</v>
      </c>
      <c r="G59" s="1">
        <f>'Statements Summary 2025'!V60</f>
        <v>40976</v>
      </c>
      <c r="H59" s="1">
        <f>'Statements Summary 2026'!V60</f>
        <v>37309</v>
      </c>
      <c r="I59" s="1">
        <f>'Statements Summary 2027'!V60</f>
        <v>37265</v>
      </c>
      <c r="K59" s="1">
        <f>'IS 2024'!F71</f>
        <v>17020</v>
      </c>
      <c r="L59" s="1">
        <f>'IS 2024'!G71</f>
        <v>17020</v>
      </c>
      <c r="M59" s="1">
        <f>'IS 2024'!H71</f>
        <v>34812</v>
      </c>
      <c r="N59" s="1">
        <f>'IS 2024'!I71</f>
        <v>38496</v>
      </c>
      <c r="O59" s="1">
        <f>'IS 2024'!J71</f>
        <v>39543</v>
      </c>
      <c r="P59" s="1">
        <f>'IS 2024'!K71</f>
        <v>41511</v>
      </c>
      <c r="Q59" s="1">
        <f>'IS 2024'!L71</f>
        <v>48694</v>
      </c>
      <c r="R59" s="1">
        <f>'IS 2024'!M71</f>
        <v>48663</v>
      </c>
      <c r="S59" s="1">
        <f>'IS 2024'!N71</f>
        <v>47675</v>
      </c>
      <c r="T59" s="1">
        <f>'IS 2024'!O71</f>
        <v>40109</v>
      </c>
      <c r="U59" s="1">
        <f>'IS 2024'!P71</f>
        <v>40012</v>
      </c>
      <c r="V59" s="1">
        <f>'IS 2024'!Q71</f>
        <v>39982</v>
      </c>
    </row>
    <row r="60" spans="2:23" x14ac:dyDescent="0.3">
      <c r="B60" t="s">
        <v>9</v>
      </c>
      <c r="E60" s="1">
        <f>'Statements Summary 2023'!V60</f>
        <v>-22740</v>
      </c>
      <c r="F60" s="1">
        <f t="shared" si="1"/>
        <v>-7410</v>
      </c>
      <c r="G60" s="1">
        <f>'Statements Summary 2025'!V61</f>
        <v>-2055</v>
      </c>
      <c r="H60" s="1">
        <f>'Statements Summary 2026'!V61</f>
        <v>-75</v>
      </c>
      <c r="I60" s="1">
        <f>'Statements Summary 2027'!V61</f>
        <v>0</v>
      </c>
      <c r="K60" s="3">
        <f>'IS 2024'!F72</f>
        <v>-11040</v>
      </c>
      <c r="L60" s="3">
        <f>'IS 2024'!G72</f>
        <v>-10710</v>
      </c>
      <c r="M60" s="3">
        <f>'IS 2024'!H72</f>
        <v>-10380</v>
      </c>
      <c r="N60" s="3">
        <f>'IS 2024'!I72</f>
        <v>-10050</v>
      </c>
      <c r="O60" s="3">
        <f>'IS 2024'!J72</f>
        <v>-9720</v>
      </c>
      <c r="P60" s="3">
        <f>'IS 2024'!K72</f>
        <v>-9390</v>
      </c>
      <c r="Q60" s="3">
        <f>'IS 2024'!L72</f>
        <v>-9060</v>
      </c>
      <c r="R60" s="3">
        <f>'IS 2024'!M72</f>
        <v>-8730</v>
      </c>
      <c r="S60" s="3">
        <f>'IS 2024'!N72</f>
        <v>-8400</v>
      </c>
      <c r="T60" s="3">
        <f>'IS 2024'!O72</f>
        <v>-8070</v>
      </c>
      <c r="U60" s="3">
        <f>'IS 2024'!P72</f>
        <v>-7740</v>
      </c>
      <c r="V60" s="3">
        <f>'IS 2024'!Q72</f>
        <v>-7410</v>
      </c>
    </row>
    <row r="61" spans="2:23" x14ac:dyDescent="0.3">
      <c r="B61" t="s">
        <v>10</v>
      </c>
      <c r="E61" s="1">
        <f>'Statements Summary 2023'!V61</f>
        <v>41832</v>
      </c>
      <c r="F61" s="1">
        <f t="shared" si="1"/>
        <v>41832</v>
      </c>
      <c r="G61" s="1">
        <f>'Statements Summary 2025'!V62</f>
        <v>39065</v>
      </c>
      <c r="H61" s="1">
        <f>'Statements Summary 2026'!V62</f>
        <v>39065</v>
      </c>
      <c r="I61" s="1">
        <f>'Statements Summary 2027'!V62</f>
        <v>39065</v>
      </c>
      <c r="K61" s="1">
        <f>'IS 2024'!F73</f>
        <v>18470</v>
      </c>
      <c r="L61" s="1">
        <f>'IS 2024'!G73</f>
        <v>18470</v>
      </c>
      <c r="M61" s="1">
        <f>'IS 2024'!H73</f>
        <v>36262</v>
      </c>
      <c r="N61" s="1">
        <f>'IS 2024'!I73</f>
        <v>39946</v>
      </c>
      <c r="O61" s="1">
        <f>'IS 2024'!J73</f>
        <v>40993</v>
      </c>
      <c r="P61" s="1">
        <f>'IS 2024'!K73</f>
        <v>42961</v>
      </c>
      <c r="Q61" s="1">
        <f>'IS 2024'!L73</f>
        <v>50144</v>
      </c>
      <c r="R61" s="1">
        <f>'IS 2024'!M73</f>
        <v>50113</v>
      </c>
      <c r="S61" s="1">
        <f>'IS 2024'!N73</f>
        <v>49125</v>
      </c>
      <c r="T61" s="1">
        <f>'IS 2024'!O73</f>
        <v>41559</v>
      </c>
      <c r="U61" s="1">
        <f>'IS 2024'!P73</f>
        <v>41462</v>
      </c>
      <c r="V61" s="1">
        <f>'IS 2024'!Q73</f>
        <v>41832</v>
      </c>
    </row>
    <row r="62" spans="2:23" x14ac:dyDescent="0.3">
      <c r="B62" t="s">
        <v>11</v>
      </c>
      <c r="E62" s="1">
        <f>'Statements Summary 2023'!V62</f>
        <v>-8366.4</v>
      </c>
      <c r="F62" s="1">
        <f t="shared" si="1"/>
        <v>-8366.4</v>
      </c>
      <c r="G62" s="1">
        <f>'Statements Summary 2025'!V63</f>
        <v>-8194.2000000000007</v>
      </c>
      <c r="H62" s="1">
        <f>'Statements Summary 2026'!V63</f>
        <v>-7461.8</v>
      </c>
      <c r="I62" s="1">
        <f>'Statements Summary 2027'!V63</f>
        <v>-7453</v>
      </c>
      <c r="K62" s="1">
        <f>'IS 2024'!F74</f>
        <v>-3694</v>
      </c>
      <c r="L62" s="1">
        <f>'IS 2024'!G74</f>
        <v>-3694</v>
      </c>
      <c r="M62" s="1">
        <f>'IS 2024'!H74</f>
        <v>-7252.4000000000005</v>
      </c>
      <c r="N62" s="1">
        <f>'IS 2024'!I74</f>
        <v>-7989.2000000000007</v>
      </c>
      <c r="O62" s="1">
        <f>'IS 2024'!J74</f>
        <v>-8198.6</v>
      </c>
      <c r="P62" s="1">
        <f>'IS 2024'!K74</f>
        <v>-8592.2000000000007</v>
      </c>
      <c r="Q62" s="1">
        <f>'IS 2024'!L74</f>
        <v>-10028.800000000001</v>
      </c>
      <c r="R62" s="1">
        <f>'IS 2024'!M74</f>
        <v>-10022.6</v>
      </c>
      <c r="S62" s="1">
        <f>'IS 2024'!N74</f>
        <v>-9825</v>
      </c>
      <c r="T62" s="1">
        <f>'IS 2024'!O74</f>
        <v>-8311.8000000000011</v>
      </c>
      <c r="U62" s="1">
        <f>'IS 2024'!P74</f>
        <v>-8292.4</v>
      </c>
      <c r="V62" s="1">
        <f>'IS 2024'!Q74</f>
        <v>-8366.4</v>
      </c>
    </row>
    <row r="63" spans="2:23" x14ac:dyDescent="0.3">
      <c r="B63" s="14" t="s">
        <v>12</v>
      </c>
      <c r="C63" s="14"/>
      <c r="D63" s="14"/>
      <c r="E63" s="188">
        <f>'Statements Summary 2023'!V63</f>
        <v>33465.599999999999</v>
      </c>
      <c r="F63" s="188">
        <f t="shared" si="1"/>
        <v>33465.599999999999</v>
      </c>
      <c r="G63" s="188">
        <f>'Statements Summary 2025'!V64</f>
        <v>30870.799999999999</v>
      </c>
      <c r="H63" s="188">
        <f>'Statements Summary 2026'!V64</f>
        <v>31603.200000000001</v>
      </c>
      <c r="I63" s="188">
        <f>'Statements Summary 2027'!V64</f>
        <v>31612</v>
      </c>
      <c r="K63" s="188">
        <f>'IS 2024'!F75</f>
        <v>14776</v>
      </c>
      <c r="L63" s="188">
        <f>'IS 2024'!G75</f>
        <v>14776</v>
      </c>
      <c r="M63" s="188">
        <f>'IS 2024'!H75</f>
        <v>29009.599999999999</v>
      </c>
      <c r="N63" s="188">
        <f>'IS 2024'!I75</f>
        <v>31956.799999999999</v>
      </c>
      <c r="O63" s="188">
        <f>'IS 2024'!J75</f>
        <v>32794.400000000001</v>
      </c>
      <c r="P63" s="188">
        <f>'IS 2024'!K75</f>
        <v>34368.800000000003</v>
      </c>
      <c r="Q63" s="188">
        <f>'IS 2024'!L75</f>
        <v>40115.199999999997</v>
      </c>
      <c r="R63" s="188">
        <f>'IS 2024'!M75</f>
        <v>40090.400000000001</v>
      </c>
      <c r="S63" s="188">
        <f>'IS 2024'!N75</f>
        <v>39300</v>
      </c>
      <c r="T63" s="188">
        <f>'IS 2024'!O75</f>
        <v>33247.199999999997</v>
      </c>
      <c r="U63" s="188">
        <f>'IS 2024'!P75</f>
        <v>33169.599999999999</v>
      </c>
      <c r="V63" s="188">
        <f>'IS 2024'!Q75</f>
        <v>33465.599999999999</v>
      </c>
    </row>
    <row r="64" spans="2:23" x14ac:dyDescent="0.3">
      <c r="B64" t="s">
        <v>13</v>
      </c>
      <c r="E64" s="2">
        <f>'Statements Summary 2023'!V64</f>
        <v>0.61507471190428054</v>
      </c>
      <c r="F64" s="2">
        <f t="shared" si="1"/>
        <v>0.61507471190428054</v>
      </c>
      <c r="G64" s="2">
        <f>'Statements Summary 2025'!V65</f>
        <v>0.56738407248800748</v>
      </c>
      <c r="H64" s="2">
        <f>'Statements Summary 2026'!V65</f>
        <v>0.58084508077707731</v>
      </c>
      <c r="I64" s="2">
        <f>'Statements Summary 2027'!V65</f>
        <v>0.58100681872484328</v>
      </c>
      <c r="K64" s="2">
        <f>K63/K44</f>
        <v>0.47592359970367509</v>
      </c>
      <c r="L64" s="2">
        <f t="shared" ref="L64:V64" si="11">L63/L44</f>
        <v>0.47592359970367509</v>
      </c>
      <c r="M64" s="2">
        <f t="shared" si="11"/>
        <v>0.59398431581318201</v>
      </c>
      <c r="N64" s="2">
        <f t="shared" si="11"/>
        <v>0.60843440016754569</v>
      </c>
      <c r="O64" s="2">
        <f t="shared" si="11"/>
        <v>0.61217845809221583</v>
      </c>
      <c r="P64" s="2">
        <f t="shared" si="11"/>
        <v>0.61883395152868315</v>
      </c>
      <c r="Q64" s="2">
        <f t="shared" si="11"/>
        <v>0.63958163932335255</v>
      </c>
      <c r="R64" s="2">
        <f t="shared" si="11"/>
        <v>0.63950231296857551</v>
      </c>
      <c r="S64" s="2">
        <f t="shared" si="11"/>
        <v>0.63693235227383227</v>
      </c>
      <c r="T64" s="2">
        <f t="shared" si="11"/>
        <v>0.61414216048470516</v>
      </c>
      <c r="U64" s="2">
        <f t="shared" si="11"/>
        <v>0.6138085456799719</v>
      </c>
      <c r="V64" s="2">
        <f t="shared" si="11"/>
        <v>0.61507471190428054</v>
      </c>
    </row>
    <row r="66" spans="2:22" x14ac:dyDescent="0.3">
      <c r="B66" s="173" t="s">
        <v>221</v>
      </c>
      <c r="C66" s="147"/>
      <c r="D66" s="147"/>
      <c r="E66" s="147"/>
      <c r="F66" s="147"/>
      <c r="G66" s="147"/>
      <c r="H66" s="147"/>
      <c r="I66" s="147"/>
      <c r="K66" s="428" t="s">
        <v>199</v>
      </c>
      <c r="L66" s="428"/>
      <c r="M66" s="428"/>
      <c r="N66" s="428"/>
      <c r="O66" s="428"/>
      <c r="P66" s="428"/>
      <c r="Q66" s="428"/>
      <c r="R66" s="428"/>
      <c r="S66" s="428"/>
      <c r="T66" s="428"/>
      <c r="U66" s="428"/>
      <c r="V66" s="428"/>
    </row>
    <row r="84" spans="2:22" x14ac:dyDescent="0.3">
      <c r="B84" s="173" t="s">
        <v>222</v>
      </c>
      <c r="C84" s="173"/>
      <c r="D84" s="173"/>
      <c r="E84" s="173"/>
      <c r="F84" s="147"/>
      <c r="G84" s="147"/>
      <c r="H84" s="147"/>
      <c r="I84" s="147"/>
      <c r="J84" s="147"/>
      <c r="K84" s="428" t="s">
        <v>200</v>
      </c>
      <c r="L84" s="428"/>
      <c r="M84" s="428"/>
      <c r="N84" s="428"/>
      <c r="O84" s="428"/>
      <c r="P84" s="428"/>
      <c r="Q84" s="428"/>
      <c r="R84" s="428"/>
      <c r="S84" s="428"/>
      <c r="T84" s="428"/>
      <c r="U84" s="428"/>
      <c r="V84" s="428"/>
    </row>
    <row r="86" spans="2:22" x14ac:dyDescent="0.3">
      <c r="B86" s="186" t="s">
        <v>20</v>
      </c>
      <c r="C86" s="186"/>
      <c r="D86" s="186"/>
      <c r="E86" s="187">
        <v>2023</v>
      </c>
      <c r="F86" s="187">
        <v>2024</v>
      </c>
      <c r="G86" s="187">
        <v>2025</v>
      </c>
      <c r="H86" s="187">
        <v>2026</v>
      </c>
      <c r="I86" s="187">
        <v>2027</v>
      </c>
      <c r="J86" s="186"/>
      <c r="K86" s="187" t="s">
        <v>25</v>
      </c>
      <c r="L86" s="187" t="s">
        <v>26</v>
      </c>
      <c r="M86" s="187" t="s">
        <v>27</v>
      </c>
      <c r="N86" s="187" t="s">
        <v>28</v>
      </c>
      <c r="O86" s="187" t="s">
        <v>29</v>
      </c>
      <c r="P86" s="187" t="s">
        <v>30</v>
      </c>
      <c r="Q86" s="187" t="s">
        <v>31</v>
      </c>
      <c r="R86" s="187" t="s">
        <v>32</v>
      </c>
      <c r="S86" s="187" t="s">
        <v>33</v>
      </c>
      <c r="T86" s="187" t="s">
        <v>34</v>
      </c>
      <c r="U86" s="187" t="s">
        <v>35</v>
      </c>
      <c r="V86" s="187" t="s">
        <v>36</v>
      </c>
    </row>
    <row r="87" spans="2:22" x14ac:dyDescent="0.3">
      <c r="B87" t="s">
        <v>48</v>
      </c>
      <c r="E87" s="194">
        <f>'Statements Summary 2023'!V86</f>
        <v>19802.599999999999</v>
      </c>
      <c r="F87" s="194">
        <f t="shared" ref="F87:F98" si="12">V87</f>
        <v>395096.2</v>
      </c>
      <c r="G87" s="194">
        <f>'Statements Summary 2025'!V88</f>
        <v>850182.80000000016</v>
      </c>
      <c r="H87" s="194">
        <f>'Statements Summary 2026'!V88</f>
        <v>1310974.6000000001</v>
      </c>
      <c r="I87" s="194">
        <f>'Statements Summary 2027'!V88</f>
        <v>1811317.4000000001</v>
      </c>
      <c r="K87" s="194">
        <f>'BS 2024'!F14</f>
        <v>32615.599999999999</v>
      </c>
      <c r="L87" s="194">
        <f>'BS 2024'!G14</f>
        <v>45758.6</v>
      </c>
      <c r="M87" s="194">
        <f>'BS 2024'!H14</f>
        <v>73465.2</v>
      </c>
      <c r="N87" s="194">
        <f>'BS 2024'!I14</f>
        <v>104449</v>
      </c>
      <c r="O87" s="194">
        <f>'BS 2024'!J14</f>
        <v>136600.4</v>
      </c>
      <c r="P87" s="194">
        <f>'BS 2024'!K14</f>
        <v>170656.2</v>
      </c>
      <c r="Q87" s="194">
        <f>'BS 2024'!L14</f>
        <v>210788.40000000002</v>
      </c>
      <c r="R87" s="194">
        <f>'BS 2024'!M14</f>
        <v>251225.80000000002</v>
      </c>
      <c r="S87" s="194">
        <f>'BS 2024'!N14</f>
        <v>291202.80000000005</v>
      </c>
      <c r="T87" s="194">
        <f>'BS 2024'!O14</f>
        <v>325457.00000000006</v>
      </c>
      <c r="U87" s="194">
        <f>'BS 2024'!P14</f>
        <v>359963.60000000003</v>
      </c>
      <c r="V87" s="194">
        <f>'BS 2024'!Q14</f>
        <v>395096.2</v>
      </c>
    </row>
    <row r="88" spans="2:22" x14ac:dyDescent="0.3">
      <c r="B88" t="s">
        <v>49</v>
      </c>
      <c r="E88" s="194">
        <f>'Statements Summary 2023'!V87</f>
        <v>170532</v>
      </c>
      <c r="F88" s="194">
        <f t="shared" si="12"/>
        <v>188332</v>
      </c>
      <c r="G88" s="194">
        <f>'Statements Summary 2025'!V89</f>
        <v>209481</v>
      </c>
      <c r="H88" s="194">
        <f>'Statements Summary 2026'!V89</f>
        <v>231018</v>
      </c>
      <c r="I88" s="194">
        <f>'Statements Summary 2027'!V89</f>
        <v>252400</v>
      </c>
      <c r="K88" s="194">
        <f>'BS 2024'!F20</f>
        <v>171982</v>
      </c>
      <c r="L88" s="194">
        <f>'BS 2024'!G20</f>
        <v>173432</v>
      </c>
      <c r="M88" s="194">
        <f>'BS 2024'!H20</f>
        <v>174882</v>
      </c>
      <c r="N88" s="194">
        <f>'BS 2024'!I20</f>
        <v>176332</v>
      </c>
      <c r="O88" s="194">
        <f>'BS 2024'!J20</f>
        <v>177782</v>
      </c>
      <c r="P88" s="194">
        <f>'BS 2024'!K20</f>
        <v>179232</v>
      </c>
      <c r="Q88" s="194">
        <f>'BS 2024'!L20</f>
        <v>180682</v>
      </c>
      <c r="R88" s="194">
        <f>'BS 2024'!M20</f>
        <v>182132</v>
      </c>
      <c r="S88" s="194">
        <f>'BS 2024'!N20</f>
        <v>183582</v>
      </c>
      <c r="T88" s="194">
        <f>'BS 2024'!O20</f>
        <v>185032</v>
      </c>
      <c r="U88" s="194">
        <f>'BS 2024'!P20</f>
        <v>186482</v>
      </c>
      <c r="V88" s="194">
        <f>'BS 2024'!Q20</f>
        <v>188332</v>
      </c>
    </row>
    <row r="89" spans="2:22" x14ac:dyDescent="0.3">
      <c r="B89" t="s">
        <v>50</v>
      </c>
      <c r="E89" s="194">
        <f>'Statements Summary 2023'!V88</f>
        <v>190334.6</v>
      </c>
      <c r="F89" s="194">
        <f t="shared" si="12"/>
        <v>583428.19999999995</v>
      </c>
      <c r="G89" s="194">
        <f>'Statements Summary 2025'!V90</f>
        <v>1059663.8000000003</v>
      </c>
      <c r="H89" s="194">
        <f>'Statements Summary 2026'!V90</f>
        <v>1541992.6</v>
      </c>
      <c r="I89" s="194">
        <f>'Statements Summary 2027'!V90</f>
        <v>2063717.4000000001</v>
      </c>
      <c r="K89" s="194">
        <f>'BS 2024'!F21</f>
        <v>204597.6</v>
      </c>
      <c r="L89" s="194">
        <f>'BS 2024'!G21</f>
        <v>219190.6</v>
      </c>
      <c r="M89" s="194">
        <f>'BS 2024'!H21</f>
        <v>248347.2</v>
      </c>
      <c r="N89" s="194">
        <f>'BS 2024'!I21</f>
        <v>280781</v>
      </c>
      <c r="O89" s="194">
        <f>'BS 2024'!J21</f>
        <v>314382.40000000002</v>
      </c>
      <c r="P89" s="194">
        <f>'BS 2024'!K21</f>
        <v>349888.2</v>
      </c>
      <c r="Q89" s="194">
        <f>'BS 2024'!L21</f>
        <v>391470.4</v>
      </c>
      <c r="R89" s="194">
        <f>'BS 2024'!M21</f>
        <v>433357.80000000005</v>
      </c>
      <c r="S89" s="194">
        <f>'BS 2024'!N21</f>
        <v>474784.80000000005</v>
      </c>
      <c r="T89" s="194">
        <f>'BS 2024'!O21</f>
        <v>510489.00000000006</v>
      </c>
      <c r="U89" s="194">
        <f>'BS 2024'!P21</f>
        <v>546445.60000000009</v>
      </c>
      <c r="V89" s="194">
        <f>'BS 2024'!Q21</f>
        <v>583428.19999999995</v>
      </c>
    </row>
    <row r="90" spans="2:22" x14ac:dyDescent="0.3">
      <c r="B90" t="s">
        <v>51</v>
      </c>
      <c r="E90" s="194">
        <f>'Statements Summary 2023'!V89</f>
        <v>-8366.4</v>
      </c>
      <c r="F90" s="194">
        <f t="shared" si="12"/>
        <v>-8366.4</v>
      </c>
      <c r="G90" s="194">
        <f>'Statements Summary 2025'!V91</f>
        <v>-8194.2000000000007</v>
      </c>
      <c r="H90" s="194">
        <f>'Statements Summary 2026'!V91</f>
        <v>-7461.8</v>
      </c>
      <c r="I90" s="194">
        <f>'Statements Summary 2027'!V91</f>
        <v>-7453</v>
      </c>
      <c r="K90" s="194"/>
      <c r="L90" s="194">
        <f>'BS 2024'!G28</f>
        <v>-3694</v>
      </c>
      <c r="M90" s="194">
        <f>'BS 2024'!H28</f>
        <v>-7252.4000000000005</v>
      </c>
      <c r="N90" s="194">
        <f>'BS 2024'!I28</f>
        <v>-7989.2000000000007</v>
      </c>
      <c r="O90" s="194">
        <f>'BS 2024'!J28</f>
        <v>-8198.6</v>
      </c>
      <c r="P90" s="194">
        <f>'BS 2024'!K28</f>
        <v>-8592.2000000000007</v>
      </c>
      <c r="Q90" s="194">
        <f>'BS 2024'!L28</f>
        <v>-10028.800000000001</v>
      </c>
      <c r="R90" s="194">
        <f>'BS 2024'!M28</f>
        <v>-10022.6</v>
      </c>
      <c r="S90" s="194">
        <f>'BS 2024'!N28</f>
        <v>-9825</v>
      </c>
      <c r="T90" s="194">
        <f>'BS 2024'!O28</f>
        <v>-8311.8000000000011</v>
      </c>
      <c r="U90" s="194">
        <f>'BS 2024'!P28</f>
        <v>-8292.4</v>
      </c>
      <c r="V90" s="194">
        <f>'BS 2024'!Q28</f>
        <v>-8366.4</v>
      </c>
    </row>
    <row r="91" spans="2:22" x14ac:dyDescent="0.3">
      <c r="B91" t="s">
        <v>196</v>
      </c>
      <c r="E91" s="194">
        <f>'Statements Summary 2023'!V90</f>
        <v>-113700</v>
      </c>
      <c r="F91" s="194">
        <f t="shared" si="12"/>
        <v>-74100</v>
      </c>
      <c r="G91" s="194">
        <f>'Statements Summary 2025'!V92</f>
        <v>-41100</v>
      </c>
      <c r="H91" s="194">
        <f>'Statements Summary 2026'!V92</f>
        <v>-1500</v>
      </c>
      <c r="I91" s="194">
        <f>'Statements Summary 2027'!V92</f>
        <v>0</v>
      </c>
      <c r="K91" s="194">
        <f>'BS 2024'!F31</f>
        <v>-110400</v>
      </c>
      <c r="L91" s="194">
        <f>'BS 2024'!G31</f>
        <v>-107100</v>
      </c>
      <c r="M91" s="194">
        <f>'BS 2024'!H31</f>
        <v>-103800</v>
      </c>
      <c r="N91" s="194">
        <f>'BS 2024'!I31</f>
        <v>-100500</v>
      </c>
      <c r="O91" s="194">
        <f>'BS 2024'!J31</f>
        <v>-97200</v>
      </c>
      <c r="P91" s="194">
        <f>'BS 2024'!K31</f>
        <v>-93900</v>
      </c>
      <c r="Q91" s="194">
        <f>'BS 2024'!L31</f>
        <v>-90600</v>
      </c>
      <c r="R91" s="194">
        <f>'BS 2024'!M31</f>
        <v>-87300</v>
      </c>
      <c r="S91" s="194">
        <f>'BS 2024'!N31</f>
        <v>-84000</v>
      </c>
      <c r="T91" s="194">
        <f>'BS 2024'!O31</f>
        <v>-80700</v>
      </c>
      <c r="U91" s="194">
        <f>'BS 2024'!P31</f>
        <v>-77400</v>
      </c>
      <c r="V91" s="194">
        <f>'BS 2024'!Q31</f>
        <v>-74100</v>
      </c>
    </row>
    <row r="92" spans="2:22" x14ac:dyDescent="0.3">
      <c r="B92" t="s">
        <v>53</v>
      </c>
      <c r="E92" s="194">
        <f>'Statements Summary 2023'!V91</f>
        <v>-122066.4</v>
      </c>
      <c r="F92" s="194">
        <f t="shared" si="12"/>
        <v>-82466.399999999994</v>
      </c>
      <c r="G92" s="194">
        <f>'Statements Summary 2025'!V93</f>
        <v>-49294.2</v>
      </c>
      <c r="H92" s="194">
        <f>'Statements Summary 2026'!V93</f>
        <v>-8961.7999999999993</v>
      </c>
      <c r="I92" s="194">
        <f>'Statements Summary 2027'!V93</f>
        <v>-7453</v>
      </c>
      <c r="K92" s="194">
        <f>'BS 2024'!F36</f>
        <v>-114094</v>
      </c>
      <c r="L92" s="194">
        <f>'BS 2024'!G36</f>
        <v>-110794</v>
      </c>
      <c r="M92" s="194">
        <f>'BS 2024'!H36</f>
        <v>-111052.4</v>
      </c>
      <c r="N92" s="194">
        <f>'BS 2024'!I36</f>
        <v>-108489.2</v>
      </c>
      <c r="O92" s="194">
        <f>'BS 2024'!J36</f>
        <v>-105398.6</v>
      </c>
      <c r="P92" s="194">
        <f>'BS 2024'!K36</f>
        <v>-102492.2</v>
      </c>
      <c r="Q92" s="194">
        <f>'BS 2024'!L36</f>
        <v>-100628.8</v>
      </c>
      <c r="R92" s="194">
        <f>'BS 2024'!M36</f>
        <v>-97322.6</v>
      </c>
      <c r="S92" s="194">
        <f>'BS 2024'!N36</f>
        <v>-93825</v>
      </c>
      <c r="T92" s="194">
        <f>'BS 2024'!O36</f>
        <v>-89011.8</v>
      </c>
      <c r="U92" s="194">
        <f>'BS 2024'!P36</f>
        <v>-85692.4</v>
      </c>
      <c r="V92" s="194">
        <f>'BS 2024'!Q36</f>
        <v>-82466.399999999994</v>
      </c>
    </row>
    <row r="93" spans="2:22" x14ac:dyDescent="0.3">
      <c r="B93" t="s">
        <v>54</v>
      </c>
      <c r="E93" s="194">
        <f>'Statements Summary 2023'!V92</f>
        <v>68268.200000000012</v>
      </c>
      <c r="F93" s="194">
        <f t="shared" si="12"/>
        <v>500961.79999999993</v>
      </c>
      <c r="G93" s="194">
        <f>'Statements Summary 2025'!V94</f>
        <v>969269.60000000033</v>
      </c>
      <c r="H93" s="194">
        <f>'Statements Summary 2026'!V94</f>
        <v>1533030.8</v>
      </c>
      <c r="I93" s="194">
        <f>'Statements Summary 2027'!V94</f>
        <v>2056264.4000000001</v>
      </c>
      <c r="K93" s="194">
        <f>'BS 2024'!F37</f>
        <v>90503.6</v>
      </c>
      <c r="L93" s="194">
        <f>'BS 2024'!G37</f>
        <v>108396.6</v>
      </c>
      <c r="M93" s="194">
        <f>'BS 2024'!H37</f>
        <v>137294.80000000002</v>
      </c>
      <c r="N93" s="194">
        <f>'BS 2024'!I37</f>
        <v>172291.8</v>
      </c>
      <c r="O93" s="194">
        <f>'BS 2024'!J37</f>
        <v>208983.80000000002</v>
      </c>
      <c r="P93" s="194">
        <f>'BS 2024'!K37</f>
        <v>247396</v>
      </c>
      <c r="Q93" s="194">
        <f>'BS 2024'!L37</f>
        <v>290841.60000000003</v>
      </c>
      <c r="R93" s="194">
        <f>'BS 2024'!M37</f>
        <v>336035.20000000007</v>
      </c>
      <c r="S93" s="194">
        <f>'BS 2024'!N37</f>
        <v>380959.80000000005</v>
      </c>
      <c r="T93" s="194">
        <f>'BS 2024'!O37</f>
        <v>421477.20000000007</v>
      </c>
      <c r="U93" s="194">
        <f>'BS 2024'!P37</f>
        <v>460753.20000000007</v>
      </c>
      <c r="V93" s="194">
        <f>'BS 2024'!Q37</f>
        <v>500961.79999999993</v>
      </c>
    </row>
    <row r="94" spans="2:22" x14ac:dyDescent="0.3">
      <c r="B94" t="s">
        <v>55</v>
      </c>
      <c r="E94" s="194">
        <f>'Statements Summary 2023'!V93</f>
        <v>19802.599999999999</v>
      </c>
      <c r="F94" s="194">
        <f t="shared" si="12"/>
        <v>395096.2</v>
      </c>
      <c r="G94" s="194">
        <f>'Statements Summary 2025'!V95</f>
        <v>850182.80000000016</v>
      </c>
      <c r="H94" s="194">
        <f>'Statements Summary 2026'!V95</f>
        <v>1310974.6000000001</v>
      </c>
      <c r="I94" s="194">
        <f>'Statements Summary 2027'!V95</f>
        <v>1811317.4000000001</v>
      </c>
      <c r="K94" s="194">
        <f>'BS 2024'!F14</f>
        <v>32615.599999999999</v>
      </c>
      <c r="L94" s="194">
        <f>'BS 2024'!G14</f>
        <v>45758.6</v>
      </c>
      <c r="M94" s="194">
        <f>'BS 2024'!H14</f>
        <v>73465.2</v>
      </c>
      <c r="N94" s="194">
        <f>'BS 2024'!I14</f>
        <v>104449</v>
      </c>
      <c r="O94" s="194">
        <f>'BS 2024'!J14</f>
        <v>136600.4</v>
      </c>
      <c r="P94" s="194">
        <f>'BS 2024'!K14</f>
        <v>170656.2</v>
      </c>
      <c r="Q94" s="194">
        <f>'BS 2024'!L14</f>
        <v>210788.40000000002</v>
      </c>
      <c r="R94" s="194">
        <f>'BS 2024'!M14</f>
        <v>251225.80000000002</v>
      </c>
      <c r="S94" s="194">
        <f>'BS 2024'!N14</f>
        <v>291202.80000000005</v>
      </c>
      <c r="T94" s="194">
        <f>'BS 2024'!O14</f>
        <v>325457.00000000006</v>
      </c>
      <c r="U94" s="194">
        <f>'BS 2024'!P14</f>
        <v>359963.60000000003</v>
      </c>
      <c r="V94" s="194">
        <f>'BS 2024'!Q14</f>
        <v>395096.2</v>
      </c>
    </row>
    <row r="95" spans="2:22" x14ac:dyDescent="0.3">
      <c r="B95" t="s">
        <v>56</v>
      </c>
      <c r="E95" s="194" t="str">
        <f>'Statements Summary 2023'!V94</f>
        <v>-</v>
      </c>
      <c r="F95" s="194" t="str">
        <f t="shared" si="12"/>
        <v>-</v>
      </c>
      <c r="G95" s="194" t="str">
        <f>'Statements Summary 2025'!V96</f>
        <v>-</v>
      </c>
      <c r="H95" s="194" t="str">
        <f>'Statements Summary 2026'!V96</f>
        <v>-</v>
      </c>
      <c r="I95" s="194" t="str">
        <f>'Statements Summary 2027'!V96</f>
        <v>-</v>
      </c>
      <c r="K95" s="194" t="s">
        <v>190</v>
      </c>
      <c r="L95" s="194" t="s">
        <v>190</v>
      </c>
      <c r="M95" s="194" t="s">
        <v>190</v>
      </c>
      <c r="N95" s="194" t="s">
        <v>190</v>
      </c>
      <c r="O95" s="194" t="s">
        <v>190</v>
      </c>
      <c r="P95" s="194" t="s">
        <v>190</v>
      </c>
      <c r="Q95" s="194" t="s">
        <v>190</v>
      </c>
      <c r="R95" s="194" t="s">
        <v>190</v>
      </c>
      <c r="S95" s="194" t="s">
        <v>190</v>
      </c>
      <c r="T95" s="194" t="s">
        <v>190</v>
      </c>
      <c r="U95" s="194" t="s">
        <v>190</v>
      </c>
      <c r="V95" s="194" t="s">
        <v>190</v>
      </c>
    </row>
    <row r="96" spans="2:22" x14ac:dyDescent="0.3">
      <c r="B96" t="s">
        <v>57</v>
      </c>
      <c r="E96" s="194">
        <f>'Statements Summary 2023'!V95</f>
        <v>0</v>
      </c>
      <c r="F96" s="194">
        <f t="shared" si="12"/>
        <v>0</v>
      </c>
      <c r="G96" s="194">
        <f>'Statements Summary 2025'!V97</f>
        <v>0</v>
      </c>
      <c r="H96" s="194">
        <f>'Statements Summary 2026'!V97</f>
        <v>0</v>
      </c>
      <c r="I96" s="194">
        <f>'Statements Summary 2027'!V97</f>
        <v>0</v>
      </c>
      <c r="K96" s="194" t="s">
        <v>190</v>
      </c>
      <c r="L96" s="194" t="s">
        <v>190</v>
      </c>
      <c r="M96" s="194" t="s">
        <v>190</v>
      </c>
      <c r="N96" s="194" t="s">
        <v>190</v>
      </c>
      <c r="O96" s="194" t="s">
        <v>190</v>
      </c>
      <c r="P96" s="194" t="s">
        <v>190</v>
      </c>
      <c r="Q96" s="194" t="s">
        <v>190</v>
      </c>
      <c r="R96" s="194" t="s">
        <v>190</v>
      </c>
      <c r="S96" s="194" t="s">
        <v>190</v>
      </c>
      <c r="T96" s="194" t="s">
        <v>190</v>
      </c>
      <c r="U96" s="194" t="s">
        <v>190</v>
      </c>
      <c r="V96" s="194"/>
    </row>
    <row r="97" spans="2:22" x14ac:dyDescent="0.3">
      <c r="B97" t="s">
        <v>58</v>
      </c>
      <c r="E97" s="194">
        <f>'Statements Summary 2023'!V96</f>
        <v>68268.200000000012</v>
      </c>
      <c r="F97" s="194">
        <f t="shared" si="12"/>
        <v>500961.79999999993</v>
      </c>
      <c r="G97" s="194">
        <f>'Statements Summary 2025'!V98</f>
        <v>969269.60000000033</v>
      </c>
      <c r="H97" s="194">
        <f>'Statements Summary 2026'!V98</f>
        <v>1533030.8</v>
      </c>
      <c r="I97" s="194">
        <f>'Statements Summary 2027'!V98</f>
        <v>2056264.4000000001</v>
      </c>
      <c r="K97" s="194">
        <f>K93</f>
        <v>90503.6</v>
      </c>
      <c r="L97" s="194">
        <f t="shared" ref="L97:V97" si="13">L93</f>
        <v>108396.6</v>
      </c>
      <c r="M97" s="194">
        <f t="shared" si="13"/>
        <v>137294.80000000002</v>
      </c>
      <c r="N97" s="194">
        <f t="shared" si="13"/>
        <v>172291.8</v>
      </c>
      <c r="O97" s="194">
        <f t="shared" si="13"/>
        <v>208983.80000000002</v>
      </c>
      <c r="P97" s="194">
        <f t="shared" si="13"/>
        <v>247396</v>
      </c>
      <c r="Q97" s="194">
        <f t="shared" si="13"/>
        <v>290841.60000000003</v>
      </c>
      <c r="R97" s="194">
        <f t="shared" si="13"/>
        <v>336035.20000000007</v>
      </c>
      <c r="S97" s="194">
        <f t="shared" si="13"/>
        <v>380959.80000000005</v>
      </c>
      <c r="T97" s="194">
        <f t="shared" si="13"/>
        <v>421477.20000000007</v>
      </c>
      <c r="U97" s="194">
        <f t="shared" si="13"/>
        <v>460753.20000000007</v>
      </c>
      <c r="V97" s="194">
        <f t="shared" si="13"/>
        <v>500961.79999999993</v>
      </c>
    </row>
    <row r="98" spans="2:22" x14ac:dyDescent="0.3">
      <c r="B98" t="s">
        <v>59</v>
      </c>
      <c r="E98" s="194">
        <f>'Statements Summary 2023'!V97</f>
        <v>68268.200000000012</v>
      </c>
      <c r="F98" s="194">
        <f t="shared" si="12"/>
        <v>500961.79999999993</v>
      </c>
      <c r="G98" s="194">
        <f>'Statements Summary 2025'!V99</f>
        <v>969269.60000000033</v>
      </c>
      <c r="H98" s="194">
        <f>'Statements Summary 2026'!V99</f>
        <v>1533030.8</v>
      </c>
      <c r="I98" s="194">
        <f>'Statements Summary 2027'!V99</f>
        <v>2056264.4000000001</v>
      </c>
      <c r="K98" s="194">
        <f>K97</f>
        <v>90503.6</v>
      </c>
      <c r="L98" s="194">
        <f t="shared" ref="L98:V98" si="14">L97</f>
        <v>108396.6</v>
      </c>
      <c r="M98" s="194">
        <f t="shared" si="14"/>
        <v>137294.80000000002</v>
      </c>
      <c r="N98" s="194">
        <f t="shared" si="14"/>
        <v>172291.8</v>
      </c>
      <c r="O98" s="194">
        <f t="shared" si="14"/>
        <v>208983.80000000002</v>
      </c>
      <c r="P98" s="194">
        <f t="shared" si="14"/>
        <v>247396</v>
      </c>
      <c r="Q98" s="194">
        <f t="shared" si="14"/>
        <v>290841.60000000003</v>
      </c>
      <c r="R98" s="194">
        <f t="shared" si="14"/>
        <v>336035.20000000007</v>
      </c>
      <c r="S98" s="194">
        <f t="shared" si="14"/>
        <v>380959.80000000005</v>
      </c>
      <c r="T98" s="194">
        <f t="shared" si="14"/>
        <v>421477.20000000007</v>
      </c>
      <c r="U98" s="194">
        <f t="shared" si="14"/>
        <v>460753.20000000007</v>
      </c>
      <c r="V98" s="194">
        <f t="shared" si="14"/>
        <v>500961.79999999993</v>
      </c>
    </row>
    <row r="100" spans="2:22" x14ac:dyDescent="0.3">
      <c r="B100" s="173" t="s">
        <v>222</v>
      </c>
      <c r="C100" s="147"/>
      <c r="D100" s="147"/>
      <c r="E100" s="147"/>
      <c r="F100" s="147"/>
      <c r="G100" s="147"/>
      <c r="H100" s="147"/>
      <c r="I100" s="147"/>
      <c r="K100" s="428" t="s">
        <v>200</v>
      </c>
      <c r="L100" s="428"/>
      <c r="M100" s="428"/>
      <c r="N100" s="428"/>
      <c r="O100" s="428"/>
      <c r="P100" s="428"/>
      <c r="Q100" s="428"/>
      <c r="R100" s="428"/>
      <c r="S100" s="428"/>
      <c r="T100" s="428"/>
      <c r="U100" s="428"/>
      <c r="V100" s="428"/>
    </row>
  </sheetData>
  <mergeCells count="6">
    <mergeCell ref="K100:V100"/>
    <mergeCell ref="K19:V19"/>
    <mergeCell ref="K2:V2"/>
    <mergeCell ref="K41:V41"/>
    <mergeCell ref="K66:V66"/>
    <mergeCell ref="K84:V84"/>
  </mergeCells>
  <pageMargins left="0.7" right="0.7" top="0.75" bottom="0.75" header="0.3" footer="0.3"/>
  <ignoredErrors>
    <ignoredError sqref="F6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3A31-AF77-4355-8357-95967E1F0259}">
  <sheetPr codeName="Sheet25"/>
  <dimension ref="A1:AP100"/>
  <sheetViews>
    <sheetView showGridLines="0" topLeftCell="A57" zoomScaleNormal="100" workbookViewId="0">
      <selection activeCell="H72" sqref="H72"/>
    </sheetView>
  </sheetViews>
  <sheetFormatPr defaultRowHeight="14.4" x14ac:dyDescent="0.3"/>
  <cols>
    <col min="1" max="1" width="5" customWidth="1"/>
    <col min="2" max="2" width="3.88671875" customWidth="1"/>
    <col min="5" max="5" width="13.6640625" customWidth="1"/>
    <col min="6" max="6" width="10.21875" style="125" bestFit="1" customWidth="1"/>
    <col min="7" max="8" width="10.109375" bestFit="1" customWidth="1"/>
    <col min="9" max="9" width="9.88671875" customWidth="1"/>
    <col min="10" max="10" width="10.5546875" bestFit="1" customWidth="1"/>
    <col min="11" max="11" width="10.109375" bestFit="1" customWidth="1"/>
    <col min="12" max="13" width="10.5546875" bestFit="1" customWidth="1"/>
    <col min="14" max="14" width="9.5546875" customWidth="1"/>
    <col min="15" max="15" width="10.109375" bestFit="1" customWidth="1"/>
    <col min="16" max="19" width="10.5546875" bestFit="1" customWidth="1"/>
    <col min="20" max="20" width="9.3320312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32" t="s">
        <v>139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42" x14ac:dyDescent="0.3">
      <c r="A3" s="9"/>
      <c r="B3" s="9" t="s">
        <v>140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42" x14ac:dyDescent="0.3">
      <c r="A5" s="143"/>
      <c r="B5" s="146" t="s">
        <v>170</v>
      </c>
      <c r="C5" s="143"/>
      <c r="D5" s="143"/>
      <c r="E5" s="143"/>
      <c r="F5" s="191">
        <v>2025</v>
      </c>
      <c r="G5" s="191">
        <v>2025</v>
      </c>
      <c r="H5" s="191">
        <v>2025</v>
      </c>
      <c r="I5" s="191">
        <v>2025</v>
      </c>
      <c r="J5" s="191">
        <v>2025</v>
      </c>
      <c r="K5" s="191">
        <v>2025</v>
      </c>
      <c r="L5" s="191">
        <v>2025</v>
      </c>
      <c r="M5" s="191">
        <v>2025</v>
      </c>
      <c r="N5" s="191">
        <v>2025</v>
      </c>
      <c r="O5" s="191">
        <v>2025</v>
      </c>
      <c r="P5" s="191">
        <v>2025</v>
      </c>
      <c r="Q5" s="191">
        <v>2025</v>
      </c>
      <c r="R5" s="191">
        <v>2026</v>
      </c>
      <c r="S5" s="191">
        <v>2026</v>
      </c>
      <c r="T5" s="191">
        <v>2026</v>
      </c>
      <c r="U5" s="173" t="s">
        <v>72</v>
      </c>
    </row>
    <row r="6" spans="1:42" ht="15" thickBot="1" x14ac:dyDescent="0.35">
      <c r="A6" s="145"/>
      <c r="B6" s="152" t="s">
        <v>64</v>
      </c>
      <c r="C6" s="145"/>
      <c r="D6" s="145"/>
      <c r="E6" s="145"/>
      <c r="F6" s="190" t="s">
        <v>25</v>
      </c>
      <c r="G6" s="190" t="s">
        <v>26</v>
      </c>
      <c r="H6" s="190" t="s">
        <v>27</v>
      </c>
      <c r="I6" s="190" t="s">
        <v>28</v>
      </c>
      <c r="J6" s="190" t="s">
        <v>29</v>
      </c>
      <c r="K6" s="190" t="s">
        <v>30</v>
      </c>
      <c r="L6" s="190" t="s">
        <v>31</v>
      </c>
      <c r="M6" s="190" t="s">
        <v>32</v>
      </c>
      <c r="N6" s="190" t="s">
        <v>33</v>
      </c>
      <c r="O6" s="190" t="s">
        <v>34</v>
      </c>
      <c r="P6" s="190" t="s">
        <v>35</v>
      </c>
      <c r="Q6" s="190" t="s">
        <v>36</v>
      </c>
      <c r="R6" s="190" t="s">
        <v>25</v>
      </c>
      <c r="S6" s="190" t="s">
        <v>26</v>
      </c>
      <c r="T6" s="190" t="s">
        <v>27</v>
      </c>
      <c r="U6" s="158"/>
    </row>
    <row r="7" spans="1:42" s="124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2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35" t="s">
        <v>285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ht="12.6" customHeight="1" x14ac:dyDescent="0.3">
      <c r="A9" s="9"/>
      <c r="B9" s="9"/>
      <c r="C9" s="135" t="s">
        <v>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ht="13.2" customHeight="1" x14ac:dyDescent="0.3">
      <c r="A10" s="9"/>
      <c r="B10" s="9"/>
      <c r="C10" s="427" t="s">
        <v>288</v>
      </c>
      <c r="D10" s="427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338" t="s">
        <v>100</v>
      </c>
    </row>
    <row r="11" spans="1:42" x14ac:dyDescent="0.3">
      <c r="A11" s="9"/>
      <c r="B11" s="9"/>
      <c r="C11" s="136" t="s">
        <v>282</v>
      </c>
      <c r="D11" s="9"/>
      <c r="E11" s="9"/>
      <c r="F11" s="321">
        <v>4191</v>
      </c>
      <c r="G11" s="321">
        <v>4191</v>
      </c>
      <c r="H11" s="321">
        <v>4191</v>
      </c>
      <c r="I11" s="321">
        <v>4891</v>
      </c>
      <c r="J11" s="321">
        <v>5191</v>
      </c>
      <c r="K11" s="321">
        <v>5191</v>
      </c>
      <c r="L11" s="321">
        <v>5222</v>
      </c>
      <c r="M11" s="321">
        <v>5191</v>
      </c>
      <c r="N11" s="321">
        <v>5203</v>
      </c>
      <c r="O11" s="321">
        <v>5203</v>
      </c>
      <c r="P11" s="321">
        <v>5191</v>
      </c>
      <c r="Q11" s="321">
        <v>5187</v>
      </c>
      <c r="R11" s="321">
        <f>'IS 2026'!F11</f>
        <v>4191</v>
      </c>
      <c r="S11" s="321">
        <f>'IS 2026'!G11</f>
        <v>4191</v>
      </c>
      <c r="T11" s="321">
        <f>'IS 2026'!H11</f>
        <v>4191</v>
      </c>
      <c r="U11" s="321">
        <f>AVERAGE(F11:T11)</f>
        <v>4774.3999999999996</v>
      </c>
    </row>
    <row r="12" spans="1:42" x14ac:dyDescent="0.3">
      <c r="A12" s="9"/>
      <c r="B12" s="9"/>
      <c r="C12" s="136" t="s">
        <v>283</v>
      </c>
      <c r="D12" s="9"/>
      <c r="E12" s="9"/>
      <c r="F12" s="321">
        <v>2357</v>
      </c>
      <c r="G12" s="321">
        <v>2357</v>
      </c>
      <c r="H12" s="321">
        <v>2357</v>
      </c>
      <c r="I12" s="321">
        <v>3357</v>
      </c>
      <c r="J12" s="321">
        <v>3557</v>
      </c>
      <c r="K12" s="321">
        <v>3557</v>
      </c>
      <c r="L12" s="321">
        <v>3557</v>
      </c>
      <c r="M12" s="321">
        <v>3557</v>
      </c>
      <c r="N12" s="321">
        <v>3557</v>
      </c>
      <c r="O12" s="321">
        <v>3557</v>
      </c>
      <c r="P12" s="321">
        <v>3557</v>
      </c>
      <c r="Q12" s="321">
        <v>3557</v>
      </c>
      <c r="R12" s="321">
        <f>'IS 2026'!F12</f>
        <v>2357</v>
      </c>
      <c r="S12" s="321">
        <f>'IS 2026'!G12</f>
        <v>2357</v>
      </c>
      <c r="T12" s="321">
        <f>'IS 2026'!H12</f>
        <v>2357</v>
      </c>
      <c r="U12" s="321">
        <f t="shared" ref="U12:U15" si="0">AVERAGE(F12:T12)</f>
        <v>3063.6666666666665</v>
      </c>
    </row>
    <row r="13" spans="1:42" x14ac:dyDescent="0.3">
      <c r="A13" s="9"/>
      <c r="B13" s="9"/>
      <c r="C13" s="136" t="s">
        <v>284</v>
      </c>
      <c r="D13" s="9"/>
      <c r="E13" s="9"/>
      <c r="F13" s="321">
        <v>3357</v>
      </c>
      <c r="G13" s="321">
        <v>3357</v>
      </c>
      <c r="H13" s="321">
        <v>3357</v>
      </c>
      <c r="I13" s="321">
        <v>4357</v>
      </c>
      <c r="J13" s="321">
        <v>4010</v>
      </c>
      <c r="K13" s="321">
        <v>4010</v>
      </c>
      <c r="L13" s="321">
        <v>4010</v>
      </c>
      <c r="M13" s="321">
        <v>4010</v>
      </c>
      <c r="N13" s="321">
        <v>4010</v>
      </c>
      <c r="O13" s="321">
        <v>4010</v>
      </c>
      <c r="P13" s="321">
        <v>4010</v>
      </c>
      <c r="Q13" s="321">
        <v>4010</v>
      </c>
      <c r="R13" s="321">
        <f>'IS 2026'!F13</f>
        <v>3357</v>
      </c>
      <c r="S13" s="321">
        <f>'IS 2026'!G13</f>
        <v>3357</v>
      </c>
      <c r="T13" s="321">
        <f>'IS 2026'!H13</f>
        <v>3357</v>
      </c>
      <c r="U13" s="321">
        <f t="shared" si="0"/>
        <v>3771.9333333333334</v>
      </c>
    </row>
    <row r="14" spans="1:42" x14ac:dyDescent="0.3">
      <c r="A14" s="9"/>
      <c r="B14" s="9"/>
      <c r="C14" s="136" t="s">
        <v>274</v>
      </c>
      <c r="D14" s="9"/>
      <c r="E14" s="9"/>
      <c r="F14" s="321">
        <f t="shared" ref="F14:Q14" si="1">SUM(F11:F13)</f>
        <v>9905</v>
      </c>
      <c r="G14" s="321">
        <f t="shared" si="1"/>
        <v>9905</v>
      </c>
      <c r="H14" s="321">
        <f t="shared" si="1"/>
        <v>9905</v>
      </c>
      <c r="I14" s="321">
        <f t="shared" si="1"/>
        <v>12605</v>
      </c>
      <c r="J14" s="321">
        <f t="shared" si="1"/>
        <v>12758</v>
      </c>
      <c r="K14" s="321">
        <f t="shared" si="1"/>
        <v>12758</v>
      </c>
      <c r="L14" s="321">
        <f t="shared" si="1"/>
        <v>12789</v>
      </c>
      <c r="M14" s="321">
        <f t="shared" si="1"/>
        <v>12758</v>
      </c>
      <c r="N14" s="321">
        <f t="shared" si="1"/>
        <v>12770</v>
      </c>
      <c r="O14" s="321">
        <f t="shared" si="1"/>
        <v>12770</v>
      </c>
      <c r="P14" s="321">
        <f t="shared" si="1"/>
        <v>12758</v>
      </c>
      <c r="Q14" s="321">
        <f t="shared" si="1"/>
        <v>12754</v>
      </c>
      <c r="R14" s="321">
        <v>12655</v>
      </c>
      <c r="S14" s="321">
        <v>12655</v>
      </c>
      <c r="T14" s="321">
        <v>12655</v>
      </c>
      <c r="U14" s="321">
        <f t="shared" si="0"/>
        <v>12160</v>
      </c>
    </row>
    <row r="15" spans="1:42" x14ac:dyDescent="0.3">
      <c r="A15" s="9"/>
      <c r="B15" s="9"/>
      <c r="C15" s="136" t="s">
        <v>295</v>
      </c>
      <c r="D15" s="9"/>
      <c r="E15" s="9"/>
      <c r="F15" s="333">
        <v>15000</v>
      </c>
      <c r="G15" s="333">
        <v>15000</v>
      </c>
      <c r="H15" s="333">
        <v>15000</v>
      </c>
      <c r="I15" s="333">
        <v>15000</v>
      </c>
      <c r="J15" s="333">
        <v>15000</v>
      </c>
      <c r="K15" s="333">
        <v>15000</v>
      </c>
      <c r="L15" s="333">
        <v>15000</v>
      </c>
      <c r="M15" s="333">
        <v>15000</v>
      </c>
      <c r="N15" s="333">
        <v>15000</v>
      </c>
      <c r="O15" s="333">
        <v>15000</v>
      </c>
      <c r="P15" s="333">
        <v>15000</v>
      </c>
      <c r="Q15" s="333">
        <v>15000</v>
      </c>
      <c r="R15" s="333">
        <v>15000</v>
      </c>
      <c r="S15" s="333">
        <v>15000</v>
      </c>
      <c r="T15" s="333">
        <v>15000</v>
      </c>
      <c r="U15" s="333">
        <f t="shared" si="0"/>
        <v>15000</v>
      </c>
    </row>
    <row r="16" spans="1:42" x14ac:dyDescent="0.3">
      <c r="A16" s="9"/>
      <c r="B16" s="9"/>
      <c r="C16" s="136" t="s">
        <v>273</v>
      </c>
      <c r="D16" s="9"/>
      <c r="E16" s="9"/>
      <c r="F16" s="322">
        <f>F14/F$15</f>
        <v>0.66033333333333333</v>
      </c>
      <c r="G16" s="322">
        <f>G14/G$15</f>
        <v>0.66033333333333333</v>
      </c>
      <c r="H16" s="322">
        <f t="shared" ref="H16:T16" si="2">H14/H$15</f>
        <v>0.66033333333333333</v>
      </c>
      <c r="I16" s="322">
        <f t="shared" si="2"/>
        <v>0.84033333333333338</v>
      </c>
      <c r="J16" s="322">
        <f t="shared" si="2"/>
        <v>0.85053333333333336</v>
      </c>
      <c r="K16" s="322">
        <f t="shared" si="2"/>
        <v>0.85053333333333336</v>
      </c>
      <c r="L16" s="322">
        <f t="shared" si="2"/>
        <v>0.85260000000000002</v>
      </c>
      <c r="M16" s="322">
        <f t="shared" si="2"/>
        <v>0.85053333333333336</v>
      </c>
      <c r="N16" s="322">
        <f t="shared" si="2"/>
        <v>0.85133333333333339</v>
      </c>
      <c r="O16" s="322">
        <f t="shared" si="2"/>
        <v>0.85133333333333339</v>
      </c>
      <c r="P16" s="322">
        <f t="shared" si="2"/>
        <v>0.85053333333333336</v>
      </c>
      <c r="Q16" s="322">
        <f t="shared" si="2"/>
        <v>0.85026666666666662</v>
      </c>
      <c r="R16" s="322">
        <f t="shared" si="2"/>
        <v>0.84366666666666668</v>
      </c>
      <c r="S16" s="322">
        <f t="shared" si="2"/>
        <v>0.84366666666666668</v>
      </c>
      <c r="T16" s="322">
        <f t="shared" si="2"/>
        <v>0.84366666666666668</v>
      </c>
      <c r="U16" s="332">
        <f>AVERAGE(F16:T16)</f>
        <v>0.81066666666666676</v>
      </c>
    </row>
    <row r="17" spans="1:21" x14ac:dyDescent="0.3">
      <c r="A17" s="9"/>
      <c r="B17" s="9"/>
      <c r="C17" s="136"/>
      <c r="D17" s="9"/>
      <c r="E17" s="9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9"/>
    </row>
    <row r="18" spans="1:21" x14ac:dyDescent="0.3">
      <c r="A18" s="9"/>
      <c r="B18" s="9"/>
      <c r="C18" s="135" t="s">
        <v>287</v>
      </c>
      <c r="D18" s="9"/>
      <c r="E18" s="9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9"/>
    </row>
    <row r="19" spans="1:21" x14ac:dyDescent="0.3">
      <c r="A19" s="9"/>
      <c r="B19" s="9"/>
      <c r="C19" s="136" t="s">
        <v>282</v>
      </c>
      <c r="D19" s="9"/>
      <c r="E19" s="9"/>
      <c r="F19" s="321">
        <v>4357</v>
      </c>
      <c r="G19" s="321">
        <v>4357</v>
      </c>
      <c r="H19" s="321">
        <v>6489</v>
      </c>
      <c r="I19" s="321">
        <v>6653</v>
      </c>
      <c r="J19" s="321">
        <v>6802</v>
      </c>
      <c r="K19" s="321">
        <v>7130</v>
      </c>
      <c r="L19" s="321">
        <v>8322</v>
      </c>
      <c r="M19" s="321">
        <v>8322</v>
      </c>
      <c r="N19" s="321">
        <v>8322</v>
      </c>
      <c r="O19" s="321">
        <v>6311</v>
      </c>
      <c r="P19" s="321">
        <v>6271</v>
      </c>
      <c r="Q19" s="321">
        <v>6100</v>
      </c>
      <c r="R19" s="321">
        <f>'IS 2026'!F19</f>
        <v>4357</v>
      </c>
      <c r="S19" s="321">
        <f>'IS 2026'!G19</f>
        <v>4357</v>
      </c>
      <c r="T19" s="321">
        <f>'IS 2026'!H19</f>
        <v>6489</v>
      </c>
      <c r="U19" s="321">
        <f>AVERAGE(F19:T19)</f>
        <v>6309.2666666666664</v>
      </c>
    </row>
    <row r="20" spans="1:21" x14ac:dyDescent="0.3">
      <c r="A20" s="9"/>
      <c r="B20" s="9"/>
      <c r="C20" s="136" t="s">
        <v>283</v>
      </c>
      <c r="D20" s="9"/>
      <c r="E20" s="9"/>
      <c r="F20" s="321">
        <v>2357</v>
      </c>
      <c r="G20" s="321">
        <v>2357</v>
      </c>
      <c r="H20" s="321">
        <v>6489</v>
      </c>
      <c r="I20" s="321">
        <v>6653</v>
      </c>
      <c r="J20" s="321">
        <v>6802</v>
      </c>
      <c r="K20" s="321">
        <v>7130</v>
      </c>
      <c r="L20" s="321">
        <v>8322</v>
      </c>
      <c r="M20" s="321">
        <v>8322</v>
      </c>
      <c r="N20" s="321">
        <v>8322</v>
      </c>
      <c r="O20" s="321">
        <v>6411</v>
      </c>
      <c r="P20" s="321">
        <v>6334</v>
      </c>
      <c r="Q20" s="321">
        <v>6232</v>
      </c>
      <c r="R20" s="321">
        <f>'IS 2026'!F20</f>
        <v>2357</v>
      </c>
      <c r="S20" s="321">
        <f>'IS 2026'!G20</f>
        <v>2357</v>
      </c>
      <c r="T20" s="321">
        <f>'IS 2026'!H20</f>
        <v>6489</v>
      </c>
      <c r="U20" s="321">
        <f t="shared" ref="U20:U23" si="3">AVERAGE(F20:T20)</f>
        <v>5795.6</v>
      </c>
    </row>
    <row r="21" spans="1:21" x14ac:dyDescent="0.3">
      <c r="A21" s="9"/>
      <c r="B21" s="9"/>
      <c r="C21" s="136" t="s">
        <v>284</v>
      </c>
      <c r="D21" s="9"/>
      <c r="E21" s="9"/>
      <c r="F21" s="321">
        <v>4357</v>
      </c>
      <c r="G21" s="321">
        <v>4357</v>
      </c>
      <c r="H21" s="321">
        <v>6489</v>
      </c>
      <c r="I21" s="321">
        <v>6653</v>
      </c>
      <c r="J21" s="321">
        <v>6802</v>
      </c>
      <c r="K21" s="321">
        <v>7130</v>
      </c>
      <c r="L21" s="321">
        <v>8322</v>
      </c>
      <c r="M21" s="321">
        <v>8322</v>
      </c>
      <c r="N21" s="321">
        <v>7322</v>
      </c>
      <c r="O21" s="321">
        <v>6411</v>
      </c>
      <c r="P21" s="321">
        <v>6443</v>
      </c>
      <c r="Q21" s="321">
        <v>6211</v>
      </c>
      <c r="R21" s="321">
        <f>'IS 2026'!F21</f>
        <v>4357</v>
      </c>
      <c r="S21" s="321">
        <f>'IS 2026'!G21</f>
        <v>4357</v>
      </c>
      <c r="T21" s="321">
        <f>'IS 2026'!H21</f>
        <v>6489</v>
      </c>
      <c r="U21" s="321">
        <f t="shared" si="3"/>
        <v>6268.1333333333332</v>
      </c>
    </row>
    <row r="22" spans="1:21" x14ac:dyDescent="0.3">
      <c r="A22" s="9"/>
      <c r="B22" s="9"/>
      <c r="C22" s="136" t="s">
        <v>274</v>
      </c>
      <c r="D22" s="9"/>
      <c r="E22" s="9"/>
      <c r="F22" s="321">
        <f t="shared" ref="F22:T22" si="4">SUM(F19:F21)</f>
        <v>11071</v>
      </c>
      <c r="G22" s="321">
        <f t="shared" si="4"/>
        <v>11071</v>
      </c>
      <c r="H22" s="321">
        <f t="shared" si="4"/>
        <v>19467</v>
      </c>
      <c r="I22" s="321">
        <f t="shared" si="4"/>
        <v>19959</v>
      </c>
      <c r="J22" s="321">
        <f t="shared" si="4"/>
        <v>20406</v>
      </c>
      <c r="K22" s="321">
        <f t="shared" si="4"/>
        <v>21390</v>
      </c>
      <c r="L22" s="321">
        <f t="shared" si="4"/>
        <v>24966</v>
      </c>
      <c r="M22" s="321">
        <f t="shared" si="4"/>
        <v>24966</v>
      </c>
      <c r="N22" s="321">
        <f t="shared" si="4"/>
        <v>23966</v>
      </c>
      <c r="O22" s="321">
        <f t="shared" si="4"/>
        <v>19133</v>
      </c>
      <c r="P22" s="321">
        <f t="shared" si="4"/>
        <v>19048</v>
      </c>
      <c r="Q22" s="321">
        <f t="shared" si="4"/>
        <v>18543</v>
      </c>
      <c r="R22" s="321">
        <f t="shared" si="4"/>
        <v>11071</v>
      </c>
      <c r="S22" s="321">
        <f t="shared" si="4"/>
        <v>11071</v>
      </c>
      <c r="T22" s="321">
        <f t="shared" si="4"/>
        <v>19467</v>
      </c>
      <c r="U22" s="321">
        <f t="shared" si="3"/>
        <v>18373</v>
      </c>
    </row>
    <row r="23" spans="1:21" x14ac:dyDescent="0.3">
      <c r="A23" s="9"/>
      <c r="B23" s="9"/>
      <c r="C23" s="136" t="s">
        <v>295</v>
      </c>
      <c r="D23" s="9"/>
      <c r="E23" s="9"/>
      <c r="F23" s="333">
        <v>15000</v>
      </c>
      <c r="G23" s="333">
        <v>15000</v>
      </c>
      <c r="H23" s="333">
        <v>21000</v>
      </c>
      <c r="I23" s="333">
        <v>21000</v>
      </c>
      <c r="J23" s="333">
        <v>22000</v>
      </c>
      <c r="K23" s="333">
        <v>22000</v>
      </c>
      <c r="L23" s="333">
        <v>24000</v>
      </c>
      <c r="M23" s="333">
        <v>24000</v>
      </c>
      <c r="N23" s="333">
        <v>23000</v>
      </c>
      <c r="O23" s="333">
        <v>22000</v>
      </c>
      <c r="P23" s="333">
        <v>21000</v>
      </c>
      <c r="Q23" s="333">
        <v>21000</v>
      </c>
      <c r="R23" s="333">
        <v>16000</v>
      </c>
      <c r="S23" s="333">
        <v>16000</v>
      </c>
      <c r="T23" s="333">
        <v>21000</v>
      </c>
      <c r="U23" s="333">
        <f t="shared" si="3"/>
        <v>20266.666666666668</v>
      </c>
    </row>
    <row r="24" spans="1:21" x14ac:dyDescent="0.3">
      <c r="A24" s="9"/>
      <c r="B24" s="9"/>
      <c r="C24" s="136" t="s">
        <v>273</v>
      </c>
      <c r="D24" s="9"/>
      <c r="E24" s="9"/>
      <c r="F24" s="322">
        <f t="shared" ref="F24:T24" si="5">F22/F$23</f>
        <v>0.73806666666666665</v>
      </c>
      <c r="G24" s="322">
        <f t="shared" si="5"/>
        <v>0.73806666666666665</v>
      </c>
      <c r="H24" s="322">
        <f t="shared" si="5"/>
        <v>0.92700000000000005</v>
      </c>
      <c r="I24" s="322">
        <f t="shared" si="5"/>
        <v>0.9504285714285714</v>
      </c>
      <c r="J24" s="322">
        <f t="shared" si="5"/>
        <v>0.92754545454545456</v>
      </c>
      <c r="K24" s="322">
        <f t="shared" si="5"/>
        <v>0.97227272727272729</v>
      </c>
      <c r="L24" s="322">
        <f t="shared" si="5"/>
        <v>1.0402499999999999</v>
      </c>
      <c r="M24" s="322">
        <f t="shared" si="5"/>
        <v>1.0402499999999999</v>
      </c>
      <c r="N24" s="322">
        <f t="shared" si="5"/>
        <v>1.042</v>
      </c>
      <c r="O24" s="322">
        <f t="shared" si="5"/>
        <v>0.86968181818181822</v>
      </c>
      <c r="P24" s="322">
        <f t="shared" si="5"/>
        <v>0.9070476190476191</v>
      </c>
      <c r="Q24" s="322">
        <f t="shared" si="5"/>
        <v>0.88300000000000001</v>
      </c>
      <c r="R24" s="322">
        <f t="shared" si="5"/>
        <v>0.69193749999999998</v>
      </c>
      <c r="S24" s="322">
        <f t="shared" si="5"/>
        <v>0.69193749999999998</v>
      </c>
      <c r="T24" s="322">
        <f t="shared" si="5"/>
        <v>0.92700000000000005</v>
      </c>
      <c r="U24" s="322">
        <f>AVERAGE(F24:T24)</f>
        <v>0.8897656349206351</v>
      </c>
    </row>
    <row r="25" spans="1:21" x14ac:dyDescent="0.3">
      <c r="A25" s="9"/>
      <c r="B25" s="9"/>
      <c r="C25" s="136"/>
      <c r="D25" s="9"/>
      <c r="E25" s="9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</row>
    <row r="26" spans="1:21" x14ac:dyDescent="0.3">
      <c r="A26" s="9"/>
      <c r="B26" s="9"/>
      <c r="C26" s="135" t="s">
        <v>286</v>
      </c>
      <c r="D26" s="9"/>
      <c r="E26" s="9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9"/>
    </row>
    <row r="27" spans="1:21" x14ac:dyDescent="0.3">
      <c r="A27" s="9"/>
      <c r="B27" s="9"/>
      <c r="C27" s="136" t="s">
        <v>282</v>
      </c>
      <c r="D27" s="9"/>
      <c r="E27" s="9"/>
      <c r="F27" s="321">
        <v>4357</v>
      </c>
      <c r="G27" s="321">
        <v>4357</v>
      </c>
      <c r="H27" s="321">
        <v>6489</v>
      </c>
      <c r="I27" s="321">
        <v>6653</v>
      </c>
      <c r="J27" s="321">
        <v>6802</v>
      </c>
      <c r="K27" s="321">
        <v>7130</v>
      </c>
      <c r="L27" s="321">
        <v>8322</v>
      </c>
      <c r="M27" s="321">
        <v>8322</v>
      </c>
      <c r="N27" s="321">
        <v>8322</v>
      </c>
      <c r="O27" s="321">
        <v>7411</v>
      </c>
      <c r="P27" s="321">
        <v>7411</v>
      </c>
      <c r="Q27" s="321">
        <v>7704</v>
      </c>
      <c r="R27" s="321">
        <f>'IS 2026'!F27</f>
        <v>4357</v>
      </c>
      <c r="S27" s="321">
        <f>'IS 2026'!G27</f>
        <v>4357</v>
      </c>
      <c r="T27" s="321">
        <f>'IS 2026'!H27</f>
        <v>6489</v>
      </c>
      <c r="U27" s="321">
        <f>AVERAGE(F27:T27)</f>
        <v>6565.5333333333338</v>
      </c>
    </row>
    <row r="28" spans="1:21" x14ac:dyDescent="0.3">
      <c r="A28" s="9"/>
      <c r="B28" s="9"/>
      <c r="C28" s="136" t="s">
        <v>283</v>
      </c>
      <c r="D28" s="9"/>
      <c r="E28" s="9"/>
      <c r="F28" s="321">
        <v>2357</v>
      </c>
      <c r="G28" s="321">
        <v>2357</v>
      </c>
      <c r="H28" s="321">
        <v>6489</v>
      </c>
      <c r="I28" s="321">
        <v>6653</v>
      </c>
      <c r="J28" s="321">
        <v>6802</v>
      </c>
      <c r="K28" s="321">
        <v>7130</v>
      </c>
      <c r="L28" s="321">
        <v>8322</v>
      </c>
      <c r="M28" s="321">
        <v>8322</v>
      </c>
      <c r="N28" s="321">
        <v>8322</v>
      </c>
      <c r="O28" s="321">
        <v>7411</v>
      </c>
      <c r="P28" s="321">
        <v>7411</v>
      </c>
      <c r="Q28" s="321">
        <v>7704</v>
      </c>
      <c r="R28" s="321">
        <f>'IS 2026'!F28</f>
        <v>2357</v>
      </c>
      <c r="S28" s="321">
        <f>'IS 2026'!G28</f>
        <v>2357</v>
      </c>
      <c r="T28" s="321">
        <f>'IS 2026'!H28</f>
        <v>6489</v>
      </c>
      <c r="U28" s="321">
        <f t="shared" ref="U28:U31" si="6">AVERAGE(F28:T28)</f>
        <v>6032.2</v>
      </c>
    </row>
    <row r="29" spans="1:21" x14ac:dyDescent="0.3">
      <c r="A29" s="9"/>
      <c r="B29" s="9"/>
      <c r="C29" s="136" t="s">
        <v>284</v>
      </c>
      <c r="D29" s="9"/>
      <c r="E29" s="9"/>
      <c r="F29" s="321">
        <v>3357</v>
      </c>
      <c r="G29" s="321">
        <v>3357</v>
      </c>
      <c r="H29" s="321">
        <v>6489</v>
      </c>
      <c r="I29" s="321">
        <v>6653</v>
      </c>
      <c r="J29" s="321">
        <v>6802</v>
      </c>
      <c r="K29" s="321">
        <v>7130</v>
      </c>
      <c r="L29" s="321">
        <v>8322</v>
      </c>
      <c r="M29" s="321">
        <v>8322</v>
      </c>
      <c r="N29" s="321">
        <v>8322</v>
      </c>
      <c r="O29" s="321">
        <v>7411</v>
      </c>
      <c r="P29" s="321">
        <v>7411</v>
      </c>
      <c r="Q29" s="321">
        <v>7704</v>
      </c>
      <c r="R29" s="321">
        <f>'IS 2026'!F29</f>
        <v>3357</v>
      </c>
      <c r="S29" s="321">
        <f>'IS 2026'!G29</f>
        <v>3357</v>
      </c>
      <c r="T29" s="321">
        <f>'IS 2026'!H29</f>
        <v>6489</v>
      </c>
      <c r="U29" s="321">
        <f t="shared" si="6"/>
        <v>6298.8666666666668</v>
      </c>
    </row>
    <row r="30" spans="1:21" x14ac:dyDescent="0.3">
      <c r="A30" s="9"/>
      <c r="B30" s="9"/>
      <c r="C30" s="136" t="s">
        <v>274</v>
      </c>
      <c r="D30" s="9"/>
      <c r="E30" s="9"/>
      <c r="F30" s="321">
        <f t="shared" ref="F30:T30" si="7">SUM(F27:F29)</f>
        <v>10071</v>
      </c>
      <c r="G30" s="321">
        <f t="shared" si="7"/>
        <v>10071</v>
      </c>
      <c r="H30" s="321">
        <f t="shared" si="7"/>
        <v>19467</v>
      </c>
      <c r="I30" s="321">
        <f t="shared" si="7"/>
        <v>19959</v>
      </c>
      <c r="J30" s="321">
        <f t="shared" si="7"/>
        <v>20406</v>
      </c>
      <c r="K30" s="321">
        <f t="shared" si="7"/>
        <v>21390</v>
      </c>
      <c r="L30" s="321">
        <f t="shared" si="7"/>
        <v>24966</v>
      </c>
      <c r="M30" s="321">
        <f t="shared" si="7"/>
        <v>24966</v>
      </c>
      <c r="N30" s="321">
        <f t="shared" si="7"/>
        <v>24966</v>
      </c>
      <c r="O30" s="321">
        <f t="shared" si="7"/>
        <v>22233</v>
      </c>
      <c r="P30" s="321">
        <f t="shared" si="7"/>
        <v>22233</v>
      </c>
      <c r="Q30" s="321">
        <f>SUM(Q27:Q29)</f>
        <v>23112</v>
      </c>
      <c r="R30" s="321">
        <f t="shared" si="7"/>
        <v>10071</v>
      </c>
      <c r="S30" s="321">
        <f t="shared" si="7"/>
        <v>10071</v>
      </c>
      <c r="T30" s="321">
        <f t="shared" si="7"/>
        <v>19467</v>
      </c>
      <c r="U30" s="321">
        <f t="shared" si="6"/>
        <v>18896.599999999999</v>
      </c>
    </row>
    <row r="31" spans="1:21" x14ac:dyDescent="0.3">
      <c r="A31" s="9"/>
      <c r="B31" s="9"/>
      <c r="C31" s="136" t="s">
        <v>295</v>
      </c>
      <c r="D31" s="9"/>
      <c r="E31" s="9"/>
      <c r="F31" s="333">
        <v>15000</v>
      </c>
      <c r="G31" s="333">
        <v>15000</v>
      </c>
      <c r="H31" s="333">
        <v>25000</v>
      </c>
      <c r="I31" s="333">
        <v>25000</v>
      </c>
      <c r="J31" s="333">
        <v>25000</v>
      </c>
      <c r="K31" s="333">
        <v>25000</v>
      </c>
      <c r="L31" s="333">
        <v>25000</v>
      </c>
      <c r="M31" s="333">
        <v>25000</v>
      </c>
      <c r="N31" s="333">
        <v>25000</v>
      </c>
      <c r="O31" s="333">
        <v>25000</v>
      </c>
      <c r="P31" s="333">
        <v>25000</v>
      </c>
      <c r="Q31" s="333">
        <v>25000</v>
      </c>
      <c r="R31" s="333">
        <v>25000</v>
      </c>
      <c r="S31" s="333">
        <v>25000</v>
      </c>
      <c r="T31" s="333">
        <v>25000</v>
      </c>
      <c r="U31" s="333">
        <f t="shared" si="6"/>
        <v>23666.666666666668</v>
      </c>
    </row>
    <row r="32" spans="1:21" x14ac:dyDescent="0.3">
      <c r="A32" s="9"/>
      <c r="B32" s="9"/>
      <c r="C32" s="136" t="s">
        <v>273</v>
      </c>
      <c r="D32" s="9"/>
      <c r="E32" s="9"/>
      <c r="F32" s="322">
        <f>F30/F$31</f>
        <v>0.6714</v>
      </c>
      <c r="G32" s="322">
        <f t="shared" ref="G32:T32" si="8">G30/G$31</f>
        <v>0.6714</v>
      </c>
      <c r="H32" s="322">
        <f t="shared" si="8"/>
        <v>0.77868000000000004</v>
      </c>
      <c r="I32" s="322">
        <f t="shared" si="8"/>
        <v>0.79835999999999996</v>
      </c>
      <c r="J32" s="322">
        <f t="shared" si="8"/>
        <v>0.81623999999999997</v>
      </c>
      <c r="K32" s="322">
        <f t="shared" si="8"/>
        <v>0.85560000000000003</v>
      </c>
      <c r="L32" s="322">
        <f t="shared" si="8"/>
        <v>0.99863999999999997</v>
      </c>
      <c r="M32" s="322">
        <f t="shared" si="8"/>
        <v>0.99863999999999997</v>
      </c>
      <c r="N32" s="322">
        <f t="shared" si="8"/>
        <v>0.99863999999999997</v>
      </c>
      <c r="O32" s="322">
        <f t="shared" si="8"/>
        <v>0.88932</v>
      </c>
      <c r="P32" s="322">
        <f t="shared" si="8"/>
        <v>0.88932</v>
      </c>
      <c r="Q32" s="322">
        <f t="shared" si="8"/>
        <v>0.92447999999999997</v>
      </c>
      <c r="R32" s="322">
        <f t="shared" si="8"/>
        <v>0.40283999999999998</v>
      </c>
      <c r="S32" s="322">
        <f t="shared" si="8"/>
        <v>0.40283999999999998</v>
      </c>
      <c r="T32" s="322">
        <f t="shared" si="8"/>
        <v>0.77868000000000004</v>
      </c>
      <c r="U32" s="322">
        <f>AVERAGE(F32:T32)</f>
        <v>0.79167199999999993</v>
      </c>
    </row>
    <row r="33" spans="1:21" x14ac:dyDescent="0.3">
      <c r="A33" s="9"/>
      <c r="B33" s="9"/>
      <c r="C33" s="136"/>
      <c r="D33" s="9"/>
      <c r="E33" s="9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9"/>
    </row>
    <row r="34" spans="1:21" x14ac:dyDescent="0.3">
      <c r="A34" s="143"/>
      <c r="B34" s="143"/>
      <c r="C34" s="146" t="s">
        <v>114</v>
      </c>
      <c r="D34" s="143"/>
      <c r="E34" s="143"/>
      <c r="F34" s="144">
        <f>SUM(F14+F22+F30)</f>
        <v>31047</v>
      </c>
      <c r="G34" s="144">
        <f t="shared" ref="G34:S34" si="9">SUM(G14+G22+G30)</f>
        <v>31047</v>
      </c>
      <c r="H34" s="144">
        <f t="shared" si="9"/>
        <v>48839</v>
      </c>
      <c r="I34" s="144">
        <f t="shared" si="9"/>
        <v>52523</v>
      </c>
      <c r="J34" s="144">
        <f t="shared" si="9"/>
        <v>53570</v>
      </c>
      <c r="K34" s="144">
        <f t="shared" si="9"/>
        <v>55538</v>
      </c>
      <c r="L34" s="144">
        <f t="shared" si="9"/>
        <v>62721</v>
      </c>
      <c r="M34" s="144">
        <f t="shared" si="9"/>
        <v>62690</v>
      </c>
      <c r="N34" s="144">
        <f t="shared" si="9"/>
        <v>61702</v>
      </c>
      <c r="O34" s="144">
        <f t="shared" si="9"/>
        <v>54136</v>
      </c>
      <c r="P34" s="144">
        <f t="shared" si="9"/>
        <v>54039</v>
      </c>
      <c r="Q34" s="144">
        <f t="shared" si="9"/>
        <v>54409</v>
      </c>
      <c r="R34" s="144">
        <f>SUM(R14+R22+R30)</f>
        <v>33797</v>
      </c>
      <c r="S34" s="144">
        <f t="shared" si="9"/>
        <v>33797</v>
      </c>
      <c r="T34" s="144">
        <f>SUM(T14+T22+T30)</f>
        <v>51589</v>
      </c>
      <c r="U34" s="154">
        <f t="shared" ref="U34:U82" si="10">SUM(F34:Q34)</f>
        <v>622261</v>
      </c>
    </row>
    <row r="35" spans="1:21" x14ac:dyDescent="0.3">
      <c r="A35" s="145"/>
      <c r="B35" s="145"/>
      <c r="C35" s="152" t="s">
        <v>115</v>
      </c>
      <c r="D35" s="145"/>
      <c r="E35" s="145"/>
      <c r="F35" s="153">
        <f>SUM(F36:F41)</f>
        <v>-2545</v>
      </c>
      <c r="G35" s="153">
        <f t="shared" ref="G35:T35" si="11">SUM(G36:G41)</f>
        <v>-2545</v>
      </c>
      <c r="H35" s="153">
        <f t="shared" si="11"/>
        <v>-2545</v>
      </c>
      <c r="I35" s="153">
        <f t="shared" si="11"/>
        <v>-2545</v>
      </c>
      <c r="J35" s="153">
        <f t="shared" si="11"/>
        <v>-2545</v>
      </c>
      <c r="K35" s="153">
        <f t="shared" si="11"/>
        <v>-2545</v>
      </c>
      <c r="L35" s="153">
        <f t="shared" si="11"/>
        <v>-2545</v>
      </c>
      <c r="M35" s="153">
        <f t="shared" si="11"/>
        <v>-2545</v>
      </c>
      <c r="N35" s="153">
        <f t="shared" si="11"/>
        <v>-2545</v>
      </c>
      <c r="O35" s="153">
        <f t="shared" si="11"/>
        <v>-2545</v>
      </c>
      <c r="P35" s="153">
        <f t="shared" si="11"/>
        <v>-2545</v>
      </c>
      <c r="Q35" s="153">
        <f t="shared" si="11"/>
        <v>-2545</v>
      </c>
      <c r="R35" s="153">
        <f t="shared" si="11"/>
        <v>-2545</v>
      </c>
      <c r="S35" s="153">
        <f t="shared" si="11"/>
        <v>-2545</v>
      </c>
      <c r="T35" s="153">
        <f t="shared" si="11"/>
        <v>-2545</v>
      </c>
      <c r="U35" s="149">
        <f t="shared" si="10"/>
        <v>-30540</v>
      </c>
    </row>
    <row r="36" spans="1:21" x14ac:dyDescent="0.3">
      <c r="A36" s="9"/>
      <c r="B36" s="9"/>
      <c r="C36" s="136" t="s">
        <v>201</v>
      </c>
      <c r="D36" s="9"/>
      <c r="E36" s="9"/>
      <c r="F36" s="375">
        <v>-1655</v>
      </c>
      <c r="G36" s="375">
        <v>-1655</v>
      </c>
      <c r="H36" s="375">
        <v>-1655</v>
      </c>
      <c r="I36" s="375">
        <v>-1655</v>
      </c>
      <c r="J36" s="375">
        <v>-1655</v>
      </c>
      <c r="K36" s="375">
        <v>-1655</v>
      </c>
      <c r="L36" s="375">
        <v>-1655</v>
      </c>
      <c r="M36" s="375">
        <v>-1655</v>
      </c>
      <c r="N36" s="375">
        <v>-1655</v>
      </c>
      <c r="O36" s="375">
        <v>-1655</v>
      </c>
      <c r="P36" s="375">
        <v>-1655</v>
      </c>
      <c r="Q36" s="375">
        <v>-1655</v>
      </c>
      <c r="R36" s="375">
        <v>-1655</v>
      </c>
      <c r="S36" s="375">
        <v>-1655</v>
      </c>
      <c r="T36" s="375">
        <v>-1655</v>
      </c>
      <c r="U36" s="375">
        <f t="shared" si="10"/>
        <v>-19860</v>
      </c>
    </row>
    <row r="37" spans="1:21" x14ac:dyDescent="0.3">
      <c r="A37" s="9"/>
      <c r="B37" s="9"/>
      <c r="C37" s="136" t="s">
        <v>271</v>
      </c>
      <c r="D37" s="9"/>
      <c r="E37" s="9"/>
      <c r="F37" s="392">
        <v>-700</v>
      </c>
      <c r="G37" s="392">
        <v>-700</v>
      </c>
      <c r="H37" s="392">
        <v>-700</v>
      </c>
      <c r="I37" s="392">
        <v>-700</v>
      </c>
      <c r="J37" s="392">
        <v>-700</v>
      </c>
      <c r="K37" s="392">
        <v>-700</v>
      </c>
      <c r="L37" s="392">
        <v>-700</v>
      </c>
      <c r="M37" s="392">
        <v>-700</v>
      </c>
      <c r="N37" s="392">
        <v>-700</v>
      </c>
      <c r="O37" s="392">
        <v>-700</v>
      </c>
      <c r="P37" s="392">
        <v>-700</v>
      </c>
      <c r="Q37" s="392">
        <v>-700</v>
      </c>
      <c r="R37" s="392">
        <v>-700</v>
      </c>
      <c r="S37" s="392">
        <v>-700</v>
      </c>
      <c r="T37" s="392">
        <v>-700</v>
      </c>
      <c r="U37" s="375">
        <f t="shared" si="10"/>
        <v>-8400</v>
      </c>
    </row>
    <row r="38" spans="1:21" x14ac:dyDescent="0.3">
      <c r="A38" s="9"/>
      <c r="B38" s="9"/>
      <c r="C38" s="136" t="s">
        <v>125</v>
      </c>
      <c r="D38" s="9"/>
      <c r="E38" s="9"/>
      <c r="F38" s="392">
        <v>-125</v>
      </c>
      <c r="G38" s="392">
        <v>-125</v>
      </c>
      <c r="H38" s="392">
        <v>-125</v>
      </c>
      <c r="I38" s="392">
        <v>-125</v>
      </c>
      <c r="J38" s="392">
        <v>-125</v>
      </c>
      <c r="K38" s="392">
        <v>-125</v>
      </c>
      <c r="L38" s="392">
        <v>-125</v>
      </c>
      <c r="M38" s="392">
        <v>-125</v>
      </c>
      <c r="N38" s="392">
        <v>-125</v>
      </c>
      <c r="O38" s="392">
        <v>-125</v>
      </c>
      <c r="P38" s="392">
        <v>-125</v>
      </c>
      <c r="Q38" s="392">
        <v>-125</v>
      </c>
      <c r="R38" s="392">
        <v>-125</v>
      </c>
      <c r="S38" s="392">
        <v>-125</v>
      </c>
      <c r="T38" s="392">
        <v>-125</v>
      </c>
      <c r="U38" s="375">
        <f t="shared" si="10"/>
        <v>-1500</v>
      </c>
    </row>
    <row r="39" spans="1:21" x14ac:dyDescent="0.3">
      <c r="A39" s="9"/>
      <c r="B39" s="9"/>
      <c r="C39" s="136" t="s">
        <v>270</v>
      </c>
      <c r="D39" s="9"/>
      <c r="E39" s="9"/>
      <c r="F39" s="392">
        <v>-65</v>
      </c>
      <c r="G39" s="392">
        <v>-65</v>
      </c>
      <c r="H39" s="392">
        <v>-65</v>
      </c>
      <c r="I39" s="392">
        <v>-65</v>
      </c>
      <c r="J39" s="392">
        <v>-65</v>
      </c>
      <c r="K39" s="392">
        <v>-65</v>
      </c>
      <c r="L39" s="392">
        <v>-65</v>
      </c>
      <c r="M39" s="392">
        <v>-65</v>
      </c>
      <c r="N39" s="392">
        <v>-65</v>
      </c>
      <c r="O39" s="392">
        <v>-65</v>
      </c>
      <c r="P39" s="392">
        <v>-65</v>
      </c>
      <c r="Q39" s="392">
        <v>-65</v>
      </c>
      <c r="R39" s="392">
        <v>-65</v>
      </c>
      <c r="S39" s="392">
        <v>-65</v>
      </c>
      <c r="T39" s="392">
        <v>-65</v>
      </c>
      <c r="U39" s="375">
        <f t="shared" si="10"/>
        <v>-780</v>
      </c>
    </row>
    <row r="40" spans="1:21" x14ac:dyDescent="0.3">
      <c r="A40" s="9"/>
      <c r="B40" s="9"/>
      <c r="C40" s="136" t="s">
        <v>61</v>
      </c>
      <c r="D40" s="9"/>
      <c r="E40" s="9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29"/>
    </row>
    <row r="41" spans="1:21" x14ac:dyDescent="0.3">
      <c r="A41" s="9"/>
      <c r="B41" s="9"/>
      <c r="C41" s="136" t="s">
        <v>206</v>
      </c>
      <c r="D41" s="9"/>
      <c r="E41" s="9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29"/>
    </row>
    <row r="42" spans="1:21" x14ac:dyDescent="0.3">
      <c r="A42" s="9"/>
      <c r="B42" s="9"/>
      <c r="C42" s="134"/>
      <c r="D42" s="9"/>
      <c r="E42" s="9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29"/>
    </row>
    <row r="43" spans="1:21" x14ac:dyDescent="0.3">
      <c r="A43" s="155"/>
      <c r="B43" s="155"/>
      <c r="C43" s="156" t="s">
        <v>4</v>
      </c>
      <c r="D43" s="155"/>
      <c r="E43" s="155"/>
      <c r="F43" s="157">
        <f>SUM(F34+F35)</f>
        <v>28502</v>
      </c>
      <c r="G43" s="157">
        <f t="shared" ref="G43:T43" si="12">SUM(G34+G35)</f>
        <v>28502</v>
      </c>
      <c r="H43" s="157">
        <f t="shared" si="12"/>
        <v>46294</v>
      </c>
      <c r="I43" s="157">
        <f t="shared" si="12"/>
        <v>49978</v>
      </c>
      <c r="J43" s="157">
        <f t="shared" si="12"/>
        <v>51025</v>
      </c>
      <c r="K43" s="157">
        <f t="shared" si="12"/>
        <v>52993</v>
      </c>
      <c r="L43" s="157">
        <f t="shared" si="12"/>
        <v>60176</v>
      </c>
      <c r="M43" s="157">
        <f t="shared" si="12"/>
        <v>60145</v>
      </c>
      <c r="N43" s="157">
        <f t="shared" si="12"/>
        <v>59157</v>
      </c>
      <c r="O43" s="157">
        <f t="shared" si="12"/>
        <v>51591</v>
      </c>
      <c r="P43" s="157">
        <f t="shared" si="12"/>
        <v>51494</v>
      </c>
      <c r="Q43" s="157">
        <f>SUM(Q34+Q35)</f>
        <v>51864</v>
      </c>
      <c r="R43" s="157">
        <f>SUM(R34+R35)</f>
        <v>31252</v>
      </c>
      <c r="S43" s="157">
        <f t="shared" si="12"/>
        <v>31252</v>
      </c>
      <c r="T43" s="157">
        <f t="shared" si="12"/>
        <v>49044</v>
      </c>
      <c r="U43" s="291">
        <f t="shared" si="10"/>
        <v>591721</v>
      </c>
    </row>
    <row r="44" spans="1:21" ht="15" customHeight="1" x14ac:dyDescent="0.3">
      <c r="A44" s="9"/>
      <c r="B44" s="9"/>
      <c r="C44" s="134"/>
      <c r="D44" s="9"/>
      <c r="E44" s="9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29"/>
    </row>
    <row r="45" spans="1:21" ht="15" customHeight="1" x14ac:dyDescent="0.3">
      <c r="A45" s="9"/>
      <c r="B45" s="9"/>
      <c r="C45" s="135" t="s">
        <v>5</v>
      </c>
      <c r="D45" s="9"/>
      <c r="E45" s="9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29"/>
    </row>
    <row r="46" spans="1:21" ht="15" customHeight="1" x14ac:dyDescent="0.3">
      <c r="A46" s="9"/>
      <c r="B46" s="9"/>
      <c r="C46" s="136" t="s">
        <v>269</v>
      </c>
      <c r="D46" s="9"/>
      <c r="E46" s="9"/>
      <c r="F46" s="375">
        <v>-3493</v>
      </c>
      <c r="G46" s="375">
        <v>-3493</v>
      </c>
      <c r="H46" s="375">
        <v>-3493</v>
      </c>
      <c r="I46" s="375">
        <v>-3493</v>
      </c>
      <c r="J46" s="375">
        <v>-3493</v>
      </c>
      <c r="K46" s="375">
        <v>-3493</v>
      </c>
      <c r="L46" s="375">
        <v>-3493</v>
      </c>
      <c r="M46" s="375">
        <v>-3493</v>
      </c>
      <c r="N46" s="375">
        <v>-3493</v>
      </c>
      <c r="O46" s="375">
        <v>-3493</v>
      </c>
      <c r="P46" s="375">
        <v>-3493</v>
      </c>
      <c r="Q46" s="375">
        <v>-3493</v>
      </c>
      <c r="R46" s="375">
        <v>-3493</v>
      </c>
      <c r="S46" s="375">
        <v>-3493</v>
      </c>
      <c r="T46" s="375">
        <v>-3493</v>
      </c>
      <c r="U46" s="375">
        <f t="shared" si="10"/>
        <v>-41916</v>
      </c>
    </row>
    <row r="47" spans="1:21" ht="15" customHeight="1" x14ac:dyDescent="0.3">
      <c r="A47" s="9"/>
      <c r="B47" s="9"/>
      <c r="C47" s="136" t="s">
        <v>268</v>
      </c>
      <c r="D47" s="9"/>
      <c r="E47" s="9"/>
      <c r="F47" s="375">
        <v>-493</v>
      </c>
      <c r="G47" s="375">
        <v>-493</v>
      </c>
      <c r="H47" s="375">
        <v>-493</v>
      </c>
      <c r="I47" s="375">
        <v>-493</v>
      </c>
      <c r="J47" s="375">
        <v>-493</v>
      </c>
      <c r="K47" s="375">
        <v>-493</v>
      </c>
      <c r="L47" s="375">
        <v>-493</v>
      </c>
      <c r="M47" s="375">
        <v>-493</v>
      </c>
      <c r="N47" s="375">
        <v>-493</v>
      </c>
      <c r="O47" s="375">
        <v>-493</v>
      </c>
      <c r="P47" s="375">
        <v>-493</v>
      </c>
      <c r="Q47" s="375">
        <v>-493</v>
      </c>
      <c r="R47" s="375">
        <v>-493</v>
      </c>
      <c r="S47" s="375">
        <v>-493</v>
      </c>
      <c r="T47" s="375">
        <v>-493</v>
      </c>
      <c r="U47" s="375">
        <f t="shared" si="10"/>
        <v>-5916</v>
      </c>
    </row>
    <row r="48" spans="1:21" ht="15" customHeight="1" x14ac:dyDescent="0.3">
      <c r="A48" s="9"/>
      <c r="B48" s="9"/>
      <c r="C48" s="136" t="s">
        <v>276</v>
      </c>
      <c r="D48" s="9"/>
      <c r="E48" s="9"/>
      <c r="F48" s="375">
        <v>-493</v>
      </c>
      <c r="G48" s="375">
        <v>-493</v>
      </c>
      <c r="H48" s="375">
        <v>-493</v>
      </c>
      <c r="I48" s="375">
        <v>-493</v>
      </c>
      <c r="J48" s="375">
        <v>-493</v>
      </c>
      <c r="K48" s="375">
        <v>-493</v>
      </c>
      <c r="L48" s="375">
        <v>-493</v>
      </c>
      <c r="M48" s="375">
        <v>-493</v>
      </c>
      <c r="N48" s="375">
        <v>-493</v>
      </c>
      <c r="O48" s="375">
        <v>-493</v>
      </c>
      <c r="P48" s="375">
        <v>-493</v>
      </c>
      <c r="Q48" s="375">
        <v>-493</v>
      </c>
      <c r="R48" s="375">
        <v>-493</v>
      </c>
      <c r="S48" s="375">
        <v>-493</v>
      </c>
      <c r="T48" s="375">
        <v>-493</v>
      </c>
      <c r="U48" s="375">
        <f t="shared" si="10"/>
        <v>-5916</v>
      </c>
    </row>
    <row r="49" spans="1:21" ht="15" customHeight="1" x14ac:dyDescent="0.3">
      <c r="A49" s="9"/>
      <c r="B49" s="9"/>
      <c r="C49" s="136" t="s">
        <v>275</v>
      </c>
      <c r="D49" s="9"/>
      <c r="E49" s="9"/>
      <c r="F49" s="393">
        <v>-1070</v>
      </c>
      <c r="G49" s="393">
        <v>-1070</v>
      </c>
      <c r="H49" s="393">
        <v>-1070</v>
      </c>
      <c r="I49" s="393">
        <v>-1070</v>
      </c>
      <c r="J49" s="393">
        <v>-1070</v>
      </c>
      <c r="K49" s="393">
        <v>-1070</v>
      </c>
      <c r="L49" s="393">
        <v>-1070</v>
      </c>
      <c r="M49" s="393">
        <v>-1070</v>
      </c>
      <c r="N49" s="393">
        <v>-1070</v>
      </c>
      <c r="O49" s="393">
        <v>-1070</v>
      </c>
      <c r="P49" s="393">
        <v>-1070</v>
      </c>
      <c r="Q49" s="393">
        <v>-1070</v>
      </c>
      <c r="R49" s="393">
        <v>-1070</v>
      </c>
      <c r="S49" s="393">
        <v>-1070</v>
      </c>
      <c r="T49" s="393">
        <v>-1070</v>
      </c>
      <c r="U49" s="375">
        <f t="shared" si="10"/>
        <v>-12840</v>
      </c>
    </row>
    <row r="50" spans="1:21" ht="15" customHeight="1" x14ac:dyDescent="0.3">
      <c r="A50" s="9"/>
      <c r="B50" s="9"/>
      <c r="C50" s="136" t="s">
        <v>119</v>
      </c>
      <c r="D50" s="9"/>
      <c r="E50" s="9"/>
      <c r="F50" s="151" t="s">
        <v>141</v>
      </c>
      <c r="G50" s="151" t="s">
        <v>141</v>
      </c>
      <c r="H50" s="151" t="s">
        <v>141</v>
      </c>
      <c r="I50" s="151" t="s">
        <v>141</v>
      </c>
      <c r="J50" s="151" t="s">
        <v>141</v>
      </c>
      <c r="K50" s="151" t="s">
        <v>141</v>
      </c>
      <c r="L50" s="151" t="s">
        <v>141</v>
      </c>
      <c r="M50" s="151" t="s">
        <v>141</v>
      </c>
      <c r="N50" s="151" t="s">
        <v>141</v>
      </c>
      <c r="O50" s="151" t="s">
        <v>141</v>
      </c>
      <c r="P50" s="151" t="s">
        <v>141</v>
      </c>
      <c r="Q50" s="151" t="s">
        <v>141</v>
      </c>
      <c r="R50" s="151" t="s">
        <v>141</v>
      </c>
      <c r="S50" s="151" t="s">
        <v>141</v>
      </c>
      <c r="T50" s="151" t="s">
        <v>141</v>
      </c>
      <c r="U50" s="129"/>
    </row>
    <row r="51" spans="1:21" ht="15" customHeight="1" x14ac:dyDescent="0.3">
      <c r="A51" s="9"/>
      <c r="B51" s="9"/>
      <c r="C51" s="136" t="s">
        <v>120</v>
      </c>
      <c r="D51" s="9"/>
      <c r="E51" s="9"/>
      <c r="F51" s="289" t="s">
        <v>141</v>
      </c>
      <c r="G51" s="289" t="s">
        <v>141</v>
      </c>
      <c r="H51" s="289" t="s">
        <v>141</v>
      </c>
      <c r="I51" s="289" t="s">
        <v>141</v>
      </c>
      <c r="J51" s="289" t="s">
        <v>141</v>
      </c>
      <c r="K51" s="289" t="s">
        <v>141</v>
      </c>
      <c r="L51" s="289" t="s">
        <v>141</v>
      </c>
      <c r="M51" s="289" t="s">
        <v>141</v>
      </c>
      <c r="N51" s="289" t="s">
        <v>141</v>
      </c>
      <c r="O51" s="289" t="s">
        <v>141</v>
      </c>
      <c r="P51" s="289" t="s">
        <v>141</v>
      </c>
      <c r="Q51" s="289" t="s">
        <v>141</v>
      </c>
      <c r="R51" s="289" t="s">
        <v>141</v>
      </c>
      <c r="S51" s="289" t="s">
        <v>141</v>
      </c>
      <c r="T51" s="289" t="s">
        <v>141</v>
      </c>
      <c r="U51" s="129"/>
    </row>
    <row r="52" spans="1:21" ht="15" customHeight="1" x14ac:dyDescent="0.3">
      <c r="A52" s="9"/>
      <c r="B52" s="9"/>
      <c r="C52" s="136" t="s">
        <v>121</v>
      </c>
      <c r="D52" s="9"/>
      <c r="E52" s="9"/>
      <c r="F52" s="289" t="s">
        <v>141</v>
      </c>
      <c r="G52" s="289" t="s">
        <v>141</v>
      </c>
      <c r="H52" s="289" t="s">
        <v>141</v>
      </c>
      <c r="I52" s="289" t="s">
        <v>141</v>
      </c>
      <c r="J52" s="289" t="s">
        <v>141</v>
      </c>
      <c r="K52" s="289" t="s">
        <v>141</v>
      </c>
      <c r="L52" s="289" t="s">
        <v>141</v>
      </c>
      <c r="M52" s="289" t="s">
        <v>141</v>
      </c>
      <c r="N52" s="289" t="s">
        <v>141</v>
      </c>
      <c r="O52" s="289" t="s">
        <v>141</v>
      </c>
      <c r="P52" s="289" t="s">
        <v>141</v>
      </c>
      <c r="Q52" s="289" t="s">
        <v>141</v>
      </c>
      <c r="R52" s="289" t="s">
        <v>141</v>
      </c>
      <c r="S52" s="289" t="s">
        <v>141</v>
      </c>
      <c r="T52" s="289" t="s">
        <v>141</v>
      </c>
      <c r="U52" s="129"/>
    </row>
    <row r="53" spans="1:21" ht="15" customHeight="1" x14ac:dyDescent="0.3">
      <c r="A53" s="9"/>
      <c r="B53" s="9"/>
      <c r="C53" s="136" t="s">
        <v>122</v>
      </c>
      <c r="D53" s="9"/>
      <c r="E53" s="9"/>
      <c r="F53" s="289" t="s">
        <v>141</v>
      </c>
      <c r="G53" s="289" t="s">
        <v>141</v>
      </c>
      <c r="H53" s="289" t="s">
        <v>141</v>
      </c>
      <c r="I53" s="289" t="s">
        <v>141</v>
      </c>
      <c r="J53" s="289" t="s">
        <v>141</v>
      </c>
      <c r="K53" s="289" t="s">
        <v>141</v>
      </c>
      <c r="L53" s="289" t="s">
        <v>141</v>
      </c>
      <c r="M53" s="289" t="s">
        <v>141</v>
      </c>
      <c r="N53" s="289" t="s">
        <v>141</v>
      </c>
      <c r="O53" s="289" t="s">
        <v>141</v>
      </c>
      <c r="P53" s="289" t="s">
        <v>141</v>
      </c>
      <c r="Q53" s="289" t="s">
        <v>141</v>
      </c>
      <c r="R53" s="289" t="s">
        <v>141</v>
      </c>
      <c r="S53" s="289" t="s">
        <v>141</v>
      </c>
      <c r="T53" s="289" t="s">
        <v>141</v>
      </c>
      <c r="U53" s="129"/>
    </row>
    <row r="54" spans="1:21" ht="15.6" customHeight="1" x14ac:dyDescent="0.3">
      <c r="A54" s="9"/>
      <c r="B54" s="9"/>
      <c r="C54" s="136"/>
      <c r="D54" s="9"/>
      <c r="E54" s="9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29"/>
    </row>
    <row r="55" spans="1:21" x14ac:dyDescent="0.3">
      <c r="A55" s="147"/>
      <c r="B55" s="147"/>
      <c r="C55" s="173" t="s">
        <v>123</v>
      </c>
      <c r="D55" s="147"/>
      <c r="E55" s="147"/>
      <c r="F55" s="154">
        <f t="shared" ref="F55:H55" si="13">SUM(F46:F53)</f>
        <v>-5549</v>
      </c>
      <c r="G55" s="154">
        <f t="shared" si="13"/>
        <v>-5549</v>
      </c>
      <c r="H55" s="154">
        <f t="shared" si="13"/>
        <v>-5549</v>
      </c>
      <c r="I55" s="154">
        <f t="shared" ref="I55:T55" si="14">SUM(I46:I53)</f>
        <v>-5549</v>
      </c>
      <c r="J55" s="154">
        <f t="shared" si="14"/>
        <v>-5549</v>
      </c>
      <c r="K55" s="154">
        <f t="shared" si="14"/>
        <v>-5549</v>
      </c>
      <c r="L55" s="154">
        <f t="shared" si="14"/>
        <v>-5549</v>
      </c>
      <c r="M55" s="154">
        <f t="shared" si="14"/>
        <v>-5549</v>
      </c>
      <c r="N55" s="154">
        <f t="shared" si="14"/>
        <v>-5549</v>
      </c>
      <c r="O55" s="154">
        <f t="shared" si="14"/>
        <v>-5549</v>
      </c>
      <c r="P55" s="154">
        <f t="shared" si="14"/>
        <v>-5549</v>
      </c>
      <c r="Q55" s="154">
        <f t="shared" si="14"/>
        <v>-5549</v>
      </c>
      <c r="R55" s="154">
        <f t="shared" si="14"/>
        <v>-5549</v>
      </c>
      <c r="S55" s="154">
        <f t="shared" si="14"/>
        <v>-5549</v>
      </c>
      <c r="T55" s="154">
        <f t="shared" si="14"/>
        <v>-5549</v>
      </c>
      <c r="U55" s="154">
        <f t="shared" si="10"/>
        <v>-66588</v>
      </c>
    </row>
    <row r="56" spans="1:21" x14ac:dyDescent="0.3">
      <c r="A56" s="148"/>
      <c r="B56" s="148"/>
      <c r="C56" s="184" t="s">
        <v>124</v>
      </c>
      <c r="D56" s="148"/>
      <c r="E56" s="148"/>
      <c r="F56" s="149">
        <v>-5063</v>
      </c>
      <c r="G56" s="149">
        <v>-5063</v>
      </c>
      <c r="H56" s="149">
        <v>-5063</v>
      </c>
      <c r="I56" s="149">
        <v>-5063</v>
      </c>
      <c r="J56" s="149">
        <v>-5063</v>
      </c>
      <c r="K56" s="149">
        <v>-5063</v>
      </c>
      <c r="L56" s="149">
        <v>-5063</v>
      </c>
      <c r="M56" s="149">
        <v>-5063</v>
      </c>
      <c r="N56" s="149">
        <v>-5063</v>
      </c>
      <c r="O56" s="149">
        <v>-5063</v>
      </c>
      <c r="P56" s="149">
        <v>-5063</v>
      </c>
      <c r="Q56" s="149">
        <v>-5063</v>
      </c>
      <c r="R56" s="149">
        <v>-5063</v>
      </c>
      <c r="S56" s="149">
        <v>-5063</v>
      </c>
      <c r="T56" s="149">
        <v>-5063</v>
      </c>
      <c r="U56" s="149">
        <f t="shared" si="10"/>
        <v>-60756</v>
      </c>
    </row>
    <row r="57" spans="1:21" x14ac:dyDescent="0.3">
      <c r="A57" s="9"/>
      <c r="B57" s="9"/>
      <c r="C57" s="134"/>
      <c r="D57" s="9"/>
      <c r="E57" s="9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29"/>
    </row>
    <row r="58" spans="1:21" x14ac:dyDescent="0.3">
      <c r="A58" s="9"/>
      <c r="B58" s="9"/>
      <c r="C58" s="135" t="s">
        <v>24</v>
      </c>
      <c r="D58" s="9"/>
      <c r="E58" s="9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29"/>
    </row>
    <row r="59" spans="1:21" x14ac:dyDescent="0.3">
      <c r="A59" s="9"/>
      <c r="B59" s="9"/>
      <c r="C59" s="134" t="s">
        <v>73</v>
      </c>
      <c r="D59" s="9"/>
      <c r="E59" s="9"/>
      <c r="F59" s="375">
        <v>-1750</v>
      </c>
      <c r="G59" s="375">
        <v>-1750</v>
      </c>
      <c r="H59" s="375">
        <v>-1750</v>
      </c>
      <c r="I59" s="375">
        <v>-1750</v>
      </c>
      <c r="J59" s="375">
        <v>-1750</v>
      </c>
      <c r="K59" s="375">
        <v>-1750</v>
      </c>
      <c r="L59" s="375">
        <v>-1750</v>
      </c>
      <c r="M59" s="375">
        <v>-1750</v>
      </c>
      <c r="N59" s="375">
        <v>-1750</v>
      </c>
      <c r="O59" s="375">
        <v>-1750</v>
      </c>
      <c r="P59" s="375">
        <v>-1750</v>
      </c>
      <c r="Q59" s="375">
        <v>-1750</v>
      </c>
      <c r="R59" s="375">
        <v>-1750</v>
      </c>
      <c r="S59" s="375">
        <v>-1750</v>
      </c>
      <c r="T59" s="375">
        <v>-1750</v>
      </c>
      <c r="U59" s="375">
        <f t="shared" si="10"/>
        <v>-21000</v>
      </c>
    </row>
    <row r="60" spans="1:21" x14ac:dyDescent="0.3">
      <c r="A60" s="9"/>
      <c r="B60" s="9"/>
      <c r="C60" s="134" t="s">
        <v>251</v>
      </c>
      <c r="D60" s="9"/>
      <c r="E60" s="9"/>
      <c r="F60" s="375">
        <v>-2550</v>
      </c>
      <c r="G60" s="375">
        <v>-2550</v>
      </c>
      <c r="H60" s="375">
        <v>-2550</v>
      </c>
      <c r="I60" s="375">
        <v>-2550</v>
      </c>
      <c r="J60" s="375">
        <v>-2550</v>
      </c>
      <c r="K60" s="375">
        <v>-2550</v>
      </c>
      <c r="L60" s="375">
        <v>-2550</v>
      </c>
      <c r="M60" s="375">
        <v>-2550</v>
      </c>
      <c r="N60" s="375">
        <v>-2550</v>
      </c>
      <c r="O60" s="375">
        <v>-2550</v>
      </c>
      <c r="P60" s="375">
        <v>-2550</v>
      </c>
      <c r="Q60" s="375">
        <v>-2550</v>
      </c>
      <c r="R60" s="375">
        <v>-2550</v>
      </c>
      <c r="S60" s="375">
        <v>-2550</v>
      </c>
      <c r="T60" s="375">
        <v>-2550</v>
      </c>
      <c r="U60" s="375">
        <f t="shared" si="10"/>
        <v>-30600</v>
      </c>
    </row>
    <row r="61" spans="1:21" x14ac:dyDescent="0.3">
      <c r="A61" s="9"/>
      <c r="B61" s="9"/>
      <c r="C61" s="134" t="s">
        <v>125</v>
      </c>
      <c r="D61" s="9"/>
      <c r="E61" s="9"/>
      <c r="F61" s="375">
        <v>-700</v>
      </c>
      <c r="G61" s="375">
        <v>-700</v>
      </c>
      <c r="H61" s="375">
        <v>-700</v>
      </c>
      <c r="I61" s="375">
        <v>-700</v>
      </c>
      <c r="J61" s="375">
        <v>-700</v>
      </c>
      <c r="K61" s="375">
        <v>-700</v>
      </c>
      <c r="L61" s="375">
        <v>-700</v>
      </c>
      <c r="M61" s="375">
        <v>-700</v>
      </c>
      <c r="N61" s="375">
        <v>-700</v>
      </c>
      <c r="O61" s="375">
        <v>-700</v>
      </c>
      <c r="P61" s="375">
        <v>-700</v>
      </c>
      <c r="Q61" s="375">
        <v>-700</v>
      </c>
      <c r="R61" s="375">
        <v>-700</v>
      </c>
      <c r="S61" s="375">
        <v>-700</v>
      </c>
      <c r="T61" s="375">
        <v>-700</v>
      </c>
      <c r="U61" s="375">
        <f t="shared" si="10"/>
        <v>-8400</v>
      </c>
    </row>
    <row r="62" spans="1:21" x14ac:dyDescent="0.3">
      <c r="A62" s="9"/>
      <c r="B62" s="9"/>
      <c r="C62" s="134" t="s">
        <v>219</v>
      </c>
      <c r="D62" s="9"/>
      <c r="E62" s="9"/>
      <c r="F62" s="375">
        <v>-1350</v>
      </c>
      <c r="G62" s="375">
        <v>-1350</v>
      </c>
      <c r="H62" s="375">
        <v>-1350</v>
      </c>
      <c r="I62" s="375">
        <v>-1350</v>
      </c>
      <c r="J62" s="375">
        <v>-1350</v>
      </c>
      <c r="K62" s="375">
        <v>-1350</v>
      </c>
      <c r="L62" s="375">
        <v>-1350</v>
      </c>
      <c r="M62" s="375">
        <v>-1350</v>
      </c>
      <c r="N62" s="375">
        <v>-1350</v>
      </c>
      <c r="O62" s="375">
        <v>-1350</v>
      </c>
      <c r="P62" s="375">
        <v>-1350</v>
      </c>
      <c r="Q62" s="375">
        <v>-1350</v>
      </c>
      <c r="R62" s="375">
        <v>-1350</v>
      </c>
      <c r="S62" s="375">
        <v>-1350</v>
      </c>
      <c r="T62" s="375">
        <v>-1350</v>
      </c>
      <c r="U62" s="375">
        <f t="shared" si="10"/>
        <v>-16200</v>
      </c>
    </row>
    <row r="63" spans="1:21" x14ac:dyDescent="0.3">
      <c r="A63" s="9"/>
      <c r="B63" s="9"/>
      <c r="C63" s="134" t="s">
        <v>252</v>
      </c>
      <c r="D63" s="9"/>
      <c r="E63" s="9"/>
      <c r="F63" s="375">
        <v>-900</v>
      </c>
      <c r="G63" s="375">
        <v>-900</v>
      </c>
      <c r="H63" s="375">
        <v>-900</v>
      </c>
      <c r="I63" s="375">
        <v>-900</v>
      </c>
      <c r="J63" s="375">
        <v>-900</v>
      </c>
      <c r="K63" s="375">
        <v>-900</v>
      </c>
      <c r="L63" s="375">
        <v>-900</v>
      </c>
      <c r="M63" s="375">
        <v>-900</v>
      </c>
      <c r="N63" s="375">
        <v>-900</v>
      </c>
      <c r="O63" s="375">
        <v>-900</v>
      </c>
      <c r="P63" s="375">
        <v>-900</v>
      </c>
      <c r="Q63" s="375">
        <v>-900</v>
      </c>
      <c r="R63" s="375">
        <v>-900</v>
      </c>
      <c r="S63" s="375">
        <v>-900</v>
      </c>
      <c r="T63" s="375">
        <v>-900</v>
      </c>
      <c r="U63" s="375">
        <f t="shared" si="10"/>
        <v>-10800</v>
      </c>
    </row>
    <row r="64" spans="1:21" x14ac:dyDescent="0.3">
      <c r="A64" s="9"/>
      <c r="B64" s="9"/>
      <c r="C64" s="134" t="s">
        <v>126</v>
      </c>
      <c r="D64" s="9"/>
      <c r="E64" s="9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29"/>
    </row>
    <row r="65" spans="1:21" x14ac:dyDescent="0.3">
      <c r="A65" s="9"/>
      <c r="B65" s="9"/>
      <c r="C65" s="136" t="s">
        <v>127</v>
      </c>
      <c r="D65" s="9"/>
      <c r="E65" s="9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29"/>
    </row>
    <row r="66" spans="1:21" x14ac:dyDescent="0.3">
      <c r="A66" s="9"/>
      <c r="B66" s="9"/>
      <c r="C66" s="136" t="s">
        <v>128</v>
      </c>
      <c r="D66" s="9"/>
      <c r="E66" s="9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29"/>
    </row>
    <row r="67" spans="1:21" x14ac:dyDescent="0.3">
      <c r="A67" s="9"/>
      <c r="B67" s="9"/>
      <c r="C67" s="136" t="s">
        <v>129</v>
      </c>
      <c r="D67" s="9"/>
      <c r="E67" s="9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29"/>
    </row>
    <row r="68" spans="1:21" x14ac:dyDescent="0.3">
      <c r="A68" s="9"/>
      <c r="B68" s="9"/>
      <c r="C68" s="136" t="s">
        <v>130</v>
      </c>
      <c r="D68" s="9"/>
      <c r="E68" s="9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29"/>
    </row>
    <row r="69" spans="1:21" x14ac:dyDescent="0.3">
      <c r="A69" s="9"/>
      <c r="B69" s="9"/>
      <c r="C69" s="136" t="s">
        <v>131</v>
      </c>
      <c r="D69" s="9"/>
      <c r="E69" s="9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29"/>
    </row>
    <row r="70" spans="1:21" x14ac:dyDescent="0.3">
      <c r="A70" s="9"/>
      <c r="B70" s="9"/>
      <c r="C70" s="136" t="s">
        <v>132</v>
      </c>
      <c r="D70" s="9"/>
      <c r="E70" s="9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29"/>
    </row>
    <row r="71" spans="1:21" x14ac:dyDescent="0.3">
      <c r="A71" s="9"/>
      <c r="B71" s="9"/>
      <c r="C71" s="136" t="s">
        <v>133</v>
      </c>
      <c r="D71" s="9"/>
      <c r="E71" s="9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29"/>
    </row>
    <row r="72" spans="1:21" x14ac:dyDescent="0.3">
      <c r="A72" s="9"/>
      <c r="B72" s="9"/>
      <c r="C72" s="136" t="s">
        <v>134</v>
      </c>
      <c r="D72" s="9"/>
      <c r="E72" s="9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29"/>
    </row>
    <row r="73" spans="1:21" x14ac:dyDescent="0.3">
      <c r="A73" s="9"/>
      <c r="B73" s="9"/>
      <c r="C73" s="136" t="s">
        <v>135</v>
      </c>
      <c r="D73" s="9"/>
      <c r="E73" s="9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29"/>
    </row>
    <row r="74" spans="1:21" x14ac:dyDescent="0.3">
      <c r="A74" s="9"/>
      <c r="B74" s="9"/>
      <c r="C74" s="136"/>
      <c r="D74" s="9"/>
      <c r="E74" s="9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29"/>
    </row>
    <row r="75" spans="1:21" s="108" customFormat="1" ht="14.4" customHeight="1" x14ac:dyDescent="0.3">
      <c r="A75" s="160"/>
      <c r="B75" s="160"/>
      <c r="C75" s="161" t="s">
        <v>136</v>
      </c>
      <c r="D75" s="160"/>
      <c r="E75" s="160"/>
      <c r="F75" s="162">
        <f t="shared" ref="F75:H75" si="15">SUM(F59:F73)</f>
        <v>-7250</v>
      </c>
      <c r="G75" s="162">
        <f t="shared" si="15"/>
        <v>-7250</v>
      </c>
      <c r="H75" s="162">
        <f t="shared" si="15"/>
        <v>-7250</v>
      </c>
      <c r="I75" s="162">
        <f t="shared" ref="I75:T75" si="16">SUM(I59:I73)</f>
        <v>-7250</v>
      </c>
      <c r="J75" s="162">
        <f t="shared" si="16"/>
        <v>-7250</v>
      </c>
      <c r="K75" s="162">
        <f t="shared" si="16"/>
        <v>-7250</v>
      </c>
      <c r="L75" s="162">
        <f t="shared" si="16"/>
        <v>-7250</v>
      </c>
      <c r="M75" s="162">
        <f t="shared" si="16"/>
        <v>-7250</v>
      </c>
      <c r="N75" s="162">
        <f t="shared" si="16"/>
        <v>-7250</v>
      </c>
      <c r="O75" s="162">
        <f t="shared" si="16"/>
        <v>-7250</v>
      </c>
      <c r="P75" s="162">
        <f t="shared" si="16"/>
        <v>-7250</v>
      </c>
      <c r="Q75" s="162">
        <f t="shared" si="16"/>
        <v>-7250</v>
      </c>
      <c r="R75" s="162">
        <f t="shared" si="16"/>
        <v>-7250</v>
      </c>
      <c r="S75" s="162">
        <f t="shared" si="16"/>
        <v>-7250</v>
      </c>
      <c r="T75" s="162">
        <f t="shared" si="16"/>
        <v>-7250</v>
      </c>
      <c r="U75" s="154">
        <f t="shared" si="10"/>
        <v>-87000</v>
      </c>
    </row>
    <row r="76" spans="1:21" s="108" customFormat="1" ht="14.4" customHeight="1" x14ac:dyDescent="0.3">
      <c r="A76" s="163"/>
      <c r="B76" s="163"/>
      <c r="C76" s="164" t="s">
        <v>6</v>
      </c>
      <c r="D76" s="163"/>
      <c r="E76" s="163"/>
      <c r="F76" s="165">
        <f>F34+F35+F55+F75</f>
        <v>15703</v>
      </c>
      <c r="G76" s="165">
        <f>G34+G35+G55+G75</f>
        <v>15703</v>
      </c>
      <c r="H76" s="165">
        <f t="shared" ref="H76:T76" si="17">H34+H35+H55+H75</f>
        <v>33495</v>
      </c>
      <c r="I76" s="165">
        <f t="shared" si="17"/>
        <v>37179</v>
      </c>
      <c r="J76" s="165">
        <f t="shared" si="17"/>
        <v>38226</v>
      </c>
      <c r="K76" s="165">
        <f t="shared" si="17"/>
        <v>40194</v>
      </c>
      <c r="L76" s="165">
        <f t="shared" si="17"/>
        <v>47377</v>
      </c>
      <c r="M76" s="165">
        <f t="shared" si="17"/>
        <v>47346</v>
      </c>
      <c r="N76" s="165">
        <f t="shared" si="17"/>
        <v>46358</v>
      </c>
      <c r="O76" s="165">
        <f t="shared" si="17"/>
        <v>38792</v>
      </c>
      <c r="P76" s="165">
        <f t="shared" si="17"/>
        <v>38695</v>
      </c>
      <c r="Q76" s="165">
        <f t="shared" si="17"/>
        <v>39065</v>
      </c>
      <c r="R76" s="165">
        <f t="shared" si="17"/>
        <v>18453</v>
      </c>
      <c r="S76" s="165">
        <f t="shared" si="17"/>
        <v>18453</v>
      </c>
      <c r="T76" s="165">
        <f t="shared" si="17"/>
        <v>36245</v>
      </c>
      <c r="U76" s="149">
        <f t="shared" si="10"/>
        <v>438133</v>
      </c>
    </row>
    <row r="77" spans="1:21" s="108" customFormat="1" ht="14.4" customHeight="1" x14ac:dyDescent="0.3">
      <c r="A77" s="106"/>
      <c r="B77" s="106"/>
      <c r="C77" s="137" t="s">
        <v>137</v>
      </c>
      <c r="D77" s="106"/>
      <c r="E77" s="106"/>
      <c r="F77" s="376">
        <v>-1850</v>
      </c>
      <c r="G77" s="376">
        <v>-1850</v>
      </c>
      <c r="H77" s="376">
        <v>-1850</v>
      </c>
      <c r="I77" s="376">
        <v>-1711</v>
      </c>
      <c r="J77" s="376">
        <v>-1711</v>
      </c>
      <c r="K77" s="376">
        <v>-1711</v>
      </c>
      <c r="L77" s="376">
        <v>-1711</v>
      </c>
      <c r="M77" s="376">
        <v>-1711</v>
      </c>
      <c r="N77" s="376">
        <v>-1711</v>
      </c>
      <c r="O77" s="376">
        <v>-1711</v>
      </c>
      <c r="P77" s="376">
        <v>-1711</v>
      </c>
      <c r="Q77" s="376">
        <v>-1911</v>
      </c>
      <c r="R77" s="376">
        <v>-1911</v>
      </c>
      <c r="S77" s="376">
        <v>-1911</v>
      </c>
      <c r="T77" s="376">
        <v>-1911</v>
      </c>
      <c r="U77" s="376">
        <f t="shared" si="10"/>
        <v>-21149</v>
      </c>
    </row>
    <row r="78" spans="1:21" s="108" customFormat="1" ht="25.05" customHeight="1" x14ac:dyDescent="0.3">
      <c r="A78" s="106"/>
      <c r="B78" s="106"/>
      <c r="C78" s="137" t="s">
        <v>8</v>
      </c>
      <c r="D78" s="106"/>
      <c r="E78" s="106"/>
      <c r="F78" s="138">
        <f t="shared" ref="F78:H78" si="18">F76+F77</f>
        <v>13853</v>
      </c>
      <c r="G78" s="138">
        <f t="shared" si="18"/>
        <v>13853</v>
      </c>
      <c r="H78" s="138">
        <f t="shared" si="18"/>
        <v>31645</v>
      </c>
      <c r="I78" s="138">
        <f t="shared" ref="I78:T78" si="19">I76-I77</f>
        <v>38890</v>
      </c>
      <c r="J78" s="138">
        <f t="shared" si="19"/>
        <v>39937</v>
      </c>
      <c r="K78" s="138">
        <f t="shared" si="19"/>
        <v>41905</v>
      </c>
      <c r="L78" s="138">
        <f t="shared" si="19"/>
        <v>49088</v>
      </c>
      <c r="M78" s="138">
        <f t="shared" si="19"/>
        <v>49057</v>
      </c>
      <c r="N78" s="138">
        <f t="shared" si="19"/>
        <v>48069</v>
      </c>
      <c r="O78" s="138">
        <f t="shared" si="19"/>
        <v>40503</v>
      </c>
      <c r="P78" s="138">
        <f t="shared" si="19"/>
        <v>40406</v>
      </c>
      <c r="Q78" s="138">
        <f t="shared" si="19"/>
        <v>40976</v>
      </c>
      <c r="R78" s="138">
        <f t="shared" si="19"/>
        <v>20364</v>
      </c>
      <c r="S78" s="138">
        <f t="shared" si="19"/>
        <v>20364</v>
      </c>
      <c r="T78" s="138">
        <f t="shared" si="19"/>
        <v>38156</v>
      </c>
      <c r="U78" s="395">
        <f t="shared" si="10"/>
        <v>448182</v>
      </c>
    </row>
    <row r="79" spans="1:21" s="108" customFormat="1" ht="25.05" customHeight="1" x14ac:dyDescent="0.3">
      <c r="A79" s="106"/>
      <c r="B79" s="106"/>
      <c r="C79" s="140" t="s">
        <v>138</v>
      </c>
      <c r="D79" s="141"/>
      <c r="E79" s="106"/>
      <c r="F79" s="138">
        <f>('BS 2025'!F27)*0.05</f>
        <v>-3870</v>
      </c>
      <c r="G79" s="138">
        <f>('BS 2025'!G27)*0.05</f>
        <v>-3705</v>
      </c>
      <c r="H79" s="138">
        <f>('BS 2025'!H27)*0.05</f>
        <v>-3540</v>
      </c>
      <c r="I79" s="138">
        <f>('BS 2025'!I27)*0.05</f>
        <v>-3375</v>
      </c>
      <c r="J79" s="138">
        <f>('BS 2025'!J27)*0.05</f>
        <v>-3210</v>
      </c>
      <c r="K79" s="138">
        <f>('BS 2025'!K27)*0.05</f>
        <v>-3045</v>
      </c>
      <c r="L79" s="138">
        <f>('BS 2025'!L27)*0.05</f>
        <v>-2880</v>
      </c>
      <c r="M79" s="138">
        <f>('BS 2025'!M27)*0.05</f>
        <v>-2715</v>
      </c>
      <c r="N79" s="138">
        <f>('BS 2025'!N27)*0.05</f>
        <v>-2550</v>
      </c>
      <c r="O79" s="138">
        <f>('BS 2025'!O27)*0.05</f>
        <v>-2385</v>
      </c>
      <c r="P79" s="138">
        <f>('BS 2025'!P27)*0.05</f>
        <v>-2220</v>
      </c>
      <c r="Q79" s="138">
        <f>('BS 2025'!Q27)*0.05</f>
        <v>-2055</v>
      </c>
      <c r="R79" s="138">
        <f>('BS 2025'!R27)*0.05</f>
        <v>-1890</v>
      </c>
      <c r="S79" s="138">
        <f>('BS 2025'!S27)*0.05</f>
        <v>-1725</v>
      </c>
      <c r="T79" s="138">
        <f>('BS 2025'!T27)*0.05</f>
        <v>-1560</v>
      </c>
      <c r="U79" s="395">
        <f t="shared" si="10"/>
        <v>-35550</v>
      </c>
    </row>
    <row r="80" spans="1:21" s="108" customFormat="1" ht="25.05" customHeight="1" x14ac:dyDescent="0.3">
      <c r="A80" s="106"/>
      <c r="B80" s="106"/>
      <c r="C80" s="137" t="s">
        <v>10</v>
      </c>
      <c r="D80" s="106"/>
      <c r="E80" s="106"/>
      <c r="F80" s="138">
        <f>F76</f>
        <v>15703</v>
      </c>
      <c r="G80" s="138">
        <f t="shared" ref="G80:T80" si="20">G76</f>
        <v>15703</v>
      </c>
      <c r="H80" s="138">
        <f t="shared" si="20"/>
        <v>33495</v>
      </c>
      <c r="I80" s="138">
        <f t="shared" si="20"/>
        <v>37179</v>
      </c>
      <c r="J80" s="138">
        <f t="shared" si="20"/>
        <v>38226</v>
      </c>
      <c r="K80" s="138">
        <f t="shared" si="20"/>
        <v>40194</v>
      </c>
      <c r="L80" s="138">
        <f t="shared" si="20"/>
        <v>47377</v>
      </c>
      <c r="M80" s="138">
        <f t="shared" si="20"/>
        <v>47346</v>
      </c>
      <c r="N80" s="138">
        <f t="shared" si="20"/>
        <v>46358</v>
      </c>
      <c r="O80" s="138">
        <f t="shared" si="20"/>
        <v>38792</v>
      </c>
      <c r="P80" s="138">
        <f t="shared" si="20"/>
        <v>38695</v>
      </c>
      <c r="Q80" s="138">
        <f t="shared" si="20"/>
        <v>39065</v>
      </c>
      <c r="R80" s="138">
        <f t="shared" si="20"/>
        <v>18453</v>
      </c>
      <c r="S80" s="138">
        <f t="shared" si="20"/>
        <v>18453</v>
      </c>
      <c r="T80" s="138">
        <f t="shared" si="20"/>
        <v>36245</v>
      </c>
      <c r="U80" s="395">
        <f t="shared" si="10"/>
        <v>438133</v>
      </c>
    </row>
    <row r="81" spans="1:21" s="108" customFormat="1" ht="25.05" customHeight="1" x14ac:dyDescent="0.3">
      <c r="A81" s="106"/>
      <c r="B81" s="106"/>
      <c r="C81" s="140" t="s">
        <v>11</v>
      </c>
      <c r="D81" s="106"/>
      <c r="E81" s="106"/>
      <c r="F81" s="394">
        <f t="shared" ref="F81:T81" si="21">((F78*0.2)-1)*-1</f>
        <v>-2769.6000000000004</v>
      </c>
      <c r="G81" s="394">
        <f t="shared" si="21"/>
        <v>-2769.6000000000004</v>
      </c>
      <c r="H81" s="394">
        <f t="shared" si="21"/>
        <v>-6328</v>
      </c>
      <c r="I81" s="394">
        <f t="shared" si="21"/>
        <v>-7777</v>
      </c>
      <c r="J81" s="394">
        <f t="shared" si="21"/>
        <v>-7986.4000000000005</v>
      </c>
      <c r="K81" s="394">
        <f t="shared" si="21"/>
        <v>-8380</v>
      </c>
      <c r="L81" s="394">
        <f t="shared" si="21"/>
        <v>-9816.6</v>
      </c>
      <c r="M81" s="394">
        <f t="shared" si="21"/>
        <v>-9810.4</v>
      </c>
      <c r="N81" s="394">
        <f t="shared" si="21"/>
        <v>-9612.8000000000011</v>
      </c>
      <c r="O81" s="394">
        <f t="shared" si="21"/>
        <v>-8099.6</v>
      </c>
      <c r="P81" s="394">
        <f t="shared" si="21"/>
        <v>-8080.2000000000007</v>
      </c>
      <c r="Q81" s="394">
        <f t="shared" si="21"/>
        <v>-8194.2000000000007</v>
      </c>
      <c r="R81" s="394">
        <f t="shared" si="21"/>
        <v>-4071.8</v>
      </c>
      <c r="S81" s="394">
        <f t="shared" si="21"/>
        <v>-4071.8</v>
      </c>
      <c r="T81" s="394">
        <f t="shared" si="21"/>
        <v>-7630.2000000000007</v>
      </c>
      <c r="U81" s="376">
        <f t="shared" si="10"/>
        <v>-89624.400000000009</v>
      </c>
    </row>
    <row r="82" spans="1:21" s="108" customFormat="1" ht="14.4" customHeight="1" x14ac:dyDescent="0.3">
      <c r="A82" s="166"/>
      <c r="B82" s="166"/>
      <c r="C82" s="167" t="s">
        <v>12</v>
      </c>
      <c r="D82" s="166"/>
      <c r="E82" s="166"/>
      <c r="F82" s="294">
        <f>F80+F81</f>
        <v>12933.4</v>
      </c>
      <c r="G82" s="294">
        <f t="shared" ref="G82:T82" si="22">G80+G81</f>
        <v>12933.4</v>
      </c>
      <c r="H82" s="294">
        <f t="shared" si="22"/>
        <v>27167</v>
      </c>
      <c r="I82" s="294">
        <f t="shared" si="22"/>
        <v>29402</v>
      </c>
      <c r="J82" s="294">
        <f t="shared" si="22"/>
        <v>30239.599999999999</v>
      </c>
      <c r="K82" s="294">
        <f t="shared" si="22"/>
        <v>31814</v>
      </c>
      <c r="L82" s="294">
        <f t="shared" si="22"/>
        <v>37560.400000000001</v>
      </c>
      <c r="M82" s="294">
        <f t="shared" si="22"/>
        <v>37535.599999999999</v>
      </c>
      <c r="N82" s="294">
        <f t="shared" si="22"/>
        <v>36745.199999999997</v>
      </c>
      <c r="O82" s="294">
        <f t="shared" si="22"/>
        <v>30692.400000000001</v>
      </c>
      <c r="P82" s="294">
        <f t="shared" si="22"/>
        <v>30614.799999999999</v>
      </c>
      <c r="Q82" s="294">
        <f t="shared" si="22"/>
        <v>30870.799999999999</v>
      </c>
      <c r="R82" s="294">
        <f t="shared" si="22"/>
        <v>14381.2</v>
      </c>
      <c r="S82" s="294">
        <f t="shared" si="22"/>
        <v>14381.2</v>
      </c>
      <c r="T82" s="294">
        <f t="shared" si="22"/>
        <v>28614.799999999999</v>
      </c>
      <c r="U82" s="293">
        <f t="shared" si="10"/>
        <v>348508.6</v>
      </c>
    </row>
    <row r="83" spans="1:21" x14ac:dyDescent="0.3">
      <c r="F83"/>
    </row>
    <row r="84" spans="1:21" x14ac:dyDescent="0.3">
      <c r="F84"/>
    </row>
    <row r="85" spans="1:21" x14ac:dyDescent="0.3">
      <c r="F85"/>
    </row>
    <row r="86" spans="1:21" x14ac:dyDescent="0.3">
      <c r="F86"/>
    </row>
    <row r="87" spans="1:21" x14ac:dyDescent="0.3">
      <c r="F87"/>
    </row>
    <row r="88" spans="1:21" x14ac:dyDescent="0.3">
      <c r="F88"/>
    </row>
    <row r="89" spans="1:21" x14ac:dyDescent="0.3">
      <c r="F89"/>
    </row>
    <row r="90" spans="1:21" x14ac:dyDescent="0.3">
      <c r="F90"/>
    </row>
    <row r="91" spans="1:21" x14ac:dyDescent="0.3">
      <c r="F91"/>
    </row>
    <row r="92" spans="1:21" x14ac:dyDescent="0.3">
      <c r="F92"/>
    </row>
    <row r="93" spans="1:21" x14ac:dyDescent="0.3">
      <c r="F93"/>
    </row>
    <row r="94" spans="1:21" x14ac:dyDescent="0.3">
      <c r="F94"/>
    </row>
    <row r="95" spans="1:21" x14ac:dyDescent="0.3">
      <c r="F95"/>
    </row>
    <row r="96" spans="1:21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</sheetData>
  <mergeCells count="1">
    <mergeCell ref="C10:D10"/>
  </mergeCells>
  <phoneticPr fontId="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F80B-76C2-48FF-8553-F077D6928C71}">
  <sheetPr codeName="Sheet32"/>
  <dimension ref="A2:V81"/>
  <sheetViews>
    <sheetView showGridLines="0" topLeftCell="A52" workbookViewId="0">
      <selection activeCell="G78" sqref="G78"/>
    </sheetView>
  </sheetViews>
  <sheetFormatPr defaultRowHeight="14.4" x14ac:dyDescent="0.3"/>
  <cols>
    <col min="1" max="1" width="13.109375" customWidth="1"/>
    <col min="2" max="2" width="6.21875" customWidth="1"/>
    <col min="3" max="3" width="9.6640625" customWidth="1"/>
    <col min="5" max="5" width="6.5546875" customWidth="1"/>
    <col min="6" max="6" width="4.7773437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28" t="s">
        <v>142</v>
      </c>
      <c r="C2" s="127"/>
      <c r="D2" s="9"/>
    </row>
    <row r="3" spans="1:22" x14ac:dyDescent="0.3">
      <c r="A3" s="126" t="s">
        <v>143</v>
      </c>
      <c r="C3" s="14"/>
    </row>
    <row r="4" spans="1:22" x14ac:dyDescent="0.3">
      <c r="A4" s="126" t="s">
        <v>144</v>
      </c>
      <c r="C4" s="14"/>
    </row>
    <row r="6" spans="1:22" x14ac:dyDescent="0.3">
      <c r="B6" s="14" t="s">
        <v>192</v>
      </c>
    </row>
    <row r="7" spans="1:22" x14ac:dyDescent="0.3">
      <c r="A7" s="142"/>
      <c r="B7" s="173" t="s">
        <v>64</v>
      </c>
      <c r="C7" s="147"/>
      <c r="D7" s="147"/>
      <c r="E7" s="147"/>
      <c r="F7" s="147"/>
      <c r="G7" s="175">
        <v>45658</v>
      </c>
      <c r="H7" s="175">
        <v>45689</v>
      </c>
      <c r="I7" s="175">
        <v>45717</v>
      </c>
      <c r="J7" s="175">
        <v>45748</v>
      </c>
      <c r="K7" s="175">
        <v>45778</v>
      </c>
      <c r="L7" s="175">
        <v>45809</v>
      </c>
      <c r="M7" s="175">
        <v>45839</v>
      </c>
      <c r="N7" s="175">
        <v>45870</v>
      </c>
      <c r="O7" s="175">
        <v>45901</v>
      </c>
      <c r="P7" s="175">
        <v>45931</v>
      </c>
      <c r="Q7" s="175">
        <v>45962</v>
      </c>
      <c r="R7" s="175">
        <v>45992</v>
      </c>
      <c r="S7" s="175">
        <v>46023</v>
      </c>
      <c r="T7" s="175">
        <v>46054</v>
      </c>
      <c r="U7" s="175">
        <v>46082</v>
      </c>
      <c r="V7" s="175" t="s">
        <v>72</v>
      </c>
    </row>
    <row r="9" spans="1:22" x14ac:dyDescent="0.3">
      <c r="B9" s="14" t="s">
        <v>168</v>
      </c>
    </row>
    <row r="10" spans="1:22" x14ac:dyDescent="0.3">
      <c r="A10" s="147"/>
      <c r="B10" s="173" t="s">
        <v>145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</row>
    <row r="11" spans="1:22" x14ac:dyDescent="0.3">
      <c r="B11" s="302" t="s">
        <v>37</v>
      </c>
      <c r="C11" s="303"/>
      <c r="D11" s="303"/>
      <c r="E11" s="303"/>
      <c r="F11" s="303"/>
      <c r="G11" s="351">
        <f>SUM(G17+G25+G33)</f>
        <v>31047</v>
      </c>
      <c r="H11" s="351">
        <f t="shared" ref="H11:U11" si="0">SUM(H17+H25+H33)</f>
        <v>31047</v>
      </c>
      <c r="I11" s="351">
        <f t="shared" si="0"/>
        <v>48839</v>
      </c>
      <c r="J11" s="351">
        <f t="shared" si="0"/>
        <v>52523</v>
      </c>
      <c r="K11" s="351">
        <f t="shared" si="0"/>
        <v>53570</v>
      </c>
      <c r="L11" s="351">
        <f t="shared" si="0"/>
        <v>55538</v>
      </c>
      <c r="M11" s="351">
        <f t="shared" si="0"/>
        <v>62721</v>
      </c>
      <c r="N11" s="351">
        <f t="shared" si="0"/>
        <v>62690</v>
      </c>
      <c r="O11" s="351">
        <f t="shared" si="0"/>
        <v>61702</v>
      </c>
      <c r="P11" s="351">
        <f t="shared" si="0"/>
        <v>54136</v>
      </c>
      <c r="Q11" s="351">
        <f t="shared" si="0"/>
        <v>54039</v>
      </c>
      <c r="R11" s="351">
        <f t="shared" si="0"/>
        <v>54409</v>
      </c>
      <c r="S11" s="351">
        <f t="shared" si="0"/>
        <v>33797</v>
      </c>
      <c r="T11" s="351">
        <f t="shared" si="0"/>
        <v>33797</v>
      </c>
      <c r="U11" s="351">
        <f t="shared" si="0"/>
        <v>51589</v>
      </c>
      <c r="V11" s="194">
        <f>SUM(G11:R11)</f>
        <v>622261</v>
      </c>
    </row>
    <row r="12" spans="1:22" s="9" customFormat="1" x14ac:dyDescent="0.3">
      <c r="A12" s="344"/>
      <c r="B12" s="345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</row>
    <row r="13" spans="1:22" x14ac:dyDescent="0.3">
      <c r="A13" s="9"/>
      <c r="B13" s="9"/>
      <c r="C13" s="427" t="str">
        <f>'IS 2025'!C10</f>
        <v>AC 7kW @ 45p Kw</v>
      </c>
      <c r="D13" s="427"/>
      <c r="E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338" t="s">
        <v>100</v>
      </c>
    </row>
    <row r="14" spans="1:22" x14ac:dyDescent="0.3">
      <c r="A14" s="9"/>
      <c r="B14" s="9"/>
      <c r="C14" s="136" t="s">
        <v>282</v>
      </c>
      <c r="D14" s="9"/>
      <c r="E14" s="9"/>
      <c r="G14" s="321">
        <f>'IS 2025'!F11</f>
        <v>4191</v>
      </c>
      <c r="H14" s="321">
        <f>'IS 2025'!G11</f>
        <v>4191</v>
      </c>
      <c r="I14" s="321">
        <f>'IS 2025'!H11</f>
        <v>4191</v>
      </c>
      <c r="J14" s="321">
        <f>'IS 2025'!I11</f>
        <v>4891</v>
      </c>
      <c r="K14" s="321">
        <f>'IS 2025'!J11</f>
        <v>5191</v>
      </c>
      <c r="L14" s="321">
        <f>'IS 2025'!K11</f>
        <v>5191</v>
      </c>
      <c r="M14" s="321">
        <f>'IS 2025'!L11</f>
        <v>5222</v>
      </c>
      <c r="N14" s="321">
        <f>'IS 2025'!M11</f>
        <v>5191</v>
      </c>
      <c r="O14" s="321">
        <f>'IS 2025'!N11</f>
        <v>5203</v>
      </c>
      <c r="P14" s="321">
        <f>'IS 2025'!O11</f>
        <v>5203</v>
      </c>
      <c r="Q14" s="321">
        <f>'IS 2025'!P11</f>
        <v>5191</v>
      </c>
      <c r="R14" s="321">
        <f>'IS 2025'!Q11</f>
        <v>5187</v>
      </c>
      <c r="S14" s="321">
        <f>'IS 2025'!R11</f>
        <v>4191</v>
      </c>
      <c r="T14" s="321">
        <f>'IS 2025'!S11</f>
        <v>4191</v>
      </c>
      <c r="U14" s="321">
        <f>'IS 2025'!T11</f>
        <v>4191</v>
      </c>
      <c r="V14" s="321">
        <f>AVERAGE(G14:U14)</f>
        <v>4774.3999999999996</v>
      </c>
    </row>
    <row r="15" spans="1:22" x14ac:dyDescent="0.3">
      <c r="A15" s="9"/>
      <c r="B15" s="9"/>
      <c r="C15" s="136" t="s">
        <v>283</v>
      </c>
      <c r="D15" s="9"/>
      <c r="E15" s="9"/>
      <c r="G15" s="321">
        <f>'IS 2025'!F12</f>
        <v>2357</v>
      </c>
      <c r="H15" s="321">
        <f>'IS 2025'!G12</f>
        <v>2357</v>
      </c>
      <c r="I15" s="321">
        <f>'IS 2025'!H12</f>
        <v>2357</v>
      </c>
      <c r="J15" s="321">
        <f>'IS 2025'!I12</f>
        <v>3357</v>
      </c>
      <c r="K15" s="321">
        <f>'IS 2025'!J12</f>
        <v>3557</v>
      </c>
      <c r="L15" s="321">
        <f>'IS 2025'!K12</f>
        <v>3557</v>
      </c>
      <c r="M15" s="321">
        <f>'IS 2025'!L12</f>
        <v>3557</v>
      </c>
      <c r="N15" s="321">
        <f>'IS 2025'!M12</f>
        <v>3557</v>
      </c>
      <c r="O15" s="321">
        <f>'IS 2025'!N12</f>
        <v>3557</v>
      </c>
      <c r="P15" s="321">
        <f>'IS 2025'!O12</f>
        <v>3557</v>
      </c>
      <c r="Q15" s="321">
        <f>'IS 2025'!P12</f>
        <v>3557</v>
      </c>
      <c r="R15" s="321">
        <f>'IS 2025'!Q12</f>
        <v>3557</v>
      </c>
      <c r="S15" s="321">
        <f>'IS 2025'!R12</f>
        <v>2357</v>
      </c>
      <c r="T15" s="321">
        <f>'IS 2025'!S12</f>
        <v>2357</v>
      </c>
      <c r="U15" s="321">
        <f>'IS 2025'!T12</f>
        <v>2357</v>
      </c>
      <c r="V15" s="321">
        <f t="shared" ref="V15:V18" si="1">AVERAGE(G15:U15)</f>
        <v>3063.6666666666665</v>
      </c>
    </row>
    <row r="16" spans="1:22" x14ac:dyDescent="0.3">
      <c r="A16" s="9"/>
      <c r="B16" s="9"/>
      <c r="C16" s="136" t="s">
        <v>284</v>
      </c>
      <c r="D16" s="9"/>
      <c r="E16" s="9"/>
      <c r="G16" s="321">
        <f>'IS 2025'!F13</f>
        <v>3357</v>
      </c>
      <c r="H16" s="321">
        <f>'IS 2025'!G13</f>
        <v>3357</v>
      </c>
      <c r="I16" s="321">
        <f>'IS 2025'!H13</f>
        <v>3357</v>
      </c>
      <c r="J16" s="321">
        <f>'IS 2025'!I13</f>
        <v>4357</v>
      </c>
      <c r="K16" s="321">
        <f>'IS 2025'!J13</f>
        <v>4010</v>
      </c>
      <c r="L16" s="321">
        <f>'IS 2025'!K13</f>
        <v>4010</v>
      </c>
      <c r="M16" s="321">
        <f>'IS 2025'!L13</f>
        <v>4010</v>
      </c>
      <c r="N16" s="321">
        <f>'IS 2025'!M13</f>
        <v>4010</v>
      </c>
      <c r="O16" s="321">
        <f>'IS 2025'!N13</f>
        <v>4010</v>
      </c>
      <c r="P16" s="321">
        <f>'IS 2025'!O13</f>
        <v>4010</v>
      </c>
      <c r="Q16" s="321">
        <f>'IS 2025'!P13</f>
        <v>4010</v>
      </c>
      <c r="R16" s="321">
        <f>'IS 2025'!Q13</f>
        <v>4010</v>
      </c>
      <c r="S16" s="321">
        <f>'IS 2025'!R13</f>
        <v>3357</v>
      </c>
      <c r="T16" s="321">
        <f>'IS 2025'!S13</f>
        <v>3357</v>
      </c>
      <c r="U16" s="321">
        <f>'IS 2025'!T13</f>
        <v>3357</v>
      </c>
      <c r="V16" s="321">
        <f t="shared" si="1"/>
        <v>3771.9333333333334</v>
      </c>
    </row>
    <row r="17" spans="1:22" x14ac:dyDescent="0.3">
      <c r="A17" s="9"/>
      <c r="B17" s="9"/>
      <c r="C17" s="136" t="s">
        <v>274</v>
      </c>
      <c r="D17" s="9"/>
      <c r="E17" s="9"/>
      <c r="G17" s="321">
        <f t="shared" ref="G17:R17" si="2">SUM(G14:G16)</f>
        <v>9905</v>
      </c>
      <c r="H17" s="321">
        <f t="shared" si="2"/>
        <v>9905</v>
      </c>
      <c r="I17" s="321">
        <f t="shared" si="2"/>
        <v>9905</v>
      </c>
      <c r="J17" s="321">
        <f t="shared" si="2"/>
        <v>12605</v>
      </c>
      <c r="K17" s="321">
        <f t="shared" si="2"/>
        <v>12758</v>
      </c>
      <c r="L17" s="321">
        <f t="shared" si="2"/>
        <v>12758</v>
      </c>
      <c r="M17" s="321">
        <f t="shared" si="2"/>
        <v>12789</v>
      </c>
      <c r="N17" s="321">
        <f t="shared" si="2"/>
        <v>12758</v>
      </c>
      <c r="O17" s="321">
        <f t="shared" si="2"/>
        <v>12770</v>
      </c>
      <c r="P17" s="321">
        <f t="shared" si="2"/>
        <v>12770</v>
      </c>
      <c r="Q17" s="321">
        <f t="shared" si="2"/>
        <v>12758</v>
      </c>
      <c r="R17" s="321">
        <f t="shared" si="2"/>
        <v>12754</v>
      </c>
      <c r="S17" s="321">
        <v>12655</v>
      </c>
      <c r="T17" s="321">
        <v>12655</v>
      </c>
      <c r="U17" s="321">
        <v>12655</v>
      </c>
      <c r="V17" s="321">
        <f t="shared" si="1"/>
        <v>12160</v>
      </c>
    </row>
    <row r="18" spans="1:22" x14ac:dyDescent="0.3">
      <c r="A18" s="9"/>
      <c r="B18" s="9"/>
      <c r="C18" s="404" t="s">
        <v>295</v>
      </c>
      <c r="D18" s="367"/>
      <c r="E18" s="367"/>
      <c r="F18" s="366"/>
      <c r="G18" s="333">
        <v>15000</v>
      </c>
      <c r="H18" s="333">
        <v>15000</v>
      </c>
      <c r="I18" s="333">
        <v>15000</v>
      </c>
      <c r="J18" s="333">
        <v>15000</v>
      </c>
      <c r="K18" s="333">
        <v>15000</v>
      </c>
      <c r="L18" s="333">
        <v>15000</v>
      </c>
      <c r="M18" s="333">
        <v>15000</v>
      </c>
      <c r="N18" s="333">
        <v>15000</v>
      </c>
      <c r="O18" s="333">
        <v>15000</v>
      </c>
      <c r="P18" s="333">
        <v>15000</v>
      </c>
      <c r="Q18" s="333">
        <v>15000</v>
      </c>
      <c r="R18" s="333">
        <v>15000</v>
      </c>
      <c r="S18" s="333">
        <v>15000</v>
      </c>
      <c r="T18" s="333">
        <v>15000</v>
      </c>
      <c r="U18" s="333">
        <v>15000</v>
      </c>
      <c r="V18" s="333">
        <f t="shared" si="1"/>
        <v>15000</v>
      </c>
    </row>
    <row r="19" spans="1:22" x14ac:dyDescent="0.3">
      <c r="A19" s="9"/>
      <c r="B19" s="9"/>
      <c r="C19" s="136" t="s">
        <v>273</v>
      </c>
      <c r="D19" s="9"/>
      <c r="E19" s="9"/>
      <c r="G19" s="322">
        <f t="shared" ref="G19:U19" si="3">G17/G$17</f>
        <v>1</v>
      </c>
      <c r="H19" s="322">
        <f t="shared" si="3"/>
        <v>1</v>
      </c>
      <c r="I19" s="322">
        <f t="shared" si="3"/>
        <v>1</v>
      </c>
      <c r="J19" s="322">
        <f t="shared" si="3"/>
        <v>1</v>
      </c>
      <c r="K19" s="322">
        <f t="shared" si="3"/>
        <v>1</v>
      </c>
      <c r="L19" s="322">
        <f t="shared" si="3"/>
        <v>1</v>
      </c>
      <c r="M19" s="322">
        <f t="shared" si="3"/>
        <v>1</v>
      </c>
      <c r="N19" s="322">
        <f t="shared" si="3"/>
        <v>1</v>
      </c>
      <c r="O19" s="322">
        <f t="shared" si="3"/>
        <v>1</v>
      </c>
      <c r="P19" s="322">
        <f t="shared" si="3"/>
        <v>1</v>
      </c>
      <c r="Q19" s="322">
        <f t="shared" si="3"/>
        <v>1</v>
      </c>
      <c r="R19" s="322">
        <f t="shared" si="3"/>
        <v>1</v>
      </c>
      <c r="S19" s="322">
        <f t="shared" si="3"/>
        <v>1</v>
      </c>
      <c r="T19" s="322">
        <f t="shared" si="3"/>
        <v>1</v>
      </c>
      <c r="U19" s="322">
        <f t="shared" si="3"/>
        <v>1</v>
      </c>
      <c r="V19" s="332">
        <f>AVERAGE(G19:U19)</f>
        <v>1</v>
      </c>
    </row>
    <row r="20" spans="1:22" x14ac:dyDescent="0.3">
      <c r="A20" s="9"/>
      <c r="B20" s="9"/>
      <c r="C20" s="136"/>
      <c r="D20" s="9"/>
      <c r="E20" s="9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9"/>
    </row>
    <row r="21" spans="1:22" x14ac:dyDescent="0.3">
      <c r="A21" s="9"/>
      <c r="B21" s="9"/>
      <c r="C21" s="135" t="s">
        <v>287</v>
      </c>
      <c r="D21" s="9"/>
      <c r="E21" s="9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9"/>
    </row>
    <row r="22" spans="1:22" x14ac:dyDescent="0.3">
      <c r="A22" s="9"/>
      <c r="B22" s="9"/>
      <c r="C22" s="136" t="s">
        <v>282</v>
      </c>
      <c r="D22" s="9"/>
      <c r="E22" s="9"/>
      <c r="G22" s="321">
        <f>'IS 2025'!F19</f>
        <v>4357</v>
      </c>
      <c r="H22" s="321">
        <f>'IS 2025'!G19</f>
        <v>4357</v>
      </c>
      <c r="I22" s="321">
        <f>'IS 2025'!H19</f>
        <v>6489</v>
      </c>
      <c r="J22" s="321">
        <f>'IS 2025'!I19</f>
        <v>6653</v>
      </c>
      <c r="K22" s="321">
        <f>'IS 2025'!J19</f>
        <v>6802</v>
      </c>
      <c r="L22" s="321">
        <f>'IS 2025'!K19</f>
        <v>7130</v>
      </c>
      <c r="M22" s="321">
        <f>'IS 2025'!L19</f>
        <v>8322</v>
      </c>
      <c r="N22" s="321">
        <f>'IS 2025'!M19</f>
        <v>8322</v>
      </c>
      <c r="O22" s="321">
        <f>'IS 2025'!N19</f>
        <v>8322</v>
      </c>
      <c r="P22" s="321">
        <f>'IS 2025'!O19</f>
        <v>6311</v>
      </c>
      <c r="Q22" s="321">
        <f>'IS 2025'!P19</f>
        <v>6271</v>
      </c>
      <c r="R22" s="321">
        <f>'IS 2025'!Q19</f>
        <v>6100</v>
      </c>
      <c r="S22" s="321">
        <f>'IS 2025'!R19</f>
        <v>4357</v>
      </c>
      <c r="T22" s="321">
        <f>'IS 2025'!S19</f>
        <v>4357</v>
      </c>
      <c r="U22" s="321">
        <f>'IS 2025'!T19</f>
        <v>6489</v>
      </c>
      <c r="V22" s="321">
        <f>AVERAGE(G22:U22)</f>
        <v>6309.2666666666664</v>
      </c>
    </row>
    <row r="23" spans="1:22" x14ac:dyDescent="0.3">
      <c r="A23" s="9"/>
      <c r="B23" s="9"/>
      <c r="C23" s="136" t="s">
        <v>283</v>
      </c>
      <c r="D23" s="9"/>
      <c r="E23" s="9"/>
      <c r="G23" s="321">
        <f>'IS 2025'!F20</f>
        <v>2357</v>
      </c>
      <c r="H23" s="321">
        <f>'IS 2025'!G20</f>
        <v>2357</v>
      </c>
      <c r="I23" s="321">
        <f>'IS 2025'!H20</f>
        <v>6489</v>
      </c>
      <c r="J23" s="321">
        <f>'IS 2025'!I20</f>
        <v>6653</v>
      </c>
      <c r="K23" s="321">
        <f>'IS 2025'!J20</f>
        <v>6802</v>
      </c>
      <c r="L23" s="321">
        <f>'IS 2025'!K20</f>
        <v>7130</v>
      </c>
      <c r="M23" s="321">
        <f>'IS 2025'!L20</f>
        <v>8322</v>
      </c>
      <c r="N23" s="321">
        <f>'IS 2025'!M20</f>
        <v>8322</v>
      </c>
      <c r="O23" s="321">
        <f>'IS 2025'!N20</f>
        <v>8322</v>
      </c>
      <c r="P23" s="321">
        <f>'IS 2025'!O20</f>
        <v>6411</v>
      </c>
      <c r="Q23" s="321">
        <f>'IS 2025'!P20</f>
        <v>6334</v>
      </c>
      <c r="R23" s="321">
        <f>'IS 2025'!Q20</f>
        <v>6232</v>
      </c>
      <c r="S23" s="321">
        <f>'IS 2025'!R20</f>
        <v>2357</v>
      </c>
      <c r="T23" s="321">
        <f>'IS 2025'!S20</f>
        <v>2357</v>
      </c>
      <c r="U23" s="321">
        <f>'IS 2025'!T20</f>
        <v>6489</v>
      </c>
      <c r="V23" s="321">
        <f t="shared" ref="V23:V26" si="4">AVERAGE(G23:U23)</f>
        <v>5795.6</v>
      </c>
    </row>
    <row r="24" spans="1:22" x14ac:dyDescent="0.3">
      <c r="A24" s="9"/>
      <c r="B24" s="9"/>
      <c r="C24" s="136" t="s">
        <v>284</v>
      </c>
      <c r="D24" s="9"/>
      <c r="E24" s="9"/>
      <c r="G24" s="321">
        <f>'IS 2025'!F21</f>
        <v>4357</v>
      </c>
      <c r="H24" s="321">
        <f>'IS 2025'!G21</f>
        <v>4357</v>
      </c>
      <c r="I24" s="321">
        <f>'IS 2025'!H21</f>
        <v>6489</v>
      </c>
      <c r="J24" s="321">
        <f>'IS 2025'!I21</f>
        <v>6653</v>
      </c>
      <c r="K24" s="321">
        <f>'IS 2025'!J21</f>
        <v>6802</v>
      </c>
      <c r="L24" s="321">
        <f>'IS 2025'!K21</f>
        <v>7130</v>
      </c>
      <c r="M24" s="321">
        <f>'IS 2025'!L21</f>
        <v>8322</v>
      </c>
      <c r="N24" s="321">
        <f>'IS 2025'!M21</f>
        <v>8322</v>
      </c>
      <c r="O24" s="321">
        <f>'IS 2025'!N21</f>
        <v>7322</v>
      </c>
      <c r="P24" s="321">
        <f>'IS 2025'!O21</f>
        <v>6411</v>
      </c>
      <c r="Q24" s="321">
        <f>'IS 2025'!P21</f>
        <v>6443</v>
      </c>
      <c r="R24" s="321">
        <f>'IS 2025'!Q21</f>
        <v>6211</v>
      </c>
      <c r="S24" s="321">
        <f>'IS 2025'!R21</f>
        <v>4357</v>
      </c>
      <c r="T24" s="321">
        <f>'IS 2025'!S21</f>
        <v>4357</v>
      </c>
      <c r="U24" s="321">
        <f>'IS 2025'!T21</f>
        <v>6489</v>
      </c>
      <c r="V24" s="321">
        <f t="shared" si="4"/>
        <v>6268.1333333333332</v>
      </c>
    </row>
    <row r="25" spans="1:22" x14ac:dyDescent="0.3">
      <c r="A25" s="9"/>
      <c r="B25" s="9"/>
      <c r="C25" s="136" t="s">
        <v>274</v>
      </c>
      <c r="D25" s="9"/>
      <c r="E25" s="9"/>
      <c r="G25" s="321">
        <f t="shared" ref="G25:U25" si="5">SUM(G22:G24)</f>
        <v>11071</v>
      </c>
      <c r="H25" s="321">
        <f t="shared" si="5"/>
        <v>11071</v>
      </c>
      <c r="I25" s="321">
        <f t="shared" si="5"/>
        <v>19467</v>
      </c>
      <c r="J25" s="321">
        <f t="shared" si="5"/>
        <v>19959</v>
      </c>
      <c r="K25" s="321">
        <f t="shared" si="5"/>
        <v>20406</v>
      </c>
      <c r="L25" s="321">
        <f t="shared" si="5"/>
        <v>21390</v>
      </c>
      <c r="M25" s="321">
        <f t="shared" si="5"/>
        <v>24966</v>
      </c>
      <c r="N25" s="321">
        <f t="shared" si="5"/>
        <v>24966</v>
      </c>
      <c r="O25" s="321">
        <f t="shared" si="5"/>
        <v>23966</v>
      </c>
      <c r="P25" s="321">
        <f t="shared" si="5"/>
        <v>19133</v>
      </c>
      <c r="Q25" s="321">
        <f t="shared" si="5"/>
        <v>19048</v>
      </c>
      <c r="R25" s="321">
        <f t="shared" si="5"/>
        <v>18543</v>
      </c>
      <c r="S25" s="321">
        <f t="shared" si="5"/>
        <v>11071</v>
      </c>
      <c r="T25" s="321">
        <f t="shared" si="5"/>
        <v>11071</v>
      </c>
      <c r="U25" s="321">
        <f t="shared" si="5"/>
        <v>19467</v>
      </c>
      <c r="V25" s="321">
        <f t="shared" si="4"/>
        <v>18373</v>
      </c>
    </row>
    <row r="26" spans="1:22" x14ac:dyDescent="0.3">
      <c r="A26" s="9"/>
      <c r="B26" s="9"/>
      <c r="C26" s="404" t="s">
        <v>295</v>
      </c>
      <c r="D26" s="367"/>
      <c r="E26" s="367"/>
      <c r="F26" s="366"/>
      <c r="G26" s="333">
        <v>15000</v>
      </c>
      <c r="H26" s="333">
        <v>15000</v>
      </c>
      <c r="I26" s="333">
        <v>21000</v>
      </c>
      <c r="J26" s="333">
        <v>21000</v>
      </c>
      <c r="K26" s="333">
        <v>22000</v>
      </c>
      <c r="L26" s="333">
        <v>22000</v>
      </c>
      <c r="M26" s="333">
        <v>24000</v>
      </c>
      <c r="N26" s="333">
        <v>24000</v>
      </c>
      <c r="O26" s="333">
        <v>23000</v>
      </c>
      <c r="P26" s="333">
        <v>22000</v>
      </c>
      <c r="Q26" s="333">
        <v>21000</v>
      </c>
      <c r="R26" s="333">
        <v>21000</v>
      </c>
      <c r="S26" s="333">
        <v>16000</v>
      </c>
      <c r="T26" s="333">
        <v>16000</v>
      </c>
      <c r="U26" s="333">
        <v>21000</v>
      </c>
      <c r="V26" s="333">
        <f t="shared" si="4"/>
        <v>20266.666666666668</v>
      </c>
    </row>
    <row r="27" spans="1:22" x14ac:dyDescent="0.3">
      <c r="A27" s="9"/>
      <c r="B27" s="9"/>
      <c r="C27" s="136" t="s">
        <v>273</v>
      </c>
      <c r="D27" s="9"/>
      <c r="E27" s="9"/>
      <c r="G27" s="322">
        <f t="shared" ref="G27:U27" si="6">G25/G$25</f>
        <v>1</v>
      </c>
      <c r="H27" s="322">
        <f t="shared" si="6"/>
        <v>1</v>
      </c>
      <c r="I27" s="322">
        <f t="shared" si="6"/>
        <v>1</v>
      </c>
      <c r="J27" s="322">
        <f t="shared" si="6"/>
        <v>1</v>
      </c>
      <c r="K27" s="322">
        <f t="shared" si="6"/>
        <v>1</v>
      </c>
      <c r="L27" s="322">
        <f t="shared" si="6"/>
        <v>1</v>
      </c>
      <c r="M27" s="322">
        <f t="shared" si="6"/>
        <v>1</v>
      </c>
      <c r="N27" s="322">
        <f t="shared" si="6"/>
        <v>1</v>
      </c>
      <c r="O27" s="322">
        <f t="shared" si="6"/>
        <v>1</v>
      </c>
      <c r="P27" s="322">
        <f t="shared" si="6"/>
        <v>1</v>
      </c>
      <c r="Q27" s="322">
        <f t="shared" si="6"/>
        <v>1</v>
      </c>
      <c r="R27" s="322">
        <f t="shared" si="6"/>
        <v>1</v>
      </c>
      <c r="S27" s="322">
        <f t="shared" si="6"/>
        <v>1</v>
      </c>
      <c r="T27" s="322">
        <f t="shared" si="6"/>
        <v>1</v>
      </c>
      <c r="U27" s="322">
        <f t="shared" si="6"/>
        <v>1</v>
      </c>
      <c r="V27" s="322">
        <f>AVERAGE(G27:U27)</f>
        <v>1</v>
      </c>
    </row>
    <row r="28" spans="1:22" x14ac:dyDescent="0.3">
      <c r="A28" s="9"/>
      <c r="B28" s="9"/>
      <c r="C28" s="136"/>
      <c r="D28" s="9"/>
      <c r="E28" s="9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</row>
    <row r="29" spans="1:22" x14ac:dyDescent="0.3">
      <c r="A29" s="9"/>
      <c r="B29" s="9"/>
      <c r="C29" s="135" t="s">
        <v>286</v>
      </c>
      <c r="D29" s="9"/>
      <c r="E29" s="9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9"/>
    </row>
    <row r="30" spans="1:22" x14ac:dyDescent="0.3">
      <c r="A30" s="9"/>
      <c r="B30" s="9"/>
      <c r="C30" s="136" t="s">
        <v>282</v>
      </c>
      <c r="D30" s="9"/>
      <c r="E30" s="9"/>
      <c r="G30" s="321">
        <f>'IS 2025'!F27</f>
        <v>4357</v>
      </c>
      <c r="H30" s="321">
        <f>'IS 2025'!G27</f>
        <v>4357</v>
      </c>
      <c r="I30" s="321">
        <f>'IS 2025'!H27</f>
        <v>6489</v>
      </c>
      <c r="J30" s="321">
        <f>'IS 2025'!I27</f>
        <v>6653</v>
      </c>
      <c r="K30" s="321">
        <f>'IS 2025'!J27</f>
        <v>6802</v>
      </c>
      <c r="L30" s="321">
        <f>'IS 2025'!K27</f>
        <v>7130</v>
      </c>
      <c r="M30" s="321">
        <f>'IS 2025'!L27</f>
        <v>8322</v>
      </c>
      <c r="N30" s="321">
        <f>'IS 2025'!M27</f>
        <v>8322</v>
      </c>
      <c r="O30" s="321">
        <f>'IS 2025'!N27</f>
        <v>8322</v>
      </c>
      <c r="P30" s="321">
        <f>'IS 2025'!O27</f>
        <v>7411</v>
      </c>
      <c r="Q30" s="321">
        <f>'IS 2025'!P27</f>
        <v>7411</v>
      </c>
      <c r="R30" s="321">
        <f>'IS 2025'!Q27</f>
        <v>7704</v>
      </c>
      <c r="S30" s="321">
        <f>'IS 2025'!R27</f>
        <v>4357</v>
      </c>
      <c r="T30" s="321">
        <f>'IS 2025'!S27</f>
        <v>4357</v>
      </c>
      <c r="U30" s="321">
        <f>'IS 2025'!T27</f>
        <v>6489</v>
      </c>
      <c r="V30" s="321">
        <f>'IS 2025'!U27</f>
        <v>6565.5333333333338</v>
      </c>
    </row>
    <row r="31" spans="1:22" x14ac:dyDescent="0.3">
      <c r="A31" s="9"/>
      <c r="B31" s="9"/>
      <c r="C31" s="136" t="s">
        <v>283</v>
      </c>
      <c r="D31" s="9"/>
      <c r="E31" s="9"/>
      <c r="G31" s="321">
        <f>'IS 2025'!F28</f>
        <v>2357</v>
      </c>
      <c r="H31" s="321">
        <f>'IS 2025'!G28</f>
        <v>2357</v>
      </c>
      <c r="I31" s="321">
        <f>'IS 2025'!H28</f>
        <v>6489</v>
      </c>
      <c r="J31" s="321">
        <f>'IS 2025'!I28</f>
        <v>6653</v>
      </c>
      <c r="K31" s="321">
        <f>'IS 2025'!J28</f>
        <v>6802</v>
      </c>
      <c r="L31" s="321">
        <f>'IS 2025'!K28</f>
        <v>7130</v>
      </c>
      <c r="M31" s="321">
        <f>'IS 2025'!L28</f>
        <v>8322</v>
      </c>
      <c r="N31" s="321">
        <f>'IS 2025'!M28</f>
        <v>8322</v>
      </c>
      <c r="O31" s="321">
        <f>'IS 2025'!N28</f>
        <v>8322</v>
      </c>
      <c r="P31" s="321">
        <f>'IS 2025'!O28</f>
        <v>7411</v>
      </c>
      <c r="Q31" s="321">
        <f>'IS 2025'!P28</f>
        <v>7411</v>
      </c>
      <c r="R31" s="321">
        <f>'IS 2025'!Q28</f>
        <v>7704</v>
      </c>
      <c r="S31" s="321">
        <f>'IS 2025'!R28</f>
        <v>2357</v>
      </c>
      <c r="T31" s="321">
        <f>'IS 2025'!S28</f>
        <v>2357</v>
      </c>
      <c r="U31" s="321">
        <f>'IS 2025'!T28</f>
        <v>6489</v>
      </c>
      <c r="V31" s="321">
        <f>'IS 2025'!U28</f>
        <v>6032.2</v>
      </c>
    </row>
    <row r="32" spans="1:22" x14ac:dyDescent="0.3">
      <c r="A32" s="9"/>
      <c r="B32" s="9"/>
      <c r="C32" s="136" t="s">
        <v>284</v>
      </c>
      <c r="D32" s="9"/>
      <c r="E32" s="9"/>
      <c r="G32" s="321">
        <f>'IS 2025'!F29</f>
        <v>3357</v>
      </c>
      <c r="H32" s="321">
        <f>'IS 2025'!G29</f>
        <v>3357</v>
      </c>
      <c r="I32" s="321">
        <f>'IS 2025'!H29</f>
        <v>6489</v>
      </c>
      <c r="J32" s="321">
        <f>'IS 2025'!I29</f>
        <v>6653</v>
      </c>
      <c r="K32" s="321">
        <f>'IS 2025'!J29</f>
        <v>6802</v>
      </c>
      <c r="L32" s="321">
        <f>'IS 2025'!K29</f>
        <v>7130</v>
      </c>
      <c r="M32" s="321">
        <f>'IS 2025'!L29</f>
        <v>8322</v>
      </c>
      <c r="N32" s="321">
        <f>'IS 2025'!M29</f>
        <v>8322</v>
      </c>
      <c r="O32" s="321">
        <f>'IS 2025'!N29</f>
        <v>8322</v>
      </c>
      <c r="P32" s="321">
        <f>'IS 2025'!O29</f>
        <v>7411</v>
      </c>
      <c r="Q32" s="321">
        <f>'IS 2025'!P29</f>
        <v>7411</v>
      </c>
      <c r="R32" s="321">
        <f>'IS 2025'!Q29</f>
        <v>7704</v>
      </c>
      <c r="S32" s="321">
        <f>'IS 2025'!R29</f>
        <v>3357</v>
      </c>
      <c r="T32" s="321">
        <f>'IS 2025'!S29</f>
        <v>3357</v>
      </c>
      <c r="U32" s="321">
        <f>'IS 2025'!T29</f>
        <v>6489</v>
      </c>
      <c r="V32" s="321">
        <f>'IS 2025'!U29</f>
        <v>6298.8666666666668</v>
      </c>
    </row>
    <row r="33" spans="1:22" x14ac:dyDescent="0.3">
      <c r="A33" s="9"/>
      <c r="B33" s="9"/>
      <c r="C33" s="136" t="s">
        <v>274</v>
      </c>
      <c r="D33" s="9"/>
      <c r="E33" s="9"/>
      <c r="G33" s="321">
        <f t="shared" ref="G33:U33" si="7">SUM(G30:G32)</f>
        <v>10071</v>
      </c>
      <c r="H33" s="321">
        <f t="shared" si="7"/>
        <v>10071</v>
      </c>
      <c r="I33" s="321">
        <f t="shared" si="7"/>
        <v>19467</v>
      </c>
      <c r="J33" s="321">
        <f t="shared" si="7"/>
        <v>19959</v>
      </c>
      <c r="K33" s="321">
        <f t="shared" si="7"/>
        <v>20406</v>
      </c>
      <c r="L33" s="321">
        <f t="shared" si="7"/>
        <v>21390</v>
      </c>
      <c r="M33" s="321">
        <f t="shared" si="7"/>
        <v>24966</v>
      </c>
      <c r="N33" s="321">
        <f t="shared" si="7"/>
        <v>24966</v>
      </c>
      <c r="O33" s="321">
        <f t="shared" si="7"/>
        <v>24966</v>
      </c>
      <c r="P33" s="321">
        <f t="shared" si="7"/>
        <v>22233</v>
      </c>
      <c r="Q33" s="321">
        <f t="shared" si="7"/>
        <v>22233</v>
      </c>
      <c r="R33" s="321">
        <f>SUM(R30:R32)</f>
        <v>23112</v>
      </c>
      <c r="S33" s="321">
        <f t="shared" si="7"/>
        <v>10071</v>
      </c>
      <c r="T33" s="321">
        <f t="shared" si="7"/>
        <v>10071</v>
      </c>
      <c r="U33" s="321">
        <f t="shared" si="7"/>
        <v>19467</v>
      </c>
      <c r="V33" s="321">
        <f t="shared" ref="V33:V34" si="8">AVERAGE(G33:U33)</f>
        <v>18896.599999999999</v>
      </c>
    </row>
    <row r="34" spans="1:22" x14ac:dyDescent="0.3">
      <c r="A34" s="9"/>
      <c r="B34" s="9"/>
      <c r="C34" s="404" t="s">
        <v>295</v>
      </c>
      <c r="D34" s="367"/>
      <c r="E34" s="367"/>
      <c r="F34" s="366"/>
      <c r="G34" s="333">
        <v>15000</v>
      </c>
      <c r="H34" s="333">
        <v>15000</v>
      </c>
      <c r="I34" s="333">
        <v>25000</v>
      </c>
      <c r="J34" s="333">
        <v>25000</v>
      </c>
      <c r="K34" s="333">
        <v>25000</v>
      </c>
      <c r="L34" s="333">
        <v>25000</v>
      </c>
      <c r="M34" s="333">
        <v>25000</v>
      </c>
      <c r="N34" s="333">
        <v>25000</v>
      </c>
      <c r="O34" s="333">
        <v>25000</v>
      </c>
      <c r="P34" s="333">
        <v>25000</v>
      </c>
      <c r="Q34" s="333">
        <v>25000</v>
      </c>
      <c r="R34" s="333">
        <v>25000</v>
      </c>
      <c r="S34" s="333">
        <v>25000</v>
      </c>
      <c r="T34" s="333">
        <v>25000</v>
      </c>
      <c r="U34" s="333">
        <v>25000</v>
      </c>
      <c r="V34" s="333">
        <f t="shared" si="8"/>
        <v>23666.666666666668</v>
      </c>
    </row>
    <row r="35" spans="1:22" x14ac:dyDescent="0.3">
      <c r="A35" s="9"/>
      <c r="B35" s="9"/>
      <c r="C35" s="136" t="s">
        <v>273</v>
      </c>
      <c r="D35" s="9"/>
      <c r="E35" s="9"/>
      <c r="F35" s="322"/>
      <c r="G35" s="322">
        <f t="shared" ref="G35:U35" si="9">G33/G$33</f>
        <v>1</v>
      </c>
      <c r="H35" s="322">
        <f t="shared" si="9"/>
        <v>1</v>
      </c>
      <c r="I35" s="322">
        <f t="shared" si="9"/>
        <v>1</v>
      </c>
      <c r="J35" s="322">
        <f t="shared" si="9"/>
        <v>1</v>
      </c>
      <c r="K35" s="322">
        <f t="shared" si="9"/>
        <v>1</v>
      </c>
      <c r="L35" s="322">
        <f t="shared" si="9"/>
        <v>1</v>
      </c>
      <c r="M35" s="322">
        <f t="shared" si="9"/>
        <v>1</v>
      </c>
      <c r="N35" s="322">
        <f t="shared" si="9"/>
        <v>1</v>
      </c>
      <c r="O35" s="322">
        <f t="shared" si="9"/>
        <v>1</v>
      </c>
      <c r="P35" s="322">
        <f t="shared" si="9"/>
        <v>1</v>
      </c>
      <c r="Q35" s="322">
        <f t="shared" si="9"/>
        <v>1</v>
      </c>
      <c r="R35" s="322">
        <f t="shared" si="9"/>
        <v>1</v>
      </c>
      <c r="S35" s="322">
        <f t="shared" si="9"/>
        <v>1</v>
      </c>
      <c r="T35" s="322">
        <f t="shared" si="9"/>
        <v>1</v>
      </c>
      <c r="U35" s="322">
        <f t="shared" si="9"/>
        <v>1</v>
      </c>
      <c r="V35" s="322">
        <f>AVERAGE(G35:U35)</f>
        <v>1</v>
      </c>
    </row>
    <row r="36" spans="1:22" x14ac:dyDescent="0.3">
      <c r="B36" s="341" t="s">
        <v>38</v>
      </c>
      <c r="G36" s="369">
        <v>-200</v>
      </c>
      <c r="H36" s="369">
        <v>-200</v>
      </c>
      <c r="I36" s="369">
        <v>-200</v>
      </c>
      <c r="J36" s="369">
        <v>-200</v>
      </c>
      <c r="K36" s="369">
        <v>-200</v>
      </c>
      <c r="L36" s="369">
        <v>-200</v>
      </c>
      <c r="M36" s="369">
        <v>-200</v>
      </c>
      <c r="N36" s="369">
        <v>-200</v>
      </c>
      <c r="O36" s="369">
        <v>-200</v>
      </c>
      <c r="P36" s="369">
        <v>-200</v>
      </c>
      <c r="Q36" s="369">
        <v>-200</v>
      </c>
      <c r="R36" s="369">
        <v>-200</v>
      </c>
      <c r="S36" s="369">
        <v>-200</v>
      </c>
      <c r="T36" s="369">
        <v>-200</v>
      </c>
      <c r="U36" s="369">
        <v>-200</v>
      </c>
      <c r="V36" s="369">
        <f>SUM(G36:R36)</f>
        <v>-2400</v>
      </c>
    </row>
    <row r="37" spans="1:22" x14ac:dyDescent="0.3">
      <c r="B37" s="341" t="s">
        <v>146</v>
      </c>
      <c r="G37" s="351">
        <f>'IS 2025'!F79</f>
        <v>-3870</v>
      </c>
      <c r="H37" s="351">
        <f>'IS 2025'!G79</f>
        <v>-3705</v>
      </c>
      <c r="I37" s="351">
        <f>'IS 2025'!H79</f>
        <v>-3540</v>
      </c>
      <c r="J37" s="351">
        <f>'IS 2025'!I79</f>
        <v>-3375</v>
      </c>
      <c r="K37" s="351">
        <f>'IS 2025'!J79</f>
        <v>-3210</v>
      </c>
      <c r="L37" s="351">
        <f>'IS 2025'!K79</f>
        <v>-3045</v>
      </c>
      <c r="M37" s="351">
        <f>'IS 2025'!L79</f>
        <v>-2880</v>
      </c>
      <c r="N37" s="351">
        <f>'IS 2025'!M79</f>
        <v>-2715</v>
      </c>
      <c r="O37" s="351">
        <f>'IS 2025'!N79</f>
        <v>-2550</v>
      </c>
      <c r="P37" s="351">
        <f>'IS 2025'!O79</f>
        <v>-2385</v>
      </c>
      <c r="Q37" s="351">
        <f>'IS 2025'!P79</f>
        <v>-2220</v>
      </c>
      <c r="R37" s="351">
        <f>'IS 2025'!Q79</f>
        <v>-2055</v>
      </c>
      <c r="S37" s="351">
        <f>'IS 2025'!R79</f>
        <v>-1890</v>
      </c>
      <c r="T37" s="351">
        <f>'IS 2025'!S79</f>
        <v>-1725</v>
      </c>
      <c r="U37" s="351">
        <f>'IS 2025'!T79</f>
        <v>-1560</v>
      </c>
    </row>
    <row r="38" spans="1:22" x14ac:dyDescent="0.3">
      <c r="B38" s="341" t="s">
        <v>147</v>
      </c>
      <c r="G38" s="369">
        <f>'IS 2025'!F81</f>
        <v>-2769.6000000000004</v>
      </c>
      <c r="H38" s="369">
        <f>'IS 2025'!G81</f>
        <v>-2769.6000000000004</v>
      </c>
      <c r="I38" s="369">
        <f>'IS 2025'!H81</f>
        <v>-6328</v>
      </c>
      <c r="J38" s="369">
        <f>'IS 2025'!I81</f>
        <v>-7777</v>
      </c>
      <c r="K38" s="369">
        <f>'IS 2025'!J81</f>
        <v>-7986.4000000000005</v>
      </c>
      <c r="L38" s="369">
        <f>'IS 2025'!K81</f>
        <v>-8380</v>
      </c>
      <c r="M38" s="369">
        <f>'IS 2025'!L81</f>
        <v>-9816.6</v>
      </c>
      <c r="N38" s="369">
        <f>'IS 2025'!M81</f>
        <v>-9810.4</v>
      </c>
      <c r="O38" s="369">
        <f>'IS 2025'!N81</f>
        <v>-9612.8000000000011</v>
      </c>
      <c r="P38" s="369">
        <f>'IS 2025'!O81</f>
        <v>-8099.6</v>
      </c>
      <c r="Q38" s="369">
        <f>'IS 2025'!P81</f>
        <v>-8080.2000000000007</v>
      </c>
      <c r="R38" s="369">
        <f>'IS 2025'!Q81</f>
        <v>-8194.2000000000007</v>
      </c>
      <c r="S38" s="369">
        <f>'IS 2025'!R81</f>
        <v>-4071.8</v>
      </c>
      <c r="T38" s="369">
        <f>'IS 2025'!S81</f>
        <v>-4071.8</v>
      </c>
      <c r="U38" s="369">
        <f>'IS 2025'!T81</f>
        <v>-7630.2000000000007</v>
      </c>
    </row>
    <row r="39" spans="1:22" x14ac:dyDescent="0.3">
      <c r="B39" s="34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</row>
    <row r="40" spans="1:22" x14ac:dyDescent="0.3">
      <c r="A40" s="147"/>
      <c r="B40" s="176" t="s">
        <v>148</v>
      </c>
      <c r="C40" s="147"/>
      <c r="D40" s="147"/>
      <c r="E40" s="147"/>
      <c r="F40" s="147"/>
      <c r="G40" s="201">
        <f>'IS 2025'!F34</f>
        <v>31047</v>
      </c>
      <c r="H40" s="201">
        <f>'IS 2025'!G34</f>
        <v>31047</v>
      </c>
      <c r="I40" s="201">
        <f>'IS 2025'!H34</f>
        <v>48839</v>
      </c>
      <c r="J40" s="201">
        <f>'IS 2025'!I34</f>
        <v>52523</v>
      </c>
      <c r="K40" s="201">
        <f>'IS 2025'!J34</f>
        <v>53570</v>
      </c>
      <c r="L40" s="201">
        <f>'IS 2025'!K34</f>
        <v>55538</v>
      </c>
      <c r="M40" s="201">
        <f>'IS 2025'!L34</f>
        <v>62721</v>
      </c>
      <c r="N40" s="201">
        <f>'IS 2025'!M34</f>
        <v>62690</v>
      </c>
      <c r="O40" s="201">
        <f>'IS 2025'!N34</f>
        <v>61702</v>
      </c>
      <c r="P40" s="201">
        <f>'IS 2025'!O34</f>
        <v>54136</v>
      </c>
      <c r="Q40" s="201">
        <f>'IS 2025'!P34</f>
        <v>54039</v>
      </c>
      <c r="R40" s="201">
        <f>'IS 2025'!Q34</f>
        <v>54409</v>
      </c>
      <c r="S40" s="201">
        <f>'IS 2025'!R34</f>
        <v>33797</v>
      </c>
      <c r="T40" s="201">
        <f>'IS 2025'!S34</f>
        <v>33797</v>
      </c>
      <c r="U40" s="201">
        <f>'IS 2025'!T34</f>
        <v>51589</v>
      </c>
      <c r="V40" s="201">
        <f>SUM(G40:R40)</f>
        <v>622261</v>
      </c>
    </row>
    <row r="41" spans="1:22" x14ac:dyDescent="0.3">
      <c r="A41" s="148"/>
      <c r="B41" s="193" t="s">
        <v>149</v>
      </c>
      <c r="C41" s="148"/>
      <c r="D41" s="148"/>
      <c r="E41" s="148"/>
      <c r="F41" s="148"/>
      <c r="G41" s="416">
        <f>SUM(G36:G38)</f>
        <v>-6839.6</v>
      </c>
      <c r="H41" s="416">
        <f t="shared" ref="H41:U41" si="10">SUM(H36:H38)</f>
        <v>-6674.6</v>
      </c>
      <c r="I41" s="416">
        <f t="shared" si="10"/>
        <v>-10068</v>
      </c>
      <c r="J41" s="416">
        <f t="shared" si="10"/>
        <v>-11352</v>
      </c>
      <c r="K41" s="416">
        <f t="shared" si="10"/>
        <v>-11396.400000000001</v>
      </c>
      <c r="L41" s="416">
        <f t="shared" si="10"/>
        <v>-11625</v>
      </c>
      <c r="M41" s="416">
        <f t="shared" si="10"/>
        <v>-12896.6</v>
      </c>
      <c r="N41" s="416">
        <f t="shared" si="10"/>
        <v>-12725.4</v>
      </c>
      <c r="O41" s="416">
        <f t="shared" si="10"/>
        <v>-12362.800000000001</v>
      </c>
      <c r="P41" s="416">
        <f t="shared" si="10"/>
        <v>-10684.6</v>
      </c>
      <c r="Q41" s="416">
        <f t="shared" si="10"/>
        <v>-10500.2</v>
      </c>
      <c r="R41" s="416">
        <f t="shared" si="10"/>
        <v>-10449.200000000001</v>
      </c>
      <c r="S41" s="416">
        <f t="shared" si="10"/>
        <v>-6161.8</v>
      </c>
      <c r="T41" s="416">
        <f t="shared" si="10"/>
        <v>-5996.8</v>
      </c>
      <c r="U41" s="416">
        <f t="shared" si="10"/>
        <v>-9390.2000000000007</v>
      </c>
      <c r="V41" s="418">
        <f>SUM(G41:R41)</f>
        <v>-127574.39999999999</v>
      </c>
    </row>
    <row r="42" spans="1:22" s="9" customFormat="1" x14ac:dyDescent="0.3">
      <c r="A42" s="344"/>
      <c r="B42" s="347"/>
      <c r="C42" s="344"/>
      <c r="D42" s="344"/>
      <c r="E42" s="344"/>
      <c r="F42" s="34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372"/>
    </row>
    <row r="43" spans="1:22" x14ac:dyDescent="0.3">
      <c r="B43" s="357" t="s">
        <v>150</v>
      </c>
      <c r="C43" s="357"/>
      <c r="D43" s="357"/>
      <c r="E43" s="357"/>
      <c r="F43" s="357"/>
      <c r="G43" s="321">
        <f>SUM(G40:G41)</f>
        <v>24207.4</v>
      </c>
      <c r="H43" s="321">
        <f t="shared" ref="H43:R43" si="11">SUM(H40:H41)</f>
        <v>24372.400000000001</v>
      </c>
      <c r="I43" s="321">
        <f t="shared" si="11"/>
        <v>38771</v>
      </c>
      <c r="J43" s="321">
        <f t="shared" si="11"/>
        <v>41171</v>
      </c>
      <c r="K43" s="321">
        <f t="shared" si="11"/>
        <v>42173.599999999999</v>
      </c>
      <c r="L43" s="321">
        <f t="shared" si="11"/>
        <v>43913</v>
      </c>
      <c r="M43" s="321">
        <f t="shared" si="11"/>
        <v>49824.4</v>
      </c>
      <c r="N43" s="321">
        <f t="shared" si="11"/>
        <v>49964.6</v>
      </c>
      <c r="O43" s="321">
        <f t="shared" si="11"/>
        <v>49339.199999999997</v>
      </c>
      <c r="P43" s="321">
        <f t="shared" si="11"/>
        <v>43451.4</v>
      </c>
      <c r="Q43" s="321">
        <f t="shared" si="11"/>
        <v>43538.8</v>
      </c>
      <c r="R43" s="321">
        <f t="shared" si="11"/>
        <v>43959.8</v>
      </c>
      <c r="S43" s="321">
        <f>'CF 2026'!G42</f>
        <v>24168.6</v>
      </c>
      <c r="T43" s="321">
        <f>'CF 2026'!H42</f>
        <v>24333.599999999999</v>
      </c>
      <c r="U43" s="321">
        <f>'CF 2026'!I42</f>
        <v>38732.199999999997</v>
      </c>
      <c r="V43" s="321">
        <f>SUM(G43:R43)</f>
        <v>494686.6</v>
      </c>
    </row>
    <row r="44" spans="1:22" ht="15" customHeight="1" x14ac:dyDescent="0.3">
      <c r="B44" s="357" t="s">
        <v>194</v>
      </c>
      <c r="C44" s="357"/>
      <c r="D44" s="357"/>
      <c r="E44" s="357"/>
      <c r="F44" s="357"/>
      <c r="G44" s="321">
        <f>G43-'IS 2025'!F77</f>
        <v>26057.4</v>
      </c>
      <c r="H44" s="321">
        <f>H43-'IS 2025'!G77</f>
        <v>26222.400000000001</v>
      </c>
      <c r="I44" s="321">
        <f>I43-'IS 2025'!H77</f>
        <v>40621</v>
      </c>
      <c r="J44" s="321">
        <f>J43-'IS 2025'!I77</f>
        <v>42882</v>
      </c>
      <c r="K44" s="321">
        <f>K43-'IS 2025'!J77</f>
        <v>43884.6</v>
      </c>
      <c r="L44" s="321">
        <f>L43-'IS 2025'!K77</f>
        <v>45624</v>
      </c>
      <c r="M44" s="321">
        <f>M43-'IS 2025'!L77</f>
        <v>51535.4</v>
      </c>
      <c r="N44" s="321">
        <f>N43-'IS 2025'!M77</f>
        <v>51675.6</v>
      </c>
      <c r="O44" s="321">
        <f>O43-'IS 2025'!N77</f>
        <v>51050.2</v>
      </c>
      <c r="P44" s="321">
        <f>P43-'IS 2025'!O77</f>
        <v>45162.400000000001</v>
      </c>
      <c r="Q44" s="321">
        <f>Q43-'IS 2025'!P77</f>
        <v>45249.8</v>
      </c>
      <c r="R44" s="321">
        <f>R43-'IS 2025'!Q77</f>
        <v>45870.8</v>
      </c>
      <c r="S44" s="321">
        <f>S43-'IS 2025'!R77</f>
        <v>26079.599999999999</v>
      </c>
      <c r="T44" s="321">
        <f>T43-'IS 2025'!S77</f>
        <v>26244.6</v>
      </c>
      <c r="U44" s="321">
        <f>U43-'IS 2025'!T77</f>
        <v>40643.199999999997</v>
      </c>
      <c r="V44" s="150"/>
    </row>
    <row r="45" spans="1:22" ht="15" customHeight="1" x14ac:dyDescent="0.3">
      <c r="B45" s="358" t="s">
        <v>151</v>
      </c>
      <c r="C45" s="357"/>
      <c r="D45" s="357"/>
      <c r="E45" s="357"/>
      <c r="F45" s="357"/>
      <c r="G45" s="334" t="s">
        <v>190</v>
      </c>
      <c r="H45" s="334" t="s">
        <v>190</v>
      </c>
      <c r="I45" s="334" t="s">
        <v>190</v>
      </c>
      <c r="J45" s="334" t="s">
        <v>190</v>
      </c>
      <c r="K45" s="334" t="s">
        <v>190</v>
      </c>
      <c r="L45" s="334" t="s">
        <v>190</v>
      </c>
      <c r="M45" s="334" t="s">
        <v>190</v>
      </c>
      <c r="N45" s="334" t="s">
        <v>190</v>
      </c>
      <c r="O45" s="334" t="s">
        <v>190</v>
      </c>
      <c r="P45" s="334" t="s">
        <v>190</v>
      </c>
      <c r="Q45" s="334" t="s">
        <v>190</v>
      </c>
      <c r="R45" s="334" t="s">
        <v>190</v>
      </c>
      <c r="S45" s="334" t="s">
        <v>190</v>
      </c>
      <c r="T45" s="334" t="s">
        <v>190</v>
      </c>
      <c r="U45" s="334" t="s">
        <v>190</v>
      </c>
      <c r="V45" s="340"/>
    </row>
    <row r="46" spans="1:22" ht="15" customHeight="1" x14ac:dyDescent="0.3">
      <c r="B46" s="359" t="s">
        <v>152</v>
      </c>
      <c r="C46" s="357"/>
      <c r="D46" s="357"/>
      <c r="E46" s="357"/>
      <c r="F46" s="357"/>
      <c r="G46" s="334" t="s">
        <v>190</v>
      </c>
      <c r="H46" s="334" t="s">
        <v>190</v>
      </c>
      <c r="I46" s="334" t="s">
        <v>190</v>
      </c>
      <c r="J46" s="334" t="s">
        <v>190</v>
      </c>
      <c r="K46" s="334" t="s">
        <v>190</v>
      </c>
      <c r="L46" s="334" t="s">
        <v>190</v>
      </c>
      <c r="M46" s="334" t="s">
        <v>190</v>
      </c>
      <c r="N46" s="334" t="s">
        <v>190</v>
      </c>
      <c r="O46" s="334" t="s">
        <v>190</v>
      </c>
      <c r="P46" s="334" t="s">
        <v>190</v>
      </c>
      <c r="Q46" s="334" t="s">
        <v>190</v>
      </c>
      <c r="R46" s="334" t="s">
        <v>190</v>
      </c>
      <c r="S46" s="334" t="s">
        <v>190</v>
      </c>
      <c r="T46" s="334" t="s">
        <v>190</v>
      </c>
      <c r="U46" s="334" t="s">
        <v>190</v>
      </c>
      <c r="V46" s="340"/>
    </row>
    <row r="47" spans="1:22" ht="15" customHeight="1" x14ac:dyDescent="0.3">
      <c r="B47" s="360" t="s">
        <v>116</v>
      </c>
      <c r="C47" s="357"/>
      <c r="D47" s="357"/>
      <c r="E47" s="357"/>
      <c r="F47" s="357"/>
      <c r="G47" s="334" t="s">
        <v>190</v>
      </c>
      <c r="H47" s="334" t="s">
        <v>190</v>
      </c>
      <c r="I47" s="334" t="s">
        <v>190</v>
      </c>
      <c r="J47" s="334" t="s">
        <v>190</v>
      </c>
      <c r="K47" s="334" t="s">
        <v>190</v>
      </c>
      <c r="L47" s="334" t="s">
        <v>190</v>
      </c>
      <c r="M47" s="334" t="s">
        <v>190</v>
      </c>
      <c r="N47" s="334" t="s">
        <v>190</v>
      </c>
      <c r="O47" s="334" t="s">
        <v>190</v>
      </c>
      <c r="P47" s="334" t="s">
        <v>190</v>
      </c>
      <c r="Q47" s="334" t="s">
        <v>190</v>
      </c>
      <c r="R47" s="334" t="s">
        <v>190</v>
      </c>
      <c r="S47" s="334" t="s">
        <v>190</v>
      </c>
      <c r="T47" s="334" t="s">
        <v>190</v>
      </c>
      <c r="U47" s="334" t="s">
        <v>190</v>
      </c>
      <c r="V47" s="340"/>
    </row>
    <row r="48" spans="1:22" ht="15" customHeight="1" x14ac:dyDescent="0.3">
      <c r="B48" s="359" t="s">
        <v>153</v>
      </c>
      <c r="C48" s="357"/>
      <c r="D48" s="357"/>
      <c r="E48" s="357"/>
      <c r="F48" s="357"/>
      <c r="G48" s="334">
        <v>0</v>
      </c>
      <c r="H48" s="334">
        <v>0</v>
      </c>
      <c r="I48" s="334">
        <v>0</v>
      </c>
      <c r="J48" s="334">
        <v>0</v>
      </c>
      <c r="K48" s="334">
        <v>0</v>
      </c>
      <c r="L48" s="334">
        <v>0</v>
      </c>
      <c r="M48" s="334">
        <v>0</v>
      </c>
      <c r="N48" s="334">
        <v>0</v>
      </c>
      <c r="O48" s="334">
        <v>0</v>
      </c>
      <c r="P48" s="334">
        <v>0</v>
      </c>
      <c r="Q48" s="334">
        <v>0</v>
      </c>
      <c r="R48" s="334">
        <v>0</v>
      </c>
      <c r="S48" s="334">
        <v>0</v>
      </c>
      <c r="T48" s="334">
        <v>0</v>
      </c>
      <c r="U48" s="334">
        <v>0</v>
      </c>
      <c r="V48" s="340"/>
    </row>
    <row r="49" spans="2:22" ht="15" customHeight="1" x14ac:dyDescent="0.3">
      <c r="B49" s="362" t="s">
        <v>154</v>
      </c>
      <c r="C49" s="357"/>
      <c r="D49" s="357"/>
      <c r="E49" s="357"/>
      <c r="F49" s="357"/>
      <c r="G49" s="334" t="s">
        <v>190</v>
      </c>
      <c r="H49" s="334" t="s">
        <v>190</v>
      </c>
      <c r="I49" s="334" t="s">
        <v>190</v>
      </c>
      <c r="J49" s="334" t="s">
        <v>190</v>
      </c>
      <c r="K49" s="334" t="s">
        <v>190</v>
      </c>
      <c r="L49" s="334" t="s">
        <v>190</v>
      </c>
      <c r="M49" s="334" t="s">
        <v>190</v>
      </c>
      <c r="N49" s="334" t="s">
        <v>190</v>
      </c>
      <c r="O49" s="334" t="s">
        <v>190</v>
      </c>
      <c r="P49" s="334" t="s">
        <v>190</v>
      </c>
      <c r="Q49" s="334" t="s">
        <v>190</v>
      </c>
      <c r="R49" s="334" t="s">
        <v>190</v>
      </c>
      <c r="S49" s="334" t="s">
        <v>190</v>
      </c>
      <c r="T49" s="334" t="s">
        <v>190</v>
      </c>
      <c r="U49" s="334" t="s">
        <v>190</v>
      </c>
      <c r="V49" s="340"/>
    </row>
    <row r="50" spans="2:22" ht="15" customHeight="1" x14ac:dyDescent="0.3">
      <c r="B50" s="341" t="s">
        <v>155</v>
      </c>
      <c r="C50" s="340"/>
      <c r="D50" s="340"/>
      <c r="E50" s="340"/>
      <c r="F50" s="340"/>
      <c r="G50" s="334" t="s">
        <v>190</v>
      </c>
      <c r="H50" s="334" t="s">
        <v>190</v>
      </c>
      <c r="I50" s="334" t="s">
        <v>190</v>
      </c>
      <c r="J50" s="334" t="s">
        <v>190</v>
      </c>
      <c r="K50" s="334" t="s">
        <v>190</v>
      </c>
      <c r="L50" s="334" t="s">
        <v>190</v>
      </c>
      <c r="M50" s="334" t="s">
        <v>190</v>
      </c>
      <c r="N50" s="334" t="s">
        <v>190</v>
      </c>
      <c r="O50" s="334" t="s">
        <v>190</v>
      </c>
      <c r="P50" s="334" t="s">
        <v>190</v>
      </c>
      <c r="Q50" s="334" t="s">
        <v>190</v>
      </c>
      <c r="R50" s="334" t="s">
        <v>190</v>
      </c>
      <c r="S50" s="334" t="s">
        <v>190</v>
      </c>
      <c r="T50" s="334" t="s">
        <v>190</v>
      </c>
      <c r="U50" s="334" t="s">
        <v>190</v>
      </c>
      <c r="V50" s="340"/>
    </row>
    <row r="51" spans="2:22" ht="15" customHeight="1" x14ac:dyDescent="0.3">
      <c r="B51" s="363" t="s">
        <v>116</v>
      </c>
      <c r="C51" s="340"/>
      <c r="D51" s="340"/>
      <c r="E51" s="340"/>
      <c r="F51" s="340"/>
      <c r="G51" s="334" t="s">
        <v>190</v>
      </c>
      <c r="H51" s="334" t="s">
        <v>190</v>
      </c>
      <c r="I51" s="334" t="s">
        <v>190</v>
      </c>
      <c r="J51" s="334" t="s">
        <v>190</v>
      </c>
      <c r="K51" s="334" t="s">
        <v>190</v>
      </c>
      <c r="L51" s="334" t="s">
        <v>190</v>
      </c>
      <c r="M51" s="334" t="s">
        <v>190</v>
      </c>
      <c r="N51" s="334" t="s">
        <v>190</v>
      </c>
      <c r="O51" s="334" t="s">
        <v>190</v>
      </c>
      <c r="P51" s="334" t="s">
        <v>190</v>
      </c>
      <c r="Q51" s="334" t="s">
        <v>190</v>
      </c>
      <c r="R51" s="334" t="s">
        <v>190</v>
      </c>
      <c r="S51" s="334" t="s">
        <v>190</v>
      </c>
      <c r="T51" s="334" t="s">
        <v>190</v>
      </c>
      <c r="U51" s="334" t="s">
        <v>190</v>
      </c>
      <c r="V51" s="340"/>
    </row>
    <row r="52" spans="2:22" ht="15" customHeight="1" x14ac:dyDescent="0.3">
      <c r="B52" s="363" t="s">
        <v>117</v>
      </c>
      <c r="C52" s="340"/>
      <c r="D52" s="340"/>
      <c r="E52" s="340"/>
      <c r="F52" s="340"/>
      <c r="G52" s="334" t="s">
        <v>190</v>
      </c>
      <c r="H52" s="334" t="s">
        <v>190</v>
      </c>
      <c r="I52" s="334" t="s">
        <v>190</v>
      </c>
      <c r="J52" s="334" t="s">
        <v>190</v>
      </c>
      <c r="K52" s="334" t="s">
        <v>190</v>
      </c>
      <c r="L52" s="334" t="s">
        <v>190</v>
      </c>
      <c r="M52" s="334" t="s">
        <v>190</v>
      </c>
      <c r="N52" s="334" t="s">
        <v>190</v>
      </c>
      <c r="O52" s="334" t="s">
        <v>190</v>
      </c>
      <c r="P52" s="334" t="s">
        <v>190</v>
      </c>
      <c r="Q52" s="334" t="s">
        <v>190</v>
      </c>
      <c r="R52" s="334" t="s">
        <v>190</v>
      </c>
      <c r="S52" s="334" t="s">
        <v>190</v>
      </c>
      <c r="T52" s="334" t="s">
        <v>190</v>
      </c>
      <c r="U52" s="334" t="s">
        <v>190</v>
      </c>
      <c r="V52" s="340"/>
    </row>
    <row r="53" spans="2:22" ht="15" customHeight="1" x14ac:dyDescent="0.3">
      <c r="B53" s="363" t="s">
        <v>118</v>
      </c>
      <c r="C53" s="340"/>
      <c r="D53" s="340"/>
      <c r="E53" s="340"/>
      <c r="F53" s="340"/>
      <c r="G53" s="334" t="s">
        <v>190</v>
      </c>
      <c r="H53" s="334" t="s">
        <v>190</v>
      </c>
      <c r="I53" s="334" t="s">
        <v>190</v>
      </c>
      <c r="J53" s="334" t="s">
        <v>190</v>
      </c>
      <c r="K53" s="334" t="s">
        <v>190</v>
      </c>
      <c r="L53" s="334" t="s">
        <v>190</v>
      </c>
      <c r="M53" s="334" t="s">
        <v>190</v>
      </c>
      <c r="N53" s="334" t="s">
        <v>190</v>
      </c>
      <c r="O53" s="334" t="s">
        <v>190</v>
      </c>
      <c r="P53" s="334" t="s">
        <v>190</v>
      </c>
      <c r="Q53" s="334" t="s">
        <v>190</v>
      </c>
      <c r="R53" s="334" t="s">
        <v>190</v>
      </c>
      <c r="S53" s="334" t="s">
        <v>190</v>
      </c>
      <c r="T53" s="334" t="s">
        <v>190</v>
      </c>
      <c r="U53" s="334" t="s">
        <v>190</v>
      </c>
      <c r="V53" s="340"/>
    </row>
    <row r="54" spans="2:22" ht="15" customHeight="1" x14ac:dyDescent="0.3">
      <c r="B54" s="341" t="s">
        <v>156</v>
      </c>
      <c r="C54" s="340"/>
      <c r="D54" s="340"/>
      <c r="E54" s="340"/>
      <c r="F54" s="340"/>
      <c r="G54" s="371">
        <v>-3300</v>
      </c>
      <c r="H54" s="371">
        <v>-3300</v>
      </c>
      <c r="I54" s="371">
        <v>-3300</v>
      </c>
      <c r="J54" s="371">
        <v>-3300</v>
      </c>
      <c r="K54" s="371">
        <v>-3300</v>
      </c>
      <c r="L54" s="371">
        <v>-3300</v>
      </c>
      <c r="M54" s="371">
        <v>-3300</v>
      </c>
      <c r="N54" s="371">
        <v>-3300</v>
      </c>
      <c r="O54" s="371">
        <v>-3300</v>
      </c>
      <c r="P54" s="371">
        <v>-3300</v>
      </c>
      <c r="Q54" s="371">
        <v>-3300</v>
      </c>
      <c r="R54" s="371">
        <v>-3300</v>
      </c>
      <c r="S54" s="371">
        <v>-3300</v>
      </c>
      <c r="T54" s="371">
        <v>-3300</v>
      </c>
      <c r="U54" s="371">
        <v>-3300</v>
      </c>
      <c r="V54" s="419">
        <f>SUM(G50:R54)</f>
        <v>-39600</v>
      </c>
    </row>
    <row r="55" spans="2:22" ht="15" customHeight="1" x14ac:dyDescent="0.3">
      <c r="B55" s="363" t="s">
        <v>116</v>
      </c>
      <c r="C55" s="340"/>
      <c r="D55" s="340"/>
      <c r="E55" s="340"/>
      <c r="F55" s="340"/>
      <c r="G55" s="364" t="s">
        <v>190</v>
      </c>
      <c r="H55" s="364" t="s">
        <v>190</v>
      </c>
      <c r="I55" s="364" t="s">
        <v>190</v>
      </c>
      <c r="J55" s="364" t="s">
        <v>190</v>
      </c>
      <c r="K55" s="364" t="s">
        <v>190</v>
      </c>
      <c r="L55" s="364" t="s">
        <v>190</v>
      </c>
      <c r="M55" s="364" t="s">
        <v>190</v>
      </c>
      <c r="N55" s="364" t="s">
        <v>190</v>
      </c>
      <c r="O55" s="364" t="s">
        <v>190</v>
      </c>
      <c r="P55" s="364" t="s">
        <v>190</v>
      </c>
      <c r="Q55" s="364" t="s">
        <v>190</v>
      </c>
      <c r="R55" s="364" t="s">
        <v>190</v>
      </c>
      <c r="S55" s="364" t="s">
        <v>190</v>
      </c>
      <c r="T55" s="364" t="s">
        <v>190</v>
      </c>
      <c r="U55" s="364" t="s">
        <v>190</v>
      </c>
      <c r="V55" s="340"/>
    </row>
    <row r="56" spans="2:22" ht="15" customHeight="1" x14ac:dyDescent="0.3">
      <c r="B56" s="341" t="s">
        <v>157</v>
      </c>
      <c r="C56" s="340"/>
      <c r="D56" s="340"/>
      <c r="E56" s="340"/>
      <c r="F56" s="340"/>
      <c r="G56" s="364" t="s">
        <v>190</v>
      </c>
      <c r="H56" s="364" t="s">
        <v>190</v>
      </c>
      <c r="I56" s="364" t="s">
        <v>190</v>
      </c>
      <c r="J56" s="364" t="s">
        <v>190</v>
      </c>
      <c r="K56" s="364" t="s">
        <v>190</v>
      </c>
      <c r="L56" s="364" t="s">
        <v>190</v>
      </c>
      <c r="M56" s="364" t="s">
        <v>190</v>
      </c>
      <c r="N56" s="364" t="s">
        <v>190</v>
      </c>
      <c r="O56" s="364" t="s">
        <v>190</v>
      </c>
      <c r="P56" s="364" t="s">
        <v>190</v>
      </c>
      <c r="Q56" s="364" t="s">
        <v>190</v>
      </c>
      <c r="R56" s="364" t="s">
        <v>190</v>
      </c>
      <c r="S56" s="364" t="s">
        <v>190</v>
      </c>
      <c r="T56" s="364" t="s">
        <v>190</v>
      </c>
      <c r="U56" s="364" t="s">
        <v>190</v>
      </c>
      <c r="V56" s="340"/>
    </row>
    <row r="57" spans="2:22" ht="15" customHeight="1" x14ac:dyDescent="0.3">
      <c r="B57" s="363" t="s">
        <v>116</v>
      </c>
      <c r="C57" s="340"/>
      <c r="D57" s="340"/>
      <c r="E57" s="340"/>
      <c r="F57" s="340"/>
      <c r="G57" s="364" t="s">
        <v>190</v>
      </c>
      <c r="H57" s="364" t="s">
        <v>190</v>
      </c>
      <c r="I57" s="364" t="s">
        <v>190</v>
      </c>
      <c r="J57" s="364" t="s">
        <v>190</v>
      </c>
      <c r="K57" s="364" t="s">
        <v>190</v>
      </c>
      <c r="L57" s="364" t="s">
        <v>190</v>
      </c>
      <c r="M57" s="364" t="s">
        <v>190</v>
      </c>
      <c r="N57" s="364" t="s">
        <v>190</v>
      </c>
      <c r="O57" s="364" t="s">
        <v>190</v>
      </c>
      <c r="P57" s="364" t="s">
        <v>190</v>
      </c>
      <c r="Q57" s="364" t="s">
        <v>190</v>
      </c>
      <c r="R57" s="364" t="s">
        <v>190</v>
      </c>
      <c r="S57" s="364" t="s">
        <v>190</v>
      </c>
      <c r="T57" s="364" t="s">
        <v>190</v>
      </c>
      <c r="U57" s="364" t="s">
        <v>190</v>
      </c>
      <c r="V57" s="340"/>
    </row>
    <row r="58" spans="2:22" ht="15" customHeight="1" x14ac:dyDescent="0.3">
      <c r="B58" s="341" t="s">
        <v>158</v>
      </c>
      <c r="C58" s="340"/>
      <c r="D58" s="340"/>
      <c r="E58" s="340"/>
      <c r="F58" s="340"/>
      <c r="G58" s="364" t="s">
        <v>190</v>
      </c>
      <c r="H58" s="364" t="s">
        <v>190</v>
      </c>
      <c r="I58" s="364" t="s">
        <v>190</v>
      </c>
      <c r="J58" s="364" t="s">
        <v>190</v>
      </c>
      <c r="K58" s="364" t="s">
        <v>190</v>
      </c>
      <c r="L58" s="364" t="s">
        <v>190</v>
      </c>
      <c r="M58" s="364" t="s">
        <v>190</v>
      </c>
      <c r="N58" s="364" t="s">
        <v>190</v>
      </c>
      <c r="O58" s="364" t="s">
        <v>190</v>
      </c>
      <c r="P58" s="364" t="s">
        <v>190</v>
      </c>
      <c r="Q58" s="364" t="s">
        <v>190</v>
      </c>
      <c r="R58" s="364" t="s">
        <v>190</v>
      </c>
      <c r="S58" s="364" t="s">
        <v>190</v>
      </c>
      <c r="T58" s="364" t="s">
        <v>190</v>
      </c>
      <c r="U58" s="364" t="s">
        <v>190</v>
      </c>
      <c r="V58" s="340"/>
    </row>
    <row r="59" spans="2:22" ht="15" customHeight="1" x14ac:dyDescent="0.3">
      <c r="B59" s="363" t="s">
        <v>116</v>
      </c>
      <c r="C59" s="340"/>
      <c r="D59" s="340"/>
      <c r="E59" s="340"/>
      <c r="F59" s="340"/>
      <c r="G59" s="364" t="s">
        <v>190</v>
      </c>
      <c r="H59" s="364" t="s">
        <v>190</v>
      </c>
      <c r="I59" s="364" t="s">
        <v>190</v>
      </c>
      <c r="J59" s="364" t="s">
        <v>190</v>
      </c>
      <c r="K59" s="364" t="s">
        <v>190</v>
      </c>
      <c r="L59" s="364" t="s">
        <v>190</v>
      </c>
      <c r="M59" s="364" t="s">
        <v>190</v>
      </c>
      <c r="N59" s="364" t="s">
        <v>190</v>
      </c>
      <c r="O59" s="364" t="s">
        <v>190</v>
      </c>
      <c r="P59" s="364" t="s">
        <v>190</v>
      </c>
      <c r="Q59" s="364" t="s">
        <v>190</v>
      </c>
      <c r="R59" s="364" t="s">
        <v>190</v>
      </c>
      <c r="S59" s="364" t="s">
        <v>190</v>
      </c>
      <c r="T59" s="364" t="s">
        <v>190</v>
      </c>
      <c r="U59" s="364" t="s">
        <v>190</v>
      </c>
      <c r="V59" s="340"/>
    </row>
    <row r="60" spans="2:22" ht="15" customHeight="1" x14ac:dyDescent="0.3">
      <c r="B60" s="341" t="s">
        <v>159</v>
      </c>
      <c r="C60" s="340"/>
      <c r="D60" s="340"/>
      <c r="E60" s="340"/>
      <c r="F60" s="340"/>
      <c r="G60" s="364" t="s">
        <v>190</v>
      </c>
      <c r="H60" s="364" t="s">
        <v>190</v>
      </c>
      <c r="I60" s="364" t="s">
        <v>190</v>
      </c>
      <c r="J60" s="364" t="s">
        <v>190</v>
      </c>
      <c r="K60" s="364" t="s">
        <v>190</v>
      </c>
      <c r="L60" s="364" t="s">
        <v>190</v>
      </c>
      <c r="M60" s="364" t="s">
        <v>190</v>
      </c>
      <c r="N60" s="364" t="s">
        <v>190</v>
      </c>
      <c r="O60" s="364" t="s">
        <v>190</v>
      </c>
      <c r="P60" s="364" t="s">
        <v>190</v>
      </c>
      <c r="Q60" s="364" t="s">
        <v>190</v>
      </c>
      <c r="R60" s="364" t="s">
        <v>190</v>
      </c>
      <c r="S60" s="364" t="s">
        <v>190</v>
      </c>
      <c r="T60" s="364" t="s">
        <v>190</v>
      </c>
      <c r="U60" s="364" t="s">
        <v>190</v>
      </c>
      <c r="V60" s="340"/>
    </row>
    <row r="61" spans="2:22" ht="15" customHeight="1" x14ac:dyDescent="0.3">
      <c r="B61" s="363" t="s">
        <v>116</v>
      </c>
      <c r="C61" s="340"/>
      <c r="D61" s="340"/>
      <c r="E61" s="340"/>
      <c r="F61" s="340"/>
      <c r="G61" s="364" t="s">
        <v>190</v>
      </c>
      <c r="H61" s="364" t="s">
        <v>190</v>
      </c>
      <c r="I61" s="364" t="s">
        <v>190</v>
      </c>
      <c r="J61" s="364" t="s">
        <v>190</v>
      </c>
      <c r="K61" s="364" t="s">
        <v>190</v>
      </c>
      <c r="L61" s="364" t="s">
        <v>190</v>
      </c>
      <c r="M61" s="364" t="s">
        <v>190</v>
      </c>
      <c r="N61" s="364" t="s">
        <v>190</v>
      </c>
      <c r="O61" s="364" t="s">
        <v>190</v>
      </c>
      <c r="P61" s="364" t="s">
        <v>190</v>
      </c>
      <c r="Q61" s="364" t="s">
        <v>190</v>
      </c>
      <c r="R61" s="364" t="s">
        <v>190</v>
      </c>
      <c r="S61" s="364" t="s">
        <v>190</v>
      </c>
      <c r="T61" s="364" t="s">
        <v>190</v>
      </c>
      <c r="U61" s="364" t="s">
        <v>190</v>
      </c>
      <c r="V61" s="340"/>
    </row>
    <row r="62" spans="2:22" ht="15" customHeight="1" x14ac:dyDescent="0.3">
      <c r="B62" s="341" t="s">
        <v>45</v>
      </c>
      <c r="C62" s="340"/>
      <c r="D62" s="340"/>
      <c r="E62" s="340"/>
      <c r="F62" s="340"/>
      <c r="G62" s="364" t="s">
        <v>190</v>
      </c>
      <c r="H62" s="364" t="s">
        <v>190</v>
      </c>
      <c r="I62" s="364" t="s">
        <v>190</v>
      </c>
      <c r="J62" s="364" t="s">
        <v>190</v>
      </c>
      <c r="K62" s="364" t="s">
        <v>190</v>
      </c>
      <c r="L62" s="364" t="s">
        <v>190</v>
      </c>
      <c r="M62" s="364" t="s">
        <v>190</v>
      </c>
      <c r="N62" s="364" t="s">
        <v>190</v>
      </c>
      <c r="O62" s="364" t="s">
        <v>190</v>
      </c>
      <c r="P62" s="364" t="s">
        <v>190</v>
      </c>
      <c r="Q62" s="364" t="s">
        <v>190</v>
      </c>
      <c r="R62" s="364" t="s">
        <v>190</v>
      </c>
      <c r="S62" s="364" t="s">
        <v>190</v>
      </c>
      <c r="T62" s="364" t="s">
        <v>190</v>
      </c>
      <c r="U62" s="364" t="s">
        <v>190</v>
      </c>
      <c r="V62" s="340"/>
    </row>
    <row r="63" spans="2:22" ht="15" customHeight="1" x14ac:dyDescent="0.3">
      <c r="B63" s="341" t="s">
        <v>160</v>
      </c>
      <c r="C63" s="340"/>
      <c r="D63" s="340"/>
      <c r="E63" s="340"/>
      <c r="F63" s="340"/>
      <c r="G63" s="351">
        <f>SUM(G50:G62)</f>
        <v>-3300</v>
      </c>
      <c r="H63" s="351">
        <f t="shared" ref="H63:R63" si="12">SUM(H50:H62)</f>
        <v>-3300</v>
      </c>
      <c r="I63" s="351">
        <f t="shared" si="12"/>
        <v>-3300</v>
      </c>
      <c r="J63" s="351">
        <f t="shared" si="12"/>
        <v>-3300</v>
      </c>
      <c r="K63" s="351">
        <f t="shared" si="12"/>
        <v>-3300</v>
      </c>
      <c r="L63" s="351">
        <f t="shared" si="12"/>
        <v>-3300</v>
      </c>
      <c r="M63" s="351">
        <f t="shared" si="12"/>
        <v>-3300</v>
      </c>
      <c r="N63" s="351">
        <f t="shared" si="12"/>
        <v>-3300</v>
      </c>
      <c r="O63" s="351">
        <f t="shared" si="12"/>
        <v>-3300</v>
      </c>
      <c r="P63" s="351">
        <f t="shared" si="12"/>
        <v>-3300</v>
      </c>
      <c r="Q63" s="351">
        <f t="shared" si="12"/>
        <v>-3300</v>
      </c>
      <c r="R63" s="351">
        <f t="shared" si="12"/>
        <v>-3300</v>
      </c>
      <c r="S63" s="351">
        <f>'CF 2026'!G62</f>
        <v>-3300</v>
      </c>
      <c r="T63" s="351">
        <f>'CF 2026'!H62</f>
        <v>-3300</v>
      </c>
      <c r="U63" s="351">
        <f>'CF 2026'!I62</f>
        <v>-3300</v>
      </c>
      <c r="V63" s="340"/>
    </row>
    <row r="64" spans="2:22" ht="15" customHeight="1" x14ac:dyDescent="0.3">
      <c r="B64" s="359" t="s">
        <v>161</v>
      </c>
      <c r="C64" s="357"/>
      <c r="D64" s="357"/>
      <c r="E64" s="357"/>
      <c r="F64" s="357"/>
      <c r="G64" s="417">
        <f>G74</f>
        <v>20907.400000000001</v>
      </c>
      <c r="H64" s="417">
        <f>H43+H63</f>
        <v>21072.400000000001</v>
      </c>
      <c r="I64" s="417">
        <f>I43+I63</f>
        <v>35471</v>
      </c>
      <c r="J64" s="417">
        <f>J43+J63</f>
        <v>37871</v>
      </c>
      <c r="K64" s="417">
        <f t="shared" ref="K64:U64" si="13">K43+K63</f>
        <v>38873.599999999999</v>
      </c>
      <c r="L64" s="417">
        <f t="shared" si="13"/>
        <v>40613</v>
      </c>
      <c r="M64" s="417">
        <f t="shared" si="13"/>
        <v>46524.4</v>
      </c>
      <c r="N64" s="417">
        <f t="shared" si="13"/>
        <v>46664.6</v>
      </c>
      <c r="O64" s="417">
        <f t="shared" si="13"/>
        <v>46039.199999999997</v>
      </c>
      <c r="P64" s="417">
        <f t="shared" si="13"/>
        <v>40151.4</v>
      </c>
      <c r="Q64" s="417">
        <f t="shared" si="13"/>
        <v>40238.800000000003</v>
      </c>
      <c r="R64" s="417">
        <f t="shared" si="13"/>
        <v>40659.800000000003</v>
      </c>
      <c r="S64" s="417">
        <f t="shared" si="13"/>
        <v>20868.599999999999</v>
      </c>
      <c r="T64" s="417">
        <f t="shared" si="13"/>
        <v>21033.599999999999</v>
      </c>
      <c r="U64" s="417">
        <f t="shared" si="13"/>
        <v>35432.199999999997</v>
      </c>
      <c r="V64" s="150">
        <f>SUM(G64:R64)</f>
        <v>455086.6</v>
      </c>
    </row>
    <row r="65" spans="1:22" x14ac:dyDescent="0.3">
      <c r="A65" s="147"/>
      <c r="B65" s="173" t="s">
        <v>162</v>
      </c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</row>
    <row r="66" spans="1:22" s="9" customFormat="1" x14ac:dyDescent="0.3">
      <c r="A66" s="344"/>
      <c r="B66" s="345"/>
      <c r="C66" s="344"/>
      <c r="D66" s="344"/>
      <c r="E66" s="344"/>
      <c r="F66" s="344"/>
      <c r="G66" s="344"/>
      <c r="H66" s="344"/>
      <c r="I66" s="344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</row>
    <row r="67" spans="1:22" x14ac:dyDescent="0.3">
      <c r="B67" s="357" t="s">
        <v>153</v>
      </c>
      <c r="C67" s="357"/>
      <c r="D67" s="357"/>
      <c r="E67" s="357"/>
      <c r="F67" s="357"/>
      <c r="G67" s="150">
        <f>G48</f>
        <v>0</v>
      </c>
      <c r="H67" s="150">
        <f t="shared" ref="H67:U67" si="14">H48</f>
        <v>0</v>
      </c>
      <c r="I67" s="150">
        <f t="shared" si="14"/>
        <v>0</v>
      </c>
      <c r="J67" s="150">
        <f t="shared" si="14"/>
        <v>0</v>
      </c>
      <c r="K67" s="150">
        <f t="shared" si="14"/>
        <v>0</v>
      </c>
      <c r="L67" s="150">
        <f t="shared" si="14"/>
        <v>0</v>
      </c>
      <c r="M67" s="150">
        <f t="shared" si="14"/>
        <v>0</v>
      </c>
      <c r="N67" s="150">
        <f t="shared" si="14"/>
        <v>0</v>
      </c>
      <c r="O67" s="150">
        <f t="shared" si="14"/>
        <v>0</v>
      </c>
      <c r="P67" s="150">
        <f t="shared" si="14"/>
        <v>0</v>
      </c>
      <c r="Q67" s="150">
        <f t="shared" si="14"/>
        <v>0</v>
      </c>
      <c r="R67" s="150">
        <f t="shared" si="14"/>
        <v>0</v>
      </c>
      <c r="S67" s="150">
        <f t="shared" si="14"/>
        <v>0</v>
      </c>
      <c r="T67" s="150">
        <f t="shared" si="14"/>
        <v>0</v>
      </c>
      <c r="U67" s="150">
        <f t="shared" si="14"/>
        <v>0</v>
      </c>
    </row>
    <row r="68" spans="1:22" x14ac:dyDescent="0.3">
      <c r="B68" s="357" t="s">
        <v>160</v>
      </c>
      <c r="C68" s="357"/>
      <c r="D68" s="357"/>
      <c r="E68" s="357"/>
      <c r="F68" s="357"/>
      <c r="G68" s="150">
        <f>G63</f>
        <v>-3300</v>
      </c>
      <c r="H68" s="150">
        <f t="shared" ref="H68:U68" si="15">H63</f>
        <v>-3300</v>
      </c>
      <c r="I68" s="150">
        <f t="shared" si="15"/>
        <v>-3300</v>
      </c>
      <c r="J68" s="150">
        <f t="shared" si="15"/>
        <v>-3300</v>
      </c>
      <c r="K68" s="150">
        <f t="shared" si="15"/>
        <v>-3300</v>
      </c>
      <c r="L68" s="150">
        <f t="shared" si="15"/>
        <v>-3300</v>
      </c>
      <c r="M68" s="150">
        <f t="shared" si="15"/>
        <v>-3300</v>
      </c>
      <c r="N68" s="150">
        <f t="shared" si="15"/>
        <v>-3300</v>
      </c>
      <c r="O68" s="150">
        <f t="shared" si="15"/>
        <v>-3300</v>
      </c>
      <c r="P68" s="150">
        <f t="shared" si="15"/>
        <v>-3300</v>
      </c>
      <c r="Q68" s="150">
        <f t="shared" si="15"/>
        <v>-3300</v>
      </c>
      <c r="R68" s="150">
        <f t="shared" si="15"/>
        <v>-3300</v>
      </c>
      <c r="S68" s="150">
        <f t="shared" si="15"/>
        <v>-3300</v>
      </c>
      <c r="T68" s="150">
        <f t="shared" si="15"/>
        <v>-3300</v>
      </c>
      <c r="U68" s="150">
        <f t="shared" si="15"/>
        <v>-3300</v>
      </c>
    </row>
    <row r="69" spans="1:22" x14ac:dyDescent="0.3">
      <c r="B69" s="357" t="s">
        <v>37</v>
      </c>
      <c r="C69" s="357"/>
      <c r="D69" s="357"/>
      <c r="E69" s="357"/>
      <c r="F69" s="357"/>
      <c r="G69" s="150">
        <f>G40</f>
        <v>31047</v>
      </c>
      <c r="H69" s="150">
        <f t="shared" ref="H69:U69" si="16">H40</f>
        <v>31047</v>
      </c>
      <c r="I69" s="150">
        <f t="shared" si="16"/>
        <v>48839</v>
      </c>
      <c r="J69" s="150">
        <f t="shared" si="16"/>
        <v>52523</v>
      </c>
      <c r="K69" s="150">
        <f t="shared" si="16"/>
        <v>53570</v>
      </c>
      <c r="L69" s="150">
        <f t="shared" si="16"/>
        <v>55538</v>
      </c>
      <c r="M69" s="150">
        <f t="shared" si="16"/>
        <v>62721</v>
      </c>
      <c r="N69" s="150">
        <f t="shared" si="16"/>
        <v>62690</v>
      </c>
      <c r="O69" s="150">
        <f t="shared" si="16"/>
        <v>61702</v>
      </c>
      <c r="P69" s="150">
        <f t="shared" si="16"/>
        <v>54136</v>
      </c>
      <c r="Q69" s="150">
        <f t="shared" si="16"/>
        <v>54039</v>
      </c>
      <c r="R69" s="150">
        <f t="shared" si="16"/>
        <v>54409</v>
      </c>
      <c r="S69" s="150">
        <f t="shared" si="16"/>
        <v>33797</v>
      </c>
      <c r="T69" s="150">
        <f t="shared" si="16"/>
        <v>33797</v>
      </c>
      <c r="U69" s="150">
        <f t="shared" si="16"/>
        <v>51589</v>
      </c>
    </row>
    <row r="70" spans="1:22" x14ac:dyDescent="0.3">
      <c r="B70" s="357" t="s">
        <v>38</v>
      </c>
      <c r="C70" s="357"/>
      <c r="D70" s="357"/>
      <c r="E70" s="357"/>
      <c r="F70" s="357"/>
      <c r="G70" s="375">
        <f>G36</f>
        <v>-200</v>
      </c>
      <c r="H70" s="375">
        <f t="shared" ref="H70:U70" si="17">H36</f>
        <v>-200</v>
      </c>
      <c r="I70" s="375">
        <f t="shared" si="17"/>
        <v>-200</v>
      </c>
      <c r="J70" s="375">
        <f t="shared" si="17"/>
        <v>-200</v>
      </c>
      <c r="K70" s="375">
        <f t="shared" si="17"/>
        <v>-200</v>
      </c>
      <c r="L70" s="375">
        <f t="shared" si="17"/>
        <v>-200</v>
      </c>
      <c r="M70" s="375">
        <f t="shared" si="17"/>
        <v>-200</v>
      </c>
      <c r="N70" s="375">
        <f t="shared" si="17"/>
        <v>-200</v>
      </c>
      <c r="O70" s="375">
        <f t="shared" si="17"/>
        <v>-200</v>
      </c>
      <c r="P70" s="375">
        <f t="shared" si="17"/>
        <v>-200</v>
      </c>
      <c r="Q70" s="375">
        <f t="shared" si="17"/>
        <v>-200</v>
      </c>
      <c r="R70" s="375">
        <f t="shared" si="17"/>
        <v>-200</v>
      </c>
      <c r="S70" s="375">
        <f t="shared" si="17"/>
        <v>-200</v>
      </c>
      <c r="T70" s="375">
        <f t="shared" si="17"/>
        <v>-200</v>
      </c>
      <c r="U70" s="375">
        <f t="shared" si="17"/>
        <v>-200</v>
      </c>
    </row>
    <row r="71" spans="1:22" x14ac:dyDescent="0.3">
      <c r="B71" s="357" t="s">
        <v>163</v>
      </c>
      <c r="C71" s="357"/>
      <c r="D71" s="357"/>
      <c r="E71" s="357"/>
      <c r="F71" s="357"/>
      <c r="G71" s="150">
        <f>SUM(G67:G70)</f>
        <v>27547</v>
      </c>
      <c r="H71" s="150">
        <f t="shared" ref="H71:U71" si="18">SUM(H67:H70)</f>
        <v>27547</v>
      </c>
      <c r="I71" s="150">
        <f t="shared" si="18"/>
        <v>45339</v>
      </c>
      <c r="J71" s="150">
        <f t="shared" si="18"/>
        <v>49023</v>
      </c>
      <c r="K71" s="150">
        <f t="shared" si="18"/>
        <v>50070</v>
      </c>
      <c r="L71" s="150">
        <f t="shared" si="18"/>
        <v>52038</v>
      </c>
      <c r="M71" s="150">
        <f t="shared" si="18"/>
        <v>59221</v>
      </c>
      <c r="N71" s="150">
        <f t="shared" si="18"/>
        <v>59190</v>
      </c>
      <c r="O71" s="150">
        <f t="shared" si="18"/>
        <v>58202</v>
      </c>
      <c r="P71" s="150">
        <f t="shared" si="18"/>
        <v>50636</v>
      </c>
      <c r="Q71" s="150">
        <f t="shared" si="18"/>
        <v>50539</v>
      </c>
      <c r="R71" s="150">
        <f t="shared" si="18"/>
        <v>50909</v>
      </c>
      <c r="S71" s="150">
        <f t="shared" si="18"/>
        <v>30297</v>
      </c>
      <c r="T71" s="150">
        <f t="shared" si="18"/>
        <v>30297</v>
      </c>
      <c r="U71" s="150">
        <f t="shared" si="18"/>
        <v>48089</v>
      </c>
    </row>
    <row r="72" spans="1:22" x14ac:dyDescent="0.3">
      <c r="B72" s="357" t="s">
        <v>146</v>
      </c>
      <c r="C72" s="357"/>
      <c r="D72" s="357"/>
      <c r="E72" s="357"/>
      <c r="F72" s="357"/>
      <c r="G72" s="150">
        <f>'IS 2025'!F79</f>
        <v>-3870</v>
      </c>
      <c r="H72" s="150">
        <f>'IS 2025'!G79</f>
        <v>-3705</v>
      </c>
      <c r="I72" s="150">
        <f>'IS 2025'!H79</f>
        <v>-3540</v>
      </c>
      <c r="J72" s="150">
        <f>'IS 2025'!I79</f>
        <v>-3375</v>
      </c>
      <c r="K72" s="150">
        <f>'IS 2025'!J79</f>
        <v>-3210</v>
      </c>
      <c r="L72" s="150">
        <f>'IS 2025'!K79</f>
        <v>-3045</v>
      </c>
      <c r="M72" s="150">
        <f>'IS 2025'!L79</f>
        <v>-2880</v>
      </c>
      <c r="N72" s="150">
        <f>'IS 2025'!M79</f>
        <v>-2715</v>
      </c>
      <c r="O72" s="150">
        <f>'IS 2025'!N79</f>
        <v>-2550</v>
      </c>
      <c r="P72" s="150">
        <f>'IS 2025'!O79</f>
        <v>-2385</v>
      </c>
      <c r="Q72" s="150">
        <f>'IS 2025'!P79</f>
        <v>-2220</v>
      </c>
      <c r="R72" s="150">
        <f>'IS 2025'!Q79</f>
        <v>-2055</v>
      </c>
      <c r="S72" s="150">
        <f>'IS 2025'!R79</f>
        <v>-1890</v>
      </c>
      <c r="T72" s="150">
        <f>'IS 2025'!S79</f>
        <v>-1725</v>
      </c>
      <c r="U72" s="150">
        <f>'IS 2025'!T79</f>
        <v>-1560</v>
      </c>
    </row>
    <row r="73" spans="1:22" x14ac:dyDescent="0.3">
      <c r="B73" s="390" t="s">
        <v>147</v>
      </c>
      <c r="C73" s="390"/>
      <c r="D73" s="390"/>
      <c r="E73" s="390"/>
      <c r="F73" s="390"/>
      <c r="G73" s="401">
        <f>'IS 2025'!F81</f>
        <v>-2769.6000000000004</v>
      </c>
      <c r="H73" s="401">
        <f>'IS 2025'!G81</f>
        <v>-2769.6000000000004</v>
      </c>
      <c r="I73" s="401">
        <f>'IS 2025'!H81</f>
        <v>-6328</v>
      </c>
      <c r="J73" s="401">
        <f>'IS 2025'!I81</f>
        <v>-7777</v>
      </c>
      <c r="K73" s="401">
        <f>'IS 2025'!J81</f>
        <v>-7986.4000000000005</v>
      </c>
      <c r="L73" s="401">
        <f>'IS 2025'!K81</f>
        <v>-8380</v>
      </c>
      <c r="M73" s="401">
        <f>'IS 2025'!L81</f>
        <v>-9816.6</v>
      </c>
      <c r="N73" s="401">
        <f>'IS 2025'!M81</f>
        <v>-9810.4</v>
      </c>
      <c r="O73" s="401">
        <f>'IS 2025'!N81</f>
        <v>-9612.8000000000011</v>
      </c>
      <c r="P73" s="401">
        <f>'IS 2025'!O81</f>
        <v>-8099.6</v>
      </c>
      <c r="Q73" s="401">
        <f>'IS 2025'!P81</f>
        <v>-8080.2000000000007</v>
      </c>
      <c r="R73" s="401">
        <f>'IS 2025'!Q81</f>
        <v>-8194.2000000000007</v>
      </c>
      <c r="S73" s="401">
        <f>'IS 2025'!R81</f>
        <v>-4071.8</v>
      </c>
      <c r="T73" s="401">
        <f>'IS 2025'!S81</f>
        <v>-4071.8</v>
      </c>
      <c r="U73" s="401">
        <f>'IS 2025'!T81</f>
        <v>-7630.2000000000007</v>
      </c>
    </row>
    <row r="74" spans="1:22" x14ac:dyDescent="0.3">
      <c r="B74" s="357" t="s">
        <v>161</v>
      </c>
      <c r="C74" s="357"/>
      <c r="D74" s="357"/>
      <c r="E74" s="357"/>
      <c r="F74" s="357"/>
      <c r="G74" s="150">
        <f>SUM(G71:G73)</f>
        <v>20907.400000000001</v>
      </c>
      <c r="H74" s="150">
        <f>SUM(H71:H73)</f>
        <v>21072.400000000001</v>
      </c>
      <c r="I74" s="150">
        <f t="shared" ref="I74:U74" si="19">SUM(I71:I73)</f>
        <v>35471</v>
      </c>
      <c r="J74" s="150">
        <f t="shared" si="19"/>
        <v>37871</v>
      </c>
      <c r="K74" s="150">
        <f t="shared" si="19"/>
        <v>38873.599999999999</v>
      </c>
      <c r="L74" s="150">
        <f t="shared" si="19"/>
        <v>40613</v>
      </c>
      <c r="M74" s="150">
        <f t="shared" si="19"/>
        <v>46524.4</v>
      </c>
      <c r="N74" s="150">
        <f t="shared" si="19"/>
        <v>46664.6</v>
      </c>
      <c r="O74" s="150">
        <f t="shared" si="19"/>
        <v>46039.199999999997</v>
      </c>
      <c r="P74" s="150">
        <f t="shared" si="19"/>
        <v>40151.4</v>
      </c>
      <c r="Q74" s="150">
        <f t="shared" si="19"/>
        <v>40238.800000000003</v>
      </c>
      <c r="R74" s="150">
        <f t="shared" si="19"/>
        <v>40659.800000000003</v>
      </c>
      <c r="S74" s="150">
        <f t="shared" si="19"/>
        <v>24335.200000000001</v>
      </c>
      <c r="T74" s="150">
        <f t="shared" si="19"/>
        <v>24500.2</v>
      </c>
      <c r="U74" s="150">
        <f t="shared" si="19"/>
        <v>38898.800000000003</v>
      </c>
      <c r="V74" s="1">
        <f>SUM(G74:R74)</f>
        <v>455086.6</v>
      </c>
    </row>
    <row r="75" spans="1:22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2" x14ac:dyDescent="0.3">
      <c r="A76" s="147"/>
      <c r="B76" s="173" t="s">
        <v>164</v>
      </c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</row>
    <row r="77" spans="1:22" x14ac:dyDescent="0.3">
      <c r="B77" s="340" t="s">
        <v>165</v>
      </c>
      <c r="C77" s="340"/>
      <c r="D77" s="340"/>
      <c r="E77" s="340"/>
      <c r="F77" s="340"/>
      <c r="G77" s="209">
        <f>SUM(G43+G48)</f>
        <v>24207.4</v>
      </c>
      <c r="H77" s="209">
        <f>SUM(H43+H48)</f>
        <v>24372.400000000001</v>
      </c>
      <c r="I77" s="209">
        <f t="shared" ref="I77:U78" si="20">SUM(I43+I48)</f>
        <v>38771</v>
      </c>
      <c r="J77" s="209">
        <f t="shared" si="20"/>
        <v>41171</v>
      </c>
      <c r="K77" s="209">
        <f t="shared" si="20"/>
        <v>42173.599999999999</v>
      </c>
      <c r="L77" s="209">
        <f t="shared" si="20"/>
        <v>43913</v>
      </c>
      <c r="M77" s="209">
        <f t="shared" si="20"/>
        <v>49824.4</v>
      </c>
      <c r="N77" s="209">
        <f t="shared" si="20"/>
        <v>49964.6</v>
      </c>
      <c r="O77" s="209">
        <f t="shared" si="20"/>
        <v>49339.199999999997</v>
      </c>
      <c r="P77" s="209">
        <f t="shared" si="20"/>
        <v>43451.4</v>
      </c>
      <c r="Q77" s="209">
        <f t="shared" si="20"/>
        <v>43538.8</v>
      </c>
      <c r="R77" s="209">
        <f t="shared" si="20"/>
        <v>43959.8</v>
      </c>
      <c r="S77" s="209">
        <f t="shared" si="20"/>
        <v>24168.6</v>
      </c>
      <c r="T77" s="209">
        <f t="shared" si="20"/>
        <v>24333.599999999999</v>
      </c>
      <c r="U77" s="209">
        <f t="shared" si="20"/>
        <v>38732.199999999997</v>
      </c>
      <c r="V77" s="1">
        <f>SUM(G77:R77)</f>
        <v>494686.6</v>
      </c>
    </row>
    <row r="78" spans="1:22" x14ac:dyDescent="0.3">
      <c r="B78" s="340" t="s">
        <v>166</v>
      </c>
      <c r="C78" s="340"/>
      <c r="D78" s="340"/>
      <c r="E78" s="340"/>
      <c r="F78" s="340"/>
      <c r="G78" s="209">
        <f>G74</f>
        <v>20907.400000000001</v>
      </c>
      <c r="H78" s="209">
        <f t="shared" ref="H78:T78" si="21">H74</f>
        <v>21072.400000000001</v>
      </c>
      <c r="I78" s="209">
        <f t="shared" si="21"/>
        <v>35471</v>
      </c>
      <c r="J78" s="209">
        <f t="shared" si="21"/>
        <v>37871</v>
      </c>
      <c r="K78" s="209">
        <f t="shared" si="21"/>
        <v>38873.599999999999</v>
      </c>
      <c r="L78" s="209">
        <f>L74</f>
        <v>40613</v>
      </c>
      <c r="M78" s="209">
        <f t="shared" si="21"/>
        <v>46524.4</v>
      </c>
      <c r="N78" s="209">
        <f t="shared" si="21"/>
        <v>46664.6</v>
      </c>
      <c r="O78" s="209">
        <f t="shared" si="21"/>
        <v>46039.199999999997</v>
      </c>
      <c r="P78" s="209">
        <f t="shared" si="21"/>
        <v>40151.4</v>
      </c>
      <c r="Q78" s="209">
        <f t="shared" si="21"/>
        <v>40238.800000000003</v>
      </c>
      <c r="R78" s="209">
        <f t="shared" si="21"/>
        <v>40659.800000000003</v>
      </c>
      <c r="S78" s="209">
        <f t="shared" si="21"/>
        <v>24335.200000000001</v>
      </c>
      <c r="T78" s="209">
        <f t="shared" si="21"/>
        <v>24500.2</v>
      </c>
      <c r="U78" s="209" t="e">
        <f t="shared" si="20"/>
        <v>#VALUE!</v>
      </c>
      <c r="V78" s="1">
        <f>SUM(G78:R78)</f>
        <v>455086.6</v>
      </c>
    </row>
    <row r="79" spans="1:22" x14ac:dyDescent="0.3">
      <c r="B79" s="340" t="s">
        <v>167</v>
      </c>
      <c r="C79" s="340"/>
      <c r="D79" s="340"/>
      <c r="E79" s="340"/>
      <c r="F79" s="340"/>
      <c r="G79" s="209">
        <f>G74</f>
        <v>20907.400000000001</v>
      </c>
      <c r="H79" s="209">
        <f t="shared" ref="H79:T79" si="22">H74</f>
        <v>21072.400000000001</v>
      </c>
      <c r="I79" s="209">
        <f t="shared" si="22"/>
        <v>35471</v>
      </c>
      <c r="J79" s="209">
        <f t="shared" si="22"/>
        <v>37871</v>
      </c>
      <c r="K79" s="209">
        <f t="shared" si="22"/>
        <v>38873.599999999999</v>
      </c>
      <c r="L79" s="209">
        <f t="shared" si="22"/>
        <v>40613</v>
      </c>
      <c r="M79" s="209">
        <f t="shared" si="22"/>
        <v>46524.4</v>
      </c>
      <c r="N79" s="209">
        <f t="shared" si="22"/>
        <v>46664.6</v>
      </c>
      <c r="O79" s="209">
        <f t="shared" si="22"/>
        <v>46039.199999999997</v>
      </c>
      <c r="P79" s="209">
        <f t="shared" si="22"/>
        <v>40151.4</v>
      </c>
      <c r="Q79" s="209">
        <f t="shared" si="22"/>
        <v>40238.800000000003</v>
      </c>
      <c r="R79" s="209">
        <f t="shared" si="22"/>
        <v>40659.800000000003</v>
      </c>
      <c r="S79" s="209">
        <f t="shared" si="22"/>
        <v>24335.200000000001</v>
      </c>
      <c r="T79" s="209">
        <f t="shared" si="22"/>
        <v>24500.2</v>
      </c>
      <c r="U79" s="209">
        <f>U74</f>
        <v>38898.800000000003</v>
      </c>
    </row>
    <row r="80" spans="1:22" x14ac:dyDescent="0.3">
      <c r="B80" s="340" t="s">
        <v>159</v>
      </c>
      <c r="C80" s="340"/>
      <c r="D80" s="340"/>
      <c r="E80" s="340"/>
      <c r="F80" s="340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40"/>
      <c r="S80" s="340"/>
      <c r="T80" s="340"/>
      <c r="U80" s="340"/>
    </row>
    <row r="81" spans="2:21" x14ac:dyDescent="0.3">
      <c r="B81" s="340" t="s">
        <v>161</v>
      </c>
      <c r="C81" s="340"/>
      <c r="D81" s="340"/>
      <c r="E81" s="340"/>
      <c r="F81" s="340"/>
      <c r="G81" s="209">
        <f>G74</f>
        <v>20907.400000000001</v>
      </c>
      <c r="H81" s="209">
        <f t="shared" ref="H81:U81" si="23">H74</f>
        <v>21072.400000000001</v>
      </c>
      <c r="I81" s="209">
        <f t="shared" si="23"/>
        <v>35471</v>
      </c>
      <c r="J81" s="209">
        <f t="shared" si="23"/>
        <v>37871</v>
      </c>
      <c r="K81" s="209">
        <f t="shared" si="23"/>
        <v>38873.599999999999</v>
      </c>
      <c r="L81" s="209">
        <f t="shared" si="23"/>
        <v>40613</v>
      </c>
      <c r="M81" s="209">
        <f t="shared" si="23"/>
        <v>46524.4</v>
      </c>
      <c r="N81" s="209">
        <f t="shared" si="23"/>
        <v>46664.6</v>
      </c>
      <c r="O81" s="209">
        <f t="shared" si="23"/>
        <v>46039.199999999997</v>
      </c>
      <c r="P81" s="209">
        <f t="shared" si="23"/>
        <v>40151.4</v>
      </c>
      <c r="Q81" s="209">
        <f t="shared" si="23"/>
        <v>40238.800000000003</v>
      </c>
      <c r="R81" s="209">
        <f t="shared" si="23"/>
        <v>40659.800000000003</v>
      </c>
      <c r="S81" s="209">
        <f t="shared" si="23"/>
        <v>24335.200000000001</v>
      </c>
      <c r="T81" s="209">
        <f t="shared" si="23"/>
        <v>24500.2</v>
      </c>
      <c r="U81" s="209">
        <f t="shared" si="23"/>
        <v>38898.800000000003</v>
      </c>
    </row>
  </sheetData>
  <mergeCells count="1">
    <mergeCell ref="C13:D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06A4-FE60-4CEF-8D7C-51890E14B25E}">
  <sheetPr codeName="Sheet30"/>
  <dimension ref="A1:Y470"/>
  <sheetViews>
    <sheetView showGridLines="0" topLeftCell="A10" workbookViewId="0">
      <selection activeCell="Q27" sqref="Q27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25" bestFit="1" customWidth="1"/>
    <col min="7" max="7" width="9.88671875" bestFit="1" customWidth="1"/>
    <col min="8" max="8" width="10.33203125" customWidth="1"/>
    <col min="9" max="9" width="10.44140625" customWidth="1"/>
    <col min="10" max="10" width="9.6640625" customWidth="1"/>
    <col min="11" max="11" width="10.109375" customWidth="1"/>
    <col min="12" max="13" width="9.77734375" customWidth="1"/>
    <col min="14" max="14" width="10.5546875" customWidth="1"/>
    <col min="15" max="15" width="9.88671875" customWidth="1"/>
    <col min="16" max="16" width="9.77734375" customWidth="1"/>
    <col min="17" max="17" width="10.33203125" customWidth="1"/>
    <col min="18" max="18" width="9.88671875" bestFit="1" customWidth="1"/>
    <col min="19" max="19" width="10" customWidth="1"/>
    <col min="20" max="20" width="10.109375" customWidth="1"/>
    <col min="21" max="21" width="11.3320312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169</v>
      </c>
      <c r="F2"/>
    </row>
    <row r="3" spans="1:25" x14ac:dyDescent="0.3">
      <c r="B3" t="s">
        <v>140</v>
      </c>
      <c r="F3"/>
    </row>
    <row r="4" spans="1:25" x14ac:dyDescent="0.3">
      <c r="F4"/>
    </row>
    <row r="5" spans="1:25" x14ac:dyDescent="0.3">
      <c r="A5" s="147"/>
      <c r="B5" s="173" t="s">
        <v>170</v>
      </c>
      <c r="C5" s="147"/>
      <c r="D5" s="147"/>
      <c r="E5" s="147"/>
      <c r="F5" s="196">
        <v>2025</v>
      </c>
      <c r="G5" s="196">
        <v>2025</v>
      </c>
      <c r="H5" s="196">
        <v>2025</v>
      </c>
      <c r="I5" s="196">
        <v>2025</v>
      </c>
      <c r="J5" s="196">
        <v>2025</v>
      </c>
      <c r="K5" s="196">
        <v>2025</v>
      </c>
      <c r="L5" s="196">
        <v>2025</v>
      </c>
      <c r="M5" s="196">
        <v>2025</v>
      </c>
      <c r="N5" s="196">
        <v>2025</v>
      </c>
      <c r="O5" s="196">
        <v>2025</v>
      </c>
      <c r="P5" s="196">
        <v>2025</v>
      </c>
      <c r="Q5" s="196">
        <v>2025</v>
      </c>
      <c r="R5" s="196">
        <v>2026</v>
      </c>
      <c r="S5" s="196">
        <v>2026</v>
      </c>
      <c r="T5" s="196">
        <v>2026</v>
      </c>
      <c r="U5" s="147"/>
    </row>
    <row r="6" spans="1:25" ht="15" thickBot="1" x14ac:dyDescent="0.35">
      <c r="A6" s="158"/>
      <c r="B6" s="159" t="s">
        <v>64</v>
      </c>
      <c r="C6" s="148"/>
      <c r="D6" s="148"/>
      <c r="E6" s="148"/>
      <c r="F6" s="195" t="s">
        <v>25</v>
      </c>
      <c r="G6" s="195" t="s">
        <v>26</v>
      </c>
      <c r="H6" s="195" t="s">
        <v>27</v>
      </c>
      <c r="I6" s="195" t="s">
        <v>28</v>
      </c>
      <c r="J6" s="195" t="s">
        <v>29</v>
      </c>
      <c r="K6" s="195" t="s">
        <v>30</v>
      </c>
      <c r="L6" s="195" t="s">
        <v>31</v>
      </c>
      <c r="M6" s="195" t="s">
        <v>32</v>
      </c>
      <c r="N6" s="195" t="s">
        <v>33</v>
      </c>
      <c r="O6" s="195" t="s">
        <v>34</v>
      </c>
      <c r="P6" s="195" t="s">
        <v>35</v>
      </c>
      <c r="Q6" s="195" t="s">
        <v>36</v>
      </c>
      <c r="R6" s="195" t="s">
        <v>25</v>
      </c>
      <c r="S6" s="195" t="s">
        <v>26</v>
      </c>
      <c r="T6" s="195" t="s">
        <v>27</v>
      </c>
      <c r="U6" s="192" t="s">
        <v>72</v>
      </c>
    </row>
    <row r="7" spans="1:25" s="124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68" t="s">
        <v>169</v>
      </c>
      <c r="F8"/>
    </row>
    <row r="9" spans="1:25" x14ac:dyDescent="0.3">
      <c r="C9" s="169"/>
      <c r="F9"/>
    </row>
    <row r="10" spans="1:25" x14ac:dyDescent="0.3">
      <c r="C10" s="168" t="s">
        <v>48</v>
      </c>
      <c r="F10"/>
      <c r="G10" s="170"/>
      <c r="H10" s="170"/>
      <c r="I10" s="170"/>
      <c r="J10" s="170"/>
      <c r="K10" s="170"/>
      <c r="L10" s="169"/>
      <c r="M10" s="170"/>
      <c r="N10" s="170"/>
      <c r="O10" s="170"/>
      <c r="P10" s="170"/>
      <c r="Q10" s="170"/>
      <c r="R10" s="170"/>
      <c r="S10" s="170"/>
      <c r="T10" s="170"/>
      <c r="V10" s="1"/>
    </row>
    <row r="11" spans="1:25" x14ac:dyDescent="0.3">
      <c r="C11" s="169" t="s">
        <v>172</v>
      </c>
      <c r="F11" s="170">
        <f>'BS 2024'!Q14+'CF 2025'!G74</f>
        <v>416003.60000000003</v>
      </c>
      <c r="G11" s="170">
        <f>F14+'CF 2025'!H74</f>
        <v>437076.00000000006</v>
      </c>
      <c r="H11" s="170">
        <f>G14+'CF 2025'!I74</f>
        <v>472547.00000000006</v>
      </c>
      <c r="I11" s="170">
        <f>H14+'CF 2025'!J74</f>
        <v>510418.00000000006</v>
      </c>
      <c r="J11" s="170">
        <f>I14+'CF 2025'!K74</f>
        <v>549291.60000000009</v>
      </c>
      <c r="K11" s="170">
        <f>J14+'CF 2025'!L74</f>
        <v>589904.60000000009</v>
      </c>
      <c r="L11" s="170">
        <f>K14+'CF 2025'!M74</f>
        <v>636429.00000000012</v>
      </c>
      <c r="M11" s="170">
        <f>L14+'CF 2025'!N74</f>
        <v>683093.60000000009</v>
      </c>
      <c r="N11" s="170">
        <f>M14+'CF 2025'!O74</f>
        <v>729132.8</v>
      </c>
      <c r="O11" s="170">
        <f>N14+'CF 2025'!P74</f>
        <v>769284.20000000007</v>
      </c>
      <c r="P11" s="170">
        <f>O14+'CF 2025'!Q74</f>
        <v>809523.00000000012</v>
      </c>
      <c r="Q11" s="170">
        <f>P14+'CF 2025'!R74</f>
        <v>850182.80000000016</v>
      </c>
      <c r="R11" s="170">
        <f>'BS 2026'!F11</f>
        <v>871051.40000000014</v>
      </c>
      <c r="S11" s="170">
        <f>'BS 2026'!G11</f>
        <v>892085.00000000012</v>
      </c>
      <c r="T11" s="170">
        <f>'BS 2026'!H11</f>
        <v>927517.20000000007</v>
      </c>
      <c r="V11" s="1"/>
    </row>
    <row r="12" spans="1:25" x14ac:dyDescent="0.3">
      <c r="C12" s="169" t="s">
        <v>173</v>
      </c>
      <c r="F12" s="170"/>
      <c r="G12" s="169"/>
      <c r="H12" s="169"/>
      <c r="I12" s="169" t="s">
        <v>190</v>
      </c>
      <c r="J12" s="169"/>
      <c r="K12" s="169" t="s">
        <v>190</v>
      </c>
      <c r="L12" s="169"/>
      <c r="M12" s="169"/>
      <c r="N12" s="169"/>
      <c r="O12" s="169"/>
      <c r="P12" s="169"/>
      <c r="Q12" s="169"/>
      <c r="R12" s="169"/>
      <c r="S12" s="169" t="s">
        <v>190</v>
      </c>
      <c r="T12" s="169" t="s">
        <v>190</v>
      </c>
      <c r="V12" s="1"/>
    </row>
    <row r="13" spans="1:25" x14ac:dyDescent="0.3">
      <c r="C13" s="169" t="s">
        <v>174</v>
      </c>
      <c r="F13"/>
      <c r="I13" s="170"/>
      <c r="K13" s="170"/>
      <c r="S13" s="170"/>
      <c r="T13" s="170"/>
      <c r="V13" s="1"/>
    </row>
    <row r="14" spans="1:25" x14ac:dyDescent="0.3">
      <c r="C14" s="169" t="s">
        <v>175</v>
      </c>
      <c r="F14" s="170">
        <f>SUM(F11:F13)</f>
        <v>416003.60000000003</v>
      </c>
      <c r="G14" s="170">
        <f t="shared" ref="G14:Q14" si="0">SUM(G11:G13)</f>
        <v>437076.00000000006</v>
      </c>
      <c r="H14" s="170">
        <f t="shared" si="0"/>
        <v>472547.00000000006</v>
      </c>
      <c r="I14" s="170">
        <f t="shared" si="0"/>
        <v>510418.00000000006</v>
      </c>
      <c r="J14" s="170">
        <f t="shared" si="0"/>
        <v>549291.60000000009</v>
      </c>
      <c r="K14" s="170">
        <f t="shared" si="0"/>
        <v>589904.60000000009</v>
      </c>
      <c r="L14" s="170">
        <f t="shared" si="0"/>
        <v>636429.00000000012</v>
      </c>
      <c r="M14" s="170">
        <f t="shared" si="0"/>
        <v>683093.60000000009</v>
      </c>
      <c r="N14" s="170">
        <f t="shared" si="0"/>
        <v>729132.8</v>
      </c>
      <c r="O14" s="170">
        <f t="shared" si="0"/>
        <v>769284.20000000007</v>
      </c>
      <c r="P14" s="170">
        <f t="shared" si="0"/>
        <v>809523.00000000012</v>
      </c>
      <c r="Q14" s="170">
        <f t="shared" si="0"/>
        <v>850182.80000000016</v>
      </c>
      <c r="R14" s="170">
        <f t="shared" ref="R14" si="1">SUM(R11:R13)</f>
        <v>871051.40000000014</v>
      </c>
      <c r="S14" s="170">
        <f t="shared" ref="S14" si="2">SUM(S11:S13)</f>
        <v>892085.00000000012</v>
      </c>
      <c r="T14" s="170">
        <f t="shared" ref="T14" si="3">SUM(T11:T13)</f>
        <v>927517.20000000007</v>
      </c>
      <c r="U14" s="1">
        <f>SUM(F14:Q14)</f>
        <v>7452886.2000000002</v>
      </c>
      <c r="V14" s="1"/>
    </row>
    <row r="15" spans="1:25" x14ac:dyDescent="0.3">
      <c r="C15" s="168" t="s">
        <v>49</v>
      </c>
      <c r="F15"/>
      <c r="G15" s="169"/>
      <c r="H15" s="169"/>
      <c r="I15" s="169"/>
      <c r="J15" s="172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V15" s="1"/>
    </row>
    <row r="16" spans="1:25" x14ac:dyDescent="0.3">
      <c r="C16" s="171" t="s">
        <v>176</v>
      </c>
      <c r="F16" s="170">
        <f>'BS 2024'!Q16-'IS 2025'!F77</f>
        <v>190182</v>
      </c>
      <c r="G16" s="170">
        <f>F16-'IS 2025'!G77</f>
        <v>192032</v>
      </c>
      <c r="H16" s="170">
        <f>G16-'IS 2025'!H77</f>
        <v>193882</v>
      </c>
      <c r="I16" s="170">
        <f>H16-'IS 2025'!I77</f>
        <v>195593</v>
      </c>
      <c r="J16" s="170">
        <f>I16-'IS 2025'!J77</f>
        <v>197304</v>
      </c>
      <c r="K16" s="170">
        <f>J16-'IS 2025'!K77</f>
        <v>199015</v>
      </c>
      <c r="L16" s="170">
        <f>K16-'IS 2025'!L77</f>
        <v>200726</v>
      </c>
      <c r="M16" s="170">
        <f>L16-'IS 2025'!M77</f>
        <v>202437</v>
      </c>
      <c r="N16" s="170">
        <f>M16-'IS 2025'!N77</f>
        <v>204148</v>
      </c>
      <c r="O16" s="170">
        <f>N16-'IS 2025'!O77</f>
        <v>205859</v>
      </c>
      <c r="P16" s="170">
        <f>O16-'IS 2025'!P77</f>
        <v>207570</v>
      </c>
      <c r="Q16" s="170">
        <f>P16-'IS 2025'!Q77</f>
        <v>209481</v>
      </c>
      <c r="R16" s="170">
        <f>'BS 2026'!F16</f>
        <v>211392</v>
      </c>
      <c r="S16" s="177">
        <f>R16-'IS 2025'!G77</f>
        <v>213242</v>
      </c>
      <c r="T16" s="177">
        <f>S16-'IS 2025'!H77</f>
        <v>215092</v>
      </c>
      <c r="V16" s="1"/>
    </row>
    <row r="17" spans="1:22" x14ac:dyDescent="0.3">
      <c r="C17" s="171" t="s">
        <v>177</v>
      </c>
      <c r="F17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V17" s="1"/>
    </row>
    <row r="18" spans="1:22" x14ac:dyDescent="0.3">
      <c r="C18" s="171" t="s">
        <v>178</v>
      </c>
      <c r="F18" s="177">
        <f>SUM(F16:F17)</f>
        <v>190182</v>
      </c>
      <c r="G18" s="177">
        <f t="shared" ref="G18:T19" si="4">SUM(G16:G17)</f>
        <v>192032</v>
      </c>
      <c r="H18" s="177">
        <f t="shared" si="4"/>
        <v>193882</v>
      </c>
      <c r="I18" s="177">
        <f t="shared" si="4"/>
        <v>195593</v>
      </c>
      <c r="J18" s="177">
        <f t="shared" si="4"/>
        <v>197304</v>
      </c>
      <c r="K18" s="177">
        <f t="shared" si="4"/>
        <v>199015</v>
      </c>
      <c r="L18" s="177">
        <f t="shared" si="4"/>
        <v>200726</v>
      </c>
      <c r="M18" s="177">
        <f t="shared" si="4"/>
        <v>202437</v>
      </c>
      <c r="N18" s="177">
        <f t="shared" si="4"/>
        <v>204148</v>
      </c>
      <c r="O18" s="177">
        <f t="shared" si="4"/>
        <v>205859</v>
      </c>
      <c r="P18" s="177">
        <f t="shared" si="4"/>
        <v>207570</v>
      </c>
      <c r="Q18" s="177">
        <f t="shared" si="4"/>
        <v>209481</v>
      </c>
      <c r="R18" s="177">
        <f t="shared" si="4"/>
        <v>211392</v>
      </c>
      <c r="S18" s="177">
        <f t="shared" si="4"/>
        <v>213242</v>
      </c>
      <c r="T18" s="177">
        <f t="shared" si="4"/>
        <v>215092</v>
      </c>
      <c r="V18" s="1"/>
    </row>
    <row r="19" spans="1:22" x14ac:dyDescent="0.3">
      <c r="A19" s="142"/>
      <c r="B19" s="147"/>
      <c r="C19" s="180" t="s">
        <v>179</v>
      </c>
      <c r="D19" s="147"/>
      <c r="E19" s="147"/>
      <c r="F19" s="181">
        <f>SUM(F17:F18)</f>
        <v>190182</v>
      </c>
      <c r="G19" s="181">
        <f t="shared" si="4"/>
        <v>192032</v>
      </c>
      <c r="H19" s="181">
        <f t="shared" si="4"/>
        <v>193882</v>
      </c>
      <c r="I19" s="181">
        <f t="shared" si="4"/>
        <v>195593</v>
      </c>
      <c r="J19" s="181">
        <f t="shared" si="4"/>
        <v>197304</v>
      </c>
      <c r="K19" s="181">
        <f t="shared" si="4"/>
        <v>199015</v>
      </c>
      <c r="L19" s="181">
        <f t="shared" si="4"/>
        <v>200726</v>
      </c>
      <c r="M19" s="181">
        <f t="shared" si="4"/>
        <v>202437</v>
      </c>
      <c r="N19" s="181">
        <f t="shared" si="4"/>
        <v>204148</v>
      </c>
      <c r="O19" s="181">
        <f t="shared" si="4"/>
        <v>205859</v>
      </c>
      <c r="P19" s="181">
        <f t="shared" si="4"/>
        <v>207570</v>
      </c>
      <c r="Q19" s="181">
        <f t="shared" si="4"/>
        <v>209481</v>
      </c>
      <c r="R19" s="181">
        <f t="shared" si="4"/>
        <v>211392</v>
      </c>
      <c r="S19" s="181">
        <f t="shared" si="4"/>
        <v>213242</v>
      </c>
      <c r="T19" s="181">
        <f t="shared" si="4"/>
        <v>215092</v>
      </c>
      <c r="U19" s="154">
        <f>SUM(F19:Q19)</f>
        <v>2398229</v>
      </c>
      <c r="V19" s="1"/>
    </row>
    <row r="20" spans="1:22" x14ac:dyDescent="0.3">
      <c r="A20" s="158"/>
      <c r="B20" s="148"/>
      <c r="C20" s="182" t="s">
        <v>50</v>
      </c>
      <c r="D20" s="148"/>
      <c r="E20" s="148"/>
      <c r="F20" s="183">
        <f>F14+F19</f>
        <v>606185.60000000009</v>
      </c>
      <c r="G20" s="183">
        <f>G14+G19</f>
        <v>629108</v>
      </c>
      <c r="H20" s="183">
        <f t="shared" ref="H20:T20" si="5">H14+H19</f>
        <v>666429</v>
      </c>
      <c r="I20" s="183">
        <f t="shared" si="5"/>
        <v>706011</v>
      </c>
      <c r="J20" s="183">
        <f t="shared" si="5"/>
        <v>746595.60000000009</v>
      </c>
      <c r="K20" s="183">
        <f t="shared" si="5"/>
        <v>788919.60000000009</v>
      </c>
      <c r="L20" s="183">
        <f t="shared" si="5"/>
        <v>837155.00000000012</v>
      </c>
      <c r="M20" s="183">
        <f t="shared" si="5"/>
        <v>885530.60000000009</v>
      </c>
      <c r="N20" s="183">
        <f t="shared" si="5"/>
        <v>933280.8</v>
      </c>
      <c r="O20" s="183">
        <f t="shared" si="5"/>
        <v>975143.20000000007</v>
      </c>
      <c r="P20" s="183">
        <f t="shared" si="5"/>
        <v>1017093.0000000001</v>
      </c>
      <c r="Q20" s="183">
        <f t="shared" si="5"/>
        <v>1059663.8000000003</v>
      </c>
      <c r="R20" s="183">
        <f t="shared" si="5"/>
        <v>1082443.4000000001</v>
      </c>
      <c r="S20" s="183">
        <f t="shared" si="5"/>
        <v>1105327</v>
      </c>
      <c r="T20" s="183">
        <f t="shared" si="5"/>
        <v>1142609.2000000002</v>
      </c>
      <c r="U20" s="149">
        <f>SUM(F20:Q20)</f>
        <v>9851115.2000000011</v>
      </c>
      <c r="V20" s="1"/>
    </row>
    <row r="21" spans="1:22" x14ac:dyDescent="0.3">
      <c r="C21" s="179" t="s">
        <v>51</v>
      </c>
      <c r="F21"/>
      <c r="I21" s="172"/>
      <c r="K21" s="172"/>
      <c r="S21" s="172"/>
      <c r="T21" s="172"/>
      <c r="V21" s="1"/>
    </row>
    <row r="22" spans="1:22" x14ac:dyDescent="0.3">
      <c r="C22" s="171" t="s">
        <v>180</v>
      </c>
      <c r="F22" s="172"/>
      <c r="G22" s="172"/>
      <c r="Q22" s="172"/>
      <c r="V22" s="1"/>
    </row>
    <row r="23" spans="1:22" x14ac:dyDescent="0.3">
      <c r="C23" s="171" t="s">
        <v>181</v>
      </c>
      <c r="F23"/>
      <c r="H23" s="172"/>
      <c r="J23" s="172"/>
      <c r="V23" s="1"/>
    </row>
    <row r="24" spans="1:22" x14ac:dyDescent="0.3">
      <c r="C24" s="169" t="s">
        <v>182</v>
      </c>
      <c r="F24" s="170">
        <f>'IS 2025'!F81</f>
        <v>-2769.6000000000004</v>
      </c>
      <c r="G24" s="170">
        <f>'IS 2025'!G81</f>
        <v>-2769.6000000000004</v>
      </c>
      <c r="H24" s="170">
        <f>'IS 2025'!H81</f>
        <v>-6328</v>
      </c>
      <c r="I24" s="170">
        <f>'IS 2025'!I81</f>
        <v>-7777</v>
      </c>
      <c r="J24" s="170">
        <f>'IS 2025'!J81</f>
        <v>-7986.4000000000005</v>
      </c>
      <c r="K24" s="170">
        <f>'IS 2025'!K81</f>
        <v>-8380</v>
      </c>
      <c r="L24" s="170">
        <f>'IS 2025'!L81</f>
        <v>-9816.6</v>
      </c>
      <c r="M24" s="170">
        <f>'IS 2025'!M81</f>
        <v>-9810.4</v>
      </c>
      <c r="N24" s="170">
        <f>'IS 2025'!N81</f>
        <v>-9612.8000000000011</v>
      </c>
      <c r="O24" s="170">
        <f>'IS 2025'!O81</f>
        <v>-8099.6</v>
      </c>
      <c r="P24" s="170">
        <f>'IS 2025'!P81</f>
        <v>-8080.2000000000007</v>
      </c>
      <c r="Q24" s="170">
        <f>'IS 2025'!Q81</f>
        <v>-8194.2000000000007</v>
      </c>
      <c r="R24" s="170">
        <f>'IS 2025'!R81</f>
        <v>-4071.8</v>
      </c>
      <c r="S24" s="170">
        <f>'IS 2025'!S81</f>
        <v>-4071.8</v>
      </c>
      <c r="T24" s="170">
        <f>'IS 2025'!T81</f>
        <v>-7630.2000000000007</v>
      </c>
      <c r="V24" s="1"/>
    </row>
    <row r="25" spans="1:22" x14ac:dyDescent="0.3">
      <c r="A25" s="147"/>
      <c r="B25" s="147"/>
      <c r="C25" s="173" t="s">
        <v>183</v>
      </c>
      <c r="D25" s="147"/>
      <c r="E25" s="147"/>
      <c r="F25" s="154">
        <f>SUM(F22:F24)</f>
        <v>-2769.6000000000004</v>
      </c>
      <c r="G25" s="154">
        <f t="shared" ref="G25:T25" si="6">SUM(G22:G24)</f>
        <v>-2769.6000000000004</v>
      </c>
      <c r="H25" s="154">
        <f t="shared" si="6"/>
        <v>-6328</v>
      </c>
      <c r="I25" s="154">
        <f t="shared" si="6"/>
        <v>-7777</v>
      </c>
      <c r="J25" s="154">
        <f t="shared" si="6"/>
        <v>-7986.4000000000005</v>
      </c>
      <c r="K25" s="154">
        <f t="shared" si="6"/>
        <v>-8380</v>
      </c>
      <c r="L25" s="154">
        <f t="shared" si="6"/>
        <v>-9816.6</v>
      </c>
      <c r="M25" s="154">
        <f t="shared" si="6"/>
        <v>-9810.4</v>
      </c>
      <c r="N25" s="154">
        <f t="shared" si="6"/>
        <v>-9612.8000000000011</v>
      </c>
      <c r="O25" s="154">
        <f t="shared" si="6"/>
        <v>-8099.6</v>
      </c>
      <c r="P25" s="154">
        <f t="shared" si="6"/>
        <v>-8080.2000000000007</v>
      </c>
      <c r="Q25" s="154">
        <f t="shared" si="6"/>
        <v>-8194.2000000000007</v>
      </c>
      <c r="R25" s="154">
        <f t="shared" si="6"/>
        <v>-4071.8</v>
      </c>
      <c r="S25" s="154">
        <f t="shared" si="6"/>
        <v>-4071.8</v>
      </c>
      <c r="T25" s="154">
        <f t="shared" si="6"/>
        <v>-7630.2000000000007</v>
      </c>
      <c r="U25" s="154">
        <f>SUM(F25:Q25)</f>
        <v>-89624.400000000009</v>
      </c>
      <c r="V25" s="1"/>
    </row>
    <row r="26" spans="1:22" x14ac:dyDescent="0.3">
      <c r="A26" s="148"/>
      <c r="B26" s="148"/>
      <c r="C26" s="184" t="s">
        <v>52</v>
      </c>
      <c r="D26" s="148"/>
      <c r="E26" s="148"/>
      <c r="F26" s="149"/>
      <c r="G26" s="148"/>
      <c r="H26" s="148"/>
      <c r="I26" s="149"/>
      <c r="J26" s="148"/>
      <c r="K26" s="149"/>
      <c r="L26" s="185"/>
      <c r="M26" s="185"/>
      <c r="N26" s="185"/>
      <c r="O26" s="185"/>
      <c r="P26" s="185"/>
      <c r="Q26" s="148"/>
      <c r="R26" s="185"/>
      <c r="S26" s="149"/>
      <c r="T26" s="149"/>
      <c r="U26" s="148"/>
      <c r="V26" s="1"/>
    </row>
    <row r="27" spans="1:22" x14ac:dyDescent="0.3">
      <c r="C27" s="168" t="s">
        <v>184</v>
      </c>
      <c r="F27" s="177">
        <f>'BS 2024'!Q31+'CF 2025'!G54</f>
        <v>-77400</v>
      </c>
      <c r="G27" s="177">
        <f>'BS 2024'!R31+'CF 2025'!H54</f>
        <v>-74100</v>
      </c>
      <c r="H27" s="177">
        <f>'BS 2024'!S31+'CF 2025'!I54</f>
        <v>-70800</v>
      </c>
      <c r="I27" s="177">
        <f>H27-'CF 2025'!J54</f>
        <v>-67500</v>
      </c>
      <c r="J27" s="177">
        <f>I27-'CF 2025'!K54</f>
        <v>-64200</v>
      </c>
      <c r="K27" s="177">
        <f>J27-'CF 2025'!L54</f>
        <v>-60900</v>
      </c>
      <c r="L27" s="177">
        <f>K27-'CF 2025'!M54</f>
        <v>-57600</v>
      </c>
      <c r="M27" s="177">
        <f>L27-'CF 2025'!N54</f>
        <v>-54300</v>
      </c>
      <c r="N27" s="177">
        <f>M27-'CF 2025'!O54</f>
        <v>-51000</v>
      </c>
      <c r="O27" s="177">
        <f>N27-'CF 2025'!P54</f>
        <v>-47700</v>
      </c>
      <c r="P27" s="177">
        <f>O27-'CF 2025'!Q54</f>
        <v>-44400</v>
      </c>
      <c r="Q27" s="177">
        <f>P27-'CF 2025'!R54</f>
        <v>-41100</v>
      </c>
      <c r="R27" s="177">
        <f>Q27-'CF 2025'!S54</f>
        <v>-37800</v>
      </c>
      <c r="S27" s="177">
        <f>R27-'CF 2025'!T54</f>
        <v>-34500</v>
      </c>
      <c r="T27" s="177">
        <f>S27-'CF 2025'!U54</f>
        <v>-31200</v>
      </c>
      <c r="U27" s="1">
        <f>SUM(F27:Q27)</f>
        <v>-711000</v>
      </c>
      <c r="V27" s="1"/>
    </row>
    <row r="28" spans="1:22" ht="12.6" customHeight="1" x14ac:dyDescent="0.3">
      <c r="C28" s="169"/>
      <c r="F28"/>
      <c r="J28" s="170" t="s">
        <v>190</v>
      </c>
      <c r="V28" s="1"/>
    </row>
    <row r="29" spans="1:22" x14ac:dyDescent="0.3">
      <c r="C29" s="168" t="s">
        <v>185</v>
      </c>
      <c r="F29" s="170"/>
      <c r="G29" s="170"/>
      <c r="H29" s="170"/>
      <c r="Q29" s="170"/>
      <c r="V29" s="1"/>
    </row>
    <row r="30" spans="1:22" x14ac:dyDescent="0.3">
      <c r="C30" s="171" t="s">
        <v>193</v>
      </c>
      <c r="F30" s="170"/>
      <c r="G30" s="170"/>
      <c r="H30" s="170"/>
      <c r="Q30" s="170"/>
      <c r="V30" s="1"/>
    </row>
    <row r="31" spans="1:22" x14ac:dyDescent="0.3">
      <c r="C31" s="168" t="s">
        <v>186</v>
      </c>
      <c r="F31" s="177">
        <f>SUM(F27:F29)</f>
        <v>-77400</v>
      </c>
      <c r="G31" s="177">
        <f t="shared" ref="G31:T31" si="7">SUM(G27:G29)</f>
        <v>-74100</v>
      </c>
      <c r="H31" s="177">
        <f t="shared" si="7"/>
        <v>-70800</v>
      </c>
      <c r="I31" s="177">
        <f t="shared" si="7"/>
        <v>-67500</v>
      </c>
      <c r="J31" s="177">
        <f t="shared" si="7"/>
        <v>-64200</v>
      </c>
      <c r="K31" s="177">
        <f t="shared" si="7"/>
        <v>-60900</v>
      </c>
      <c r="L31" s="177">
        <f t="shared" si="7"/>
        <v>-57600</v>
      </c>
      <c r="M31" s="177">
        <f t="shared" si="7"/>
        <v>-54300</v>
      </c>
      <c r="N31" s="177">
        <f t="shared" si="7"/>
        <v>-51000</v>
      </c>
      <c r="O31" s="177">
        <f t="shared" si="7"/>
        <v>-47700</v>
      </c>
      <c r="P31" s="177">
        <f t="shared" si="7"/>
        <v>-44400</v>
      </c>
      <c r="Q31" s="177">
        <f t="shared" si="7"/>
        <v>-41100</v>
      </c>
      <c r="R31" s="177">
        <f t="shared" si="7"/>
        <v>-37800</v>
      </c>
      <c r="S31" s="177">
        <f t="shared" si="7"/>
        <v>-34500</v>
      </c>
      <c r="T31" s="177">
        <f t="shared" si="7"/>
        <v>-31200</v>
      </c>
      <c r="V31" s="1"/>
    </row>
    <row r="32" spans="1:22" x14ac:dyDescent="0.3">
      <c r="C32" s="168" t="s">
        <v>53</v>
      </c>
      <c r="F32" s="389">
        <f>F31+F25</f>
        <v>-80169.600000000006</v>
      </c>
      <c r="G32" s="389">
        <f t="shared" ref="G32:T32" si="8">G31+G24</f>
        <v>-76869.600000000006</v>
      </c>
      <c r="H32" s="389">
        <f t="shared" si="8"/>
        <v>-77128</v>
      </c>
      <c r="I32" s="389">
        <f t="shared" si="8"/>
        <v>-75277</v>
      </c>
      <c r="J32" s="389">
        <f t="shared" si="8"/>
        <v>-72186.399999999994</v>
      </c>
      <c r="K32" s="389">
        <f t="shared" si="8"/>
        <v>-69280</v>
      </c>
      <c r="L32" s="389">
        <f t="shared" si="8"/>
        <v>-67416.600000000006</v>
      </c>
      <c r="M32" s="389">
        <f t="shared" si="8"/>
        <v>-64110.400000000001</v>
      </c>
      <c r="N32" s="389">
        <f t="shared" si="8"/>
        <v>-60612.800000000003</v>
      </c>
      <c r="O32" s="389">
        <f t="shared" si="8"/>
        <v>-55799.6</v>
      </c>
      <c r="P32" s="389">
        <f t="shared" si="8"/>
        <v>-52480.2</v>
      </c>
      <c r="Q32" s="389">
        <f t="shared" si="8"/>
        <v>-49294.2</v>
      </c>
      <c r="R32" s="389">
        <f t="shared" si="8"/>
        <v>-41871.800000000003</v>
      </c>
      <c r="S32" s="389">
        <f t="shared" si="8"/>
        <v>-38571.800000000003</v>
      </c>
      <c r="T32" s="389">
        <f t="shared" si="8"/>
        <v>-38830.199999999997</v>
      </c>
      <c r="V32" s="1"/>
    </row>
    <row r="33" spans="3:22" x14ac:dyDescent="0.3">
      <c r="C33" s="168" t="s">
        <v>54</v>
      </c>
      <c r="F33" s="207">
        <f>F20+F27+F32</f>
        <v>448616.00000000012</v>
      </c>
      <c r="G33" s="207">
        <f>G20+G27+G32</f>
        <v>478138.4</v>
      </c>
      <c r="H33" s="207">
        <f t="shared" ref="H33:T33" si="9">H20+H27+H32</f>
        <v>518501</v>
      </c>
      <c r="I33" s="207">
        <f t="shared" si="9"/>
        <v>563234</v>
      </c>
      <c r="J33" s="207">
        <f t="shared" si="9"/>
        <v>610209.20000000007</v>
      </c>
      <c r="K33" s="207">
        <f t="shared" si="9"/>
        <v>658739.60000000009</v>
      </c>
      <c r="L33" s="207">
        <f t="shared" si="9"/>
        <v>712138.40000000014</v>
      </c>
      <c r="M33" s="207">
        <f t="shared" si="9"/>
        <v>767120.20000000007</v>
      </c>
      <c r="N33" s="207">
        <f t="shared" si="9"/>
        <v>821668</v>
      </c>
      <c r="O33" s="207">
        <f t="shared" si="9"/>
        <v>871643.60000000009</v>
      </c>
      <c r="P33" s="207">
        <f t="shared" si="9"/>
        <v>920212.80000000016</v>
      </c>
      <c r="Q33" s="207">
        <f t="shared" si="9"/>
        <v>969269.60000000033</v>
      </c>
      <c r="R33" s="207">
        <f t="shared" si="9"/>
        <v>1002771.6000000001</v>
      </c>
      <c r="S33" s="207">
        <f t="shared" si="9"/>
        <v>1032255.2</v>
      </c>
      <c r="T33" s="207">
        <f t="shared" si="9"/>
        <v>1072579.0000000002</v>
      </c>
      <c r="U33" s="397">
        <f>SUM(F33:Q33)</f>
        <v>8339490.8000000007</v>
      </c>
      <c r="V33" s="1"/>
    </row>
    <row r="34" spans="3:22" x14ac:dyDescent="0.3">
      <c r="C34" s="171" t="s">
        <v>56</v>
      </c>
      <c r="F34" s="169"/>
      <c r="G34" s="169"/>
      <c r="H34" s="169"/>
      <c r="I34" s="169"/>
      <c r="J34" s="170"/>
      <c r="K34" s="170"/>
      <c r="L34" s="170"/>
      <c r="M34" s="170"/>
      <c r="N34" s="170"/>
      <c r="O34" s="170"/>
      <c r="P34" s="170"/>
      <c r="Q34" s="169"/>
      <c r="R34" s="170"/>
      <c r="S34" s="170"/>
      <c r="T34" s="170"/>
      <c r="V34" s="1"/>
    </row>
    <row r="35" spans="3:22" x14ac:dyDescent="0.3">
      <c r="C35" s="171" t="s">
        <v>58</v>
      </c>
      <c r="F35" s="170">
        <f>SUM(F33:F34)</f>
        <v>448616.00000000012</v>
      </c>
      <c r="G35" s="170">
        <f t="shared" ref="G35:T35" si="10">SUM(G33:G34)</f>
        <v>478138.4</v>
      </c>
      <c r="H35" s="170">
        <f t="shared" si="10"/>
        <v>518501</v>
      </c>
      <c r="I35" s="170">
        <f t="shared" si="10"/>
        <v>563234</v>
      </c>
      <c r="J35" s="170">
        <f t="shared" si="10"/>
        <v>610209.20000000007</v>
      </c>
      <c r="K35" s="170">
        <f t="shared" si="10"/>
        <v>658739.60000000009</v>
      </c>
      <c r="L35" s="170">
        <f t="shared" si="10"/>
        <v>712138.40000000014</v>
      </c>
      <c r="M35" s="170">
        <f t="shared" si="10"/>
        <v>767120.20000000007</v>
      </c>
      <c r="N35" s="170">
        <f t="shared" si="10"/>
        <v>821668</v>
      </c>
      <c r="O35" s="170">
        <f t="shared" si="10"/>
        <v>871643.60000000009</v>
      </c>
      <c r="P35" s="170">
        <f t="shared" si="10"/>
        <v>920212.80000000016</v>
      </c>
      <c r="Q35" s="170">
        <f t="shared" si="10"/>
        <v>969269.60000000033</v>
      </c>
      <c r="R35" s="170">
        <f t="shared" si="10"/>
        <v>1002771.6000000001</v>
      </c>
      <c r="S35" s="170">
        <f t="shared" si="10"/>
        <v>1032255.2</v>
      </c>
      <c r="T35" s="170">
        <f t="shared" si="10"/>
        <v>1072579.0000000002</v>
      </c>
      <c r="V35" s="1"/>
    </row>
    <row r="36" spans="3:22" x14ac:dyDescent="0.3">
      <c r="C36" s="178" t="s">
        <v>59</v>
      </c>
      <c r="F36" s="170">
        <f>F34+F35</f>
        <v>448616.00000000012</v>
      </c>
      <c r="G36" s="170">
        <f t="shared" ref="G36:T36" si="11">G34+G35</f>
        <v>478138.4</v>
      </c>
      <c r="H36" s="170">
        <f t="shared" si="11"/>
        <v>518501</v>
      </c>
      <c r="I36" s="170">
        <f t="shared" si="11"/>
        <v>563234</v>
      </c>
      <c r="J36" s="170">
        <f t="shared" si="11"/>
        <v>610209.20000000007</v>
      </c>
      <c r="K36" s="170">
        <f t="shared" si="11"/>
        <v>658739.60000000009</v>
      </c>
      <c r="L36" s="170">
        <f t="shared" si="11"/>
        <v>712138.40000000014</v>
      </c>
      <c r="M36" s="170">
        <f t="shared" si="11"/>
        <v>767120.20000000007</v>
      </c>
      <c r="N36" s="170">
        <f t="shared" si="11"/>
        <v>821668</v>
      </c>
      <c r="O36" s="170">
        <f t="shared" si="11"/>
        <v>871643.60000000009</v>
      </c>
      <c r="P36" s="170">
        <f t="shared" si="11"/>
        <v>920212.80000000016</v>
      </c>
      <c r="Q36" s="170">
        <f t="shared" si="11"/>
        <v>969269.60000000033</v>
      </c>
      <c r="R36" s="170">
        <f t="shared" si="11"/>
        <v>1002771.6000000001</v>
      </c>
      <c r="S36" s="170">
        <f t="shared" si="11"/>
        <v>1032255.2</v>
      </c>
      <c r="T36" s="170">
        <f t="shared" si="11"/>
        <v>1072579.0000000002</v>
      </c>
      <c r="V36" s="1"/>
    </row>
    <row r="37" spans="3:22" x14ac:dyDescent="0.3">
      <c r="C37" s="171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V37" s="1"/>
    </row>
    <row r="38" spans="3:22" x14ac:dyDescent="0.3">
      <c r="C38" s="171" t="s">
        <v>187</v>
      </c>
      <c r="F38" s="169"/>
      <c r="G38" s="169"/>
      <c r="H38" s="169"/>
      <c r="I38" s="169"/>
      <c r="J38" s="169"/>
      <c r="K38" s="169"/>
      <c r="L38" s="388"/>
      <c r="M38" s="169"/>
      <c r="N38" s="169"/>
      <c r="O38" s="169"/>
      <c r="P38" s="169"/>
      <c r="Q38" s="169"/>
      <c r="R38" s="169"/>
      <c r="S38" s="169"/>
      <c r="T38" s="169"/>
      <c r="V38" s="1"/>
    </row>
    <row r="39" spans="3:22" x14ac:dyDescent="0.3">
      <c r="C39" s="171" t="s">
        <v>188</v>
      </c>
      <c r="F3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V39" s="1"/>
    </row>
    <row r="40" spans="3:22" x14ac:dyDescent="0.3">
      <c r="C40" s="171" t="s">
        <v>189</v>
      </c>
      <c r="F40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V40" s="1"/>
    </row>
    <row r="41" spans="3:22" x14ac:dyDescent="0.3">
      <c r="C41" s="171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DD3E6-C11A-48DF-A19E-6AAEA800A5EA}">
  <sheetPr codeName="Sheet36"/>
  <dimension ref="B2:V101"/>
  <sheetViews>
    <sheetView showGridLines="0" topLeftCell="B7" zoomScale="97" zoomScaleNormal="97" workbookViewId="0">
      <selection activeCell="K6" sqref="K6:V6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664062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73" t="s">
        <v>220</v>
      </c>
      <c r="C2" s="173"/>
      <c r="D2" s="173"/>
      <c r="E2" s="173"/>
      <c r="F2" s="147"/>
      <c r="G2" s="147"/>
      <c r="H2" s="147"/>
      <c r="I2" s="147"/>
      <c r="J2" s="147"/>
      <c r="K2" s="428" t="s">
        <v>225</v>
      </c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</row>
    <row r="4" spans="2:22" x14ac:dyDescent="0.3">
      <c r="B4" s="186" t="s">
        <v>20</v>
      </c>
      <c r="C4" s="186"/>
      <c r="D4" s="186"/>
      <c r="E4" s="187">
        <v>2023</v>
      </c>
      <c r="F4" s="187">
        <v>2024</v>
      </c>
      <c r="G4" s="187">
        <v>2025</v>
      </c>
      <c r="H4" s="187">
        <v>2026</v>
      </c>
      <c r="I4" s="187">
        <v>2027</v>
      </c>
      <c r="J4" s="186"/>
      <c r="K4" s="187" t="s">
        <v>25</v>
      </c>
      <c r="L4" s="187" t="s">
        <v>26</v>
      </c>
      <c r="M4" s="187" t="s">
        <v>27</v>
      </c>
      <c r="N4" s="187" t="s">
        <v>28</v>
      </c>
      <c r="O4" s="187" t="s">
        <v>29</v>
      </c>
      <c r="P4" s="187" t="s">
        <v>30</v>
      </c>
      <c r="Q4" s="187" t="s">
        <v>31</v>
      </c>
      <c r="R4" s="187" t="s">
        <v>32</v>
      </c>
      <c r="S4" s="187" t="s">
        <v>33</v>
      </c>
      <c r="T4" s="187" t="s">
        <v>34</v>
      </c>
      <c r="U4" s="187" t="s">
        <v>35</v>
      </c>
      <c r="V4" s="187" t="s">
        <v>36</v>
      </c>
    </row>
    <row r="5" spans="2:22" x14ac:dyDescent="0.3">
      <c r="B5" t="s">
        <v>37</v>
      </c>
      <c r="E5" s="194">
        <f>'Statements Summary 2023'!V5</f>
        <v>54409</v>
      </c>
      <c r="F5" s="194">
        <f>'Statements Summary 2024'!V5</f>
        <v>54409</v>
      </c>
      <c r="G5" s="194">
        <f t="shared" ref="G5:G17" si="0">V5</f>
        <v>54409</v>
      </c>
      <c r="H5" s="194">
        <f>'Statements Summary 2026'!V5</f>
        <v>54409</v>
      </c>
      <c r="I5" s="194">
        <f>'Statements Summary 2027'!V5</f>
        <v>54409</v>
      </c>
      <c r="K5" s="194">
        <f>'CF 2025'!G69</f>
        <v>31047</v>
      </c>
      <c r="L5" s="194">
        <f>'CF 2025'!H69</f>
        <v>31047</v>
      </c>
      <c r="M5" s="194">
        <f>'CF 2025'!I69</f>
        <v>48839</v>
      </c>
      <c r="N5" s="194">
        <f>'CF 2025'!J69</f>
        <v>52523</v>
      </c>
      <c r="O5" s="194">
        <f>'CF 2025'!K69</f>
        <v>53570</v>
      </c>
      <c r="P5" s="194">
        <f>'CF 2025'!L69</f>
        <v>55538</v>
      </c>
      <c r="Q5" s="194">
        <f>'CF 2025'!M69</f>
        <v>62721</v>
      </c>
      <c r="R5" s="194">
        <f>'CF 2025'!N69</f>
        <v>62690</v>
      </c>
      <c r="S5" s="194">
        <f>'CF 2025'!O69</f>
        <v>61702</v>
      </c>
      <c r="T5" s="194">
        <f>'CF 2025'!P69</f>
        <v>54136</v>
      </c>
      <c r="U5" s="194">
        <f>'CF 2025'!Q69</f>
        <v>54039</v>
      </c>
      <c r="V5" s="194">
        <f>'CF 2025'!R69</f>
        <v>54409</v>
      </c>
    </row>
    <row r="6" spans="2:22" x14ac:dyDescent="0.3">
      <c r="B6" t="s">
        <v>38</v>
      </c>
      <c r="E6" s="194">
        <f>'Statements Summary 2023'!V6</f>
        <v>-200</v>
      </c>
      <c r="F6" s="194">
        <f>'Statements Summary 2024'!V6</f>
        <v>-200</v>
      </c>
      <c r="G6" s="194">
        <f>'CF 2025'!R36</f>
        <v>-200</v>
      </c>
      <c r="H6" s="194">
        <f>'Statements Summary 2026'!V6</f>
        <v>-250</v>
      </c>
      <c r="I6" s="194">
        <f>'Statements Summary 2027'!V6</f>
        <v>-250</v>
      </c>
      <c r="K6" s="194">
        <f>'CF 2025'!G36</f>
        <v>-200</v>
      </c>
      <c r="L6" s="194">
        <f>'CF 2025'!H36</f>
        <v>-200</v>
      </c>
      <c r="M6" s="194">
        <f>'CF 2025'!I36</f>
        <v>-200</v>
      </c>
      <c r="N6" s="194">
        <f>'CF 2025'!J36</f>
        <v>-200</v>
      </c>
      <c r="O6" s="194">
        <f>'CF 2025'!K36</f>
        <v>-200</v>
      </c>
      <c r="P6" s="194">
        <f>'CF 2025'!L36</f>
        <v>-200</v>
      </c>
      <c r="Q6" s="194">
        <f>'CF 2025'!M36</f>
        <v>-200</v>
      </c>
      <c r="R6" s="194">
        <f>'CF 2025'!N36</f>
        <v>-200</v>
      </c>
      <c r="S6" s="194">
        <f>'CF 2025'!O36</f>
        <v>-200</v>
      </c>
      <c r="T6" s="194">
        <f>'CF 2025'!P36</f>
        <v>-200</v>
      </c>
      <c r="U6" s="194">
        <f>'CF 2025'!Q36</f>
        <v>-200</v>
      </c>
      <c r="V6" s="194">
        <f>'CF 2025'!R36</f>
        <v>-200</v>
      </c>
    </row>
    <row r="7" spans="2:22" x14ac:dyDescent="0.3">
      <c r="B7" t="s">
        <v>39</v>
      </c>
      <c r="E7" s="194">
        <f>'Statements Summary 2023'!V7</f>
        <v>-3300</v>
      </c>
      <c r="F7" s="194">
        <f>'Statements Summary 2024'!V7</f>
        <v>-3300</v>
      </c>
      <c r="G7" s="194">
        <f t="shared" si="0"/>
        <v>-3300</v>
      </c>
      <c r="H7" s="194">
        <f>'Statements Summary 2026'!V7</f>
        <v>-3300</v>
      </c>
      <c r="I7" s="194">
        <f>'Statements Summary 2027'!V7</f>
        <v>0</v>
      </c>
      <c r="K7" s="194" t="s">
        <v>190</v>
      </c>
      <c r="L7" s="194">
        <f>'CF 2025'!H54</f>
        <v>-3300</v>
      </c>
      <c r="M7" s="194">
        <f>'CF 2025'!I54</f>
        <v>-3300</v>
      </c>
      <c r="N7" s="194">
        <f>'CF 2025'!J54</f>
        <v>-3300</v>
      </c>
      <c r="O7" s="194">
        <f>'CF 2025'!K54</f>
        <v>-3300</v>
      </c>
      <c r="P7" s="194">
        <f>'CF 2025'!L54</f>
        <v>-3300</v>
      </c>
      <c r="Q7" s="194">
        <f>'CF 2025'!M54</f>
        <v>-3300</v>
      </c>
      <c r="R7" s="194">
        <f>'CF 2025'!N54</f>
        <v>-3300</v>
      </c>
      <c r="S7" s="194">
        <f>'CF 2025'!O54</f>
        <v>-3300</v>
      </c>
      <c r="T7" s="194">
        <f>'CF 2025'!P54</f>
        <v>-3300</v>
      </c>
      <c r="U7" s="194">
        <f>'CF 2025'!Q54</f>
        <v>-3300</v>
      </c>
      <c r="V7" s="194">
        <f>'CF 2025'!R54</f>
        <v>-3300</v>
      </c>
    </row>
    <row r="8" spans="2:22" x14ac:dyDescent="0.3">
      <c r="B8" t="s">
        <v>14</v>
      </c>
      <c r="E8" s="194">
        <f>'Statements Summary 2023'!V8</f>
        <v>23102.6</v>
      </c>
      <c r="F8" s="194">
        <f>'Statements Summary 2024'!V8</f>
        <v>23102.6</v>
      </c>
      <c r="G8" s="194">
        <f t="shared" si="0"/>
        <v>43959.8</v>
      </c>
      <c r="H8" s="194">
        <f>'Statements Summary 2026'!V8</f>
        <v>44642.2</v>
      </c>
      <c r="I8" s="194">
        <f>'Statements Summary 2027'!V8</f>
        <v>44651</v>
      </c>
      <c r="K8" s="194">
        <f>'CF 2025'!G43</f>
        <v>24207.4</v>
      </c>
      <c r="L8" s="194">
        <f>'CF 2025'!H43</f>
        <v>24372.400000000001</v>
      </c>
      <c r="M8" s="194">
        <f>'CF 2025'!I43</f>
        <v>38771</v>
      </c>
      <c r="N8" s="194">
        <f>'CF 2025'!J43</f>
        <v>41171</v>
      </c>
      <c r="O8" s="194">
        <f>'CF 2025'!K43</f>
        <v>42173.599999999999</v>
      </c>
      <c r="P8" s="194">
        <f>'CF 2025'!L43</f>
        <v>43913</v>
      </c>
      <c r="Q8" s="194">
        <f>'CF 2025'!M43</f>
        <v>49824.4</v>
      </c>
      <c r="R8" s="194">
        <f>'CF 2025'!N43</f>
        <v>49964.6</v>
      </c>
      <c r="S8" s="194">
        <f>'CF 2025'!O43</f>
        <v>49339.199999999997</v>
      </c>
      <c r="T8" s="194">
        <f>'CF 2025'!P43</f>
        <v>43451.4</v>
      </c>
      <c r="U8" s="194">
        <f>'CF 2025'!Q43</f>
        <v>43538.8</v>
      </c>
      <c r="V8" s="194">
        <f>'CF 2025'!R43</f>
        <v>43959.8</v>
      </c>
    </row>
    <row r="9" spans="2:22" x14ac:dyDescent="0.3">
      <c r="B9" t="s">
        <v>40</v>
      </c>
      <c r="E9" s="194" t="str">
        <f>'Statements Summary 2023'!V9</f>
        <v>-</v>
      </c>
      <c r="F9" s="194" t="str">
        <f>'Statements Summary 2024'!V9</f>
        <v>-</v>
      </c>
      <c r="G9" s="194">
        <f t="shared" si="0"/>
        <v>0</v>
      </c>
      <c r="H9" s="194">
        <f>'Statements Summary 2026'!V9</f>
        <v>0</v>
      </c>
      <c r="I9" s="194">
        <f>'Statements Summary 2027'!V9</f>
        <v>0</v>
      </c>
      <c r="K9" s="194">
        <f>'CF 2025'!G48</f>
        <v>0</v>
      </c>
      <c r="L9" s="194">
        <f>'CF 2025'!H48</f>
        <v>0</v>
      </c>
      <c r="M9" s="194">
        <f>'CF 2025'!I48</f>
        <v>0</v>
      </c>
      <c r="N9" s="194">
        <f>'CF 2025'!J48</f>
        <v>0</v>
      </c>
      <c r="O9" s="194">
        <f>'CF 2025'!K48</f>
        <v>0</v>
      </c>
      <c r="P9" s="194">
        <f>'CF 2025'!L48</f>
        <v>0</v>
      </c>
      <c r="Q9" s="194">
        <f>'CF 2025'!M48</f>
        <v>0</v>
      </c>
      <c r="R9" s="194">
        <f>'CF 2025'!N48</f>
        <v>0</v>
      </c>
      <c r="S9" s="194">
        <f>'CF 2025'!O48</f>
        <v>0</v>
      </c>
      <c r="T9" s="194">
        <f>'CF 2025'!P48</f>
        <v>0</v>
      </c>
      <c r="U9" s="194">
        <f>'CF 2025'!Q48</f>
        <v>0</v>
      </c>
      <c r="V9" s="194">
        <f>'CF 2025'!R48</f>
        <v>0</v>
      </c>
    </row>
    <row r="10" spans="2:22" x14ac:dyDescent="0.3">
      <c r="B10" t="s">
        <v>41</v>
      </c>
      <c r="E10" s="194" t="str">
        <f>'Statements Summary 2023'!V10</f>
        <v>-</v>
      </c>
      <c r="F10" s="194" t="str">
        <f>'Statements Summary 2024'!V10</f>
        <v>-</v>
      </c>
      <c r="G10" s="194" t="str">
        <f t="shared" si="0"/>
        <v>-</v>
      </c>
      <c r="H10" s="194" t="str">
        <f>'Statements Summary 2026'!V10</f>
        <v>-</v>
      </c>
      <c r="I10" s="194" t="str">
        <f>'Statements Summary 2027'!V10</f>
        <v>-</v>
      </c>
      <c r="K10" s="194" t="s">
        <v>190</v>
      </c>
      <c r="L10" s="194" t="s">
        <v>190</v>
      </c>
      <c r="M10" s="194" t="s">
        <v>190</v>
      </c>
      <c r="N10" s="194" t="s">
        <v>190</v>
      </c>
      <c r="O10" s="194" t="s">
        <v>190</v>
      </c>
      <c r="P10" s="194" t="s">
        <v>190</v>
      </c>
      <c r="Q10" s="194" t="s">
        <v>190</v>
      </c>
      <c r="R10" s="194" t="s">
        <v>190</v>
      </c>
      <c r="S10" s="194" t="s">
        <v>190</v>
      </c>
      <c r="T10" s="194" t="s">
        <v>190</v>
      </c>
      <c r="U10" s="194" t="s">
        <v>190</v>
      </c>
      <c r="V10" s="194" t="s">
        <v>190</v>
      </c>
    </row>
    <row r="11" spans="2:22" x14ac:dyDescent="0.3">
      <c r="B11" t="s">
        <v>42</v>
      </c>
      <c r="E11" s="194" t="str">
        <f>'Statements Summary 2023'!V11</f>
        <v>-</v>
      </c>
      <c r="F11" s="194" t="str">
        <f>'Statements Summary 2024'!V11</f>
        <v>-</v>
      </c>
      <c r="G11" s="194" t="str">
        <f t="shared" si="0"/>
        <v>-</v>
      </c>
      <c r="H11" s="194" t="str">
        <f>'Statements Summary 2026'!V11</f>
        <v>-</v>
      </c>
      <c r="I11" s="194" t="str">
        <f>'Statements Summary 2027'!V11</f>
        <v>-</v>
      </c>
      <c r="K11" s="194">
        <f>'CF 2025'!G48</f>
        <v>0</v>
      </c>
      <c r="L11" s="194" t="s">
        <v>190</v>
      </c>
      <c r="M11" s="194" t="s">
        <v>190</v>
      </c>
      <c r="N11" s="194" t="s">
        <v>190</v>
      </c>
      <c r="O11" s="194" t="s">
        <v>190</v>
      </c>
      <c r="P11" s="194" t="s">
        <v>190</v>
      </c>
      <c r="Q11" s="194" t="s">
        <v>190</v>
      </c>
      <c r="R11" s="194" t="s">
        <v>190</v>
      </c>
      <c r="S11" s="194" t="s">
        <v>190</v>
      </c>
      <c r="T11" s="194" t="s">
        <v>190</v>
      </c>
      <c r="U11" s="194" t="s">
        <v>190</v>
      </c>
      <c r="V11" s="194" t="s">
        <v>190</v>
      </c>
    </row>
    <row r="12" spans="2:22" x14ac:dyDescent="0.3">
      <c r="B12" t="s">
        <v>43</v>
      </c>
      <c r="E12" s="194">
        <f>'Statements Summary 2023'!V12</f>
        <v>-3300</v>
      </c>
      <c r="F12" s="194">
        <f>'Statements Summary 2024'!V12</f>
        <v>-3300</v>
      </c>
      <c r="G12" s="194">
        <f t="shared" si="0"/>
        <v>-3300</v>
      </c>
      <c r="H12" s="194">
        <f>'Statements Summary 2026'!V12</f>
        <v>-3300</v>
      </c>
      <c r="I12" s="194">
        <f>'Statements Summary 2027'!V12</f>
        <v>0</v>
      </c>
      <c r="K12" s="194" t="s">
        <v>190</v>
      </c>
      <c r="L12" s="194">
        <f>'CF 2025'!H54</f>
        <v>-3300</v>
      </c>
      <c r="M12" s="194">
        <f>'CF 2025'!I54</f>
        <v>-3300</v>
      </c>
      <c r="N12" s="194">
        <f>'CF 2025'!J54</f>
        <v>-3300</v>
      </c>
      <c r="O12" s="194">
        <f>'CF 2025'!K54</f>
        <v>-3300</v>
      </c>
      <c r="P12" s="194">
        <f>'CF 2025'!L54</f>
        <v>-3300</v>
      </c>
      <c r="Q12" s="194">
        <f>'CF 2025'!M54</f>
        <v>-3300</v>
      </c>
      <c r="R12" s="194">
        <f>'CF 2025'!N54</f>
        <v>-3300</v>
      </c>
      <c r="S12" s="194">
        <f>'CF 2025'!O54</f>
        <v>-3300</v>
      </c>
      <c r="T12" s="194">
        <f>'CF 2025'!P54</f>
        <v>-3300</v>
      </c>
      <c r="U12" s="194">
        <f>'CF 2025'!Q54</f>
        <v>-3300</v>
      </c>
      <c r="V12" s="194">
        <f>'CF 2025'!R54</f>
        <v>-3300</v>
      </c>
    </row>
    <row r="13" spans="2:22" x14ac:dyDescent="0.3">
      <c r="B13" t="s">
        <v>44</v>
      </c>
      <c r="E13" s="194" t="str">
        <f>'Statements Summary 2023'!V13</f>
        <v>-</v>
      </c>
      <c r="F13" s="194" t="str">
        <f>'Statements Summary 2024'!V13</f>
        <v>-</v>
      </c>
      <c r="G13" s="194" t="str">
        <f t="shared" si="0"/>
        <v>-</v>
      </c>
      <c r="H13" s="194" t="str">
        <f>'Statements Summary 2026'!V13</f>
        <v>-</v>
      </c>
      <c r="I13" s="194" t="str">
        <f>'Statements Summary 2027'!V13</f>
        <v>-</v>
      </c>
      <c r="K13" s="194" t="s">
        <v>190</v>
      </c>
      <c r="L13" s="194" t="s">
        <v>190</v>
      </c>
      <c r="M13" s="194" t="s">
        <v>190</v>
      </c>
      <c r="N13" s="194" t="s">
        <v>190</v>
      </c>
      <c r="O13" s="194" t="s">
        <v>190</v>
      </c>
      <c r="P13" s="194" t="s">
        <v>190</v>
      </c>
      <c r="Q13" s="194" t="s">
        <v>190</v>
      </c>
      <c r="R13" s="194" t="s">
        <v>190</v>
      </c>
      <c r="S13" s="194" t="s">
        <v>190</v>
      </c>
      <c r="T13" s="194" t="s">
        <v>190</v>
      </c>
      <c r="U13" s="194" t="s">
        <v>190</v>
      </c>
      <c r="V13" s="194" t="s">
        <v>190</v>
      </c>
    </row>
    <row r="14" spans="2:22" x14ac:dyDescent="0.3">
      <c r="B14" t="s">
        <v>45</v>
      </c>
      <c r="E14" s="194" t="str">
        <f>'Statements Summary 2023'!V14</f>
        <v>-</v>
      </c>
      <c r="F14" s="194" t="str">
        <f>'Statements Summary 2024'!V14</f>
        <v>-</v>
      </c>
      <c r="G14" s="194" t="str">
        <f t="shared" si="0"/>
        <v>-</v>
      </c>
      <c r="H14" s="194" t="str">
        <f>'Statements Summary 2026'!V14</f>
        <v>-</v>
      </c>
      <c r="I14" s="194" t="str">
        <f>'Statements Summary 2027'!V14</f>
        <v>-</v>
      </c>
      <c r="K14" s="194" t="s">
        <v>190</v>
      </c>
      <c r="L14" s="194" t="s">
        <v>190</v>
      </c>
      <c r="M14" s="194" t="s">
        <v>190</v>
      </c>
      <c r="N14" s="194" t="s">
        <v>190</v>
      </c>
      <c r="O14" s="194" t="s">
        <v>190</v>
      </c>
      <c r="P14" s="194" t="s">
        <v>190</v>
      </c>
      <c r="Q14" s="194" t="s">
        <v>190</v>
      </c>
      <c r="R14" s="194" t="s">
        <v>190</v>
      </c>
      <c r="S14" s="194" t="s">
        <v>190</v>
      </c>
      <c r="T14" s="194" t="s">
        <v>190</v>
      </c>
      <c r="U14" s="194" t="s">
        <v>190</v>
      </c>
      <c r="V14" s="194" t="s">
        <v>190</v>
      </c>
    </row>
    <row r="15" spans="2:22" x14ac:dyDescent="0.3">
      <c r="B15" t="s">
        <v>46</v>
      </c>
      <c r="E15" s="194">
        <f>'Statements Summary 2023'!V15</f>
        <v>-3300</v>
      </c>
      <c r="F15" s="194">
        <f>'Statements Summary 2024'!V15</f>
        <v>-3300</v>
      </c>
      <c r="G15" s="194">
        <f t="shared" si="0"/>
        <v>-3300</v>
      </c>
      <c r="H15" s="194">
        <f>'Statements Summary 2026'!V15</f>
        <v>-3300</v>
      </c>
      <c r="I15" s="194">
        <f>'Statements Summary 2027'!V15</f>
        <v>0</v>
      </c>
      <c r="K15" s="194" t="s">
        <v>190</v>
      </c>
      <c r="L15" s="194">
        <f>'CF 2025'!H54</f>
        <v>-3300</v>
      </c>
      <c r="M15" s="194">
        <f>'CF 2025'!I54</f>
        <v>-3300</v>
      </c>
      <c r="N15" s="194">
        <f>'CF 2025'!J54</f>
        <v>-3300</v>
      </c>
      <c r="O15" s="194">
        <f>'CF 2025'!K54</f>
        <v>-3300</v>
      </c>
      <c r="P15" s="194">
        <f>'CF 2025'!L54</f>
        <v>-3300</v>
      </c>
      <c r="Q15" s="194">
        <f>'CF 2025'!M54</f>
        <v>-3300</v>
      </c>
      <c r="R15" s="194">
        <f>'CF 2025'!N54</f>
        <v>-3300</v>
      </c>
      <c r="S15" s="194">
        <f>'CF 2025'!O54</f>
        <v>-3300</v>
      </c>
      <c r="T15" s="194">
        <f>'CF 2025'!P54</f>
        <v>-3300</v>
      </c>
      <c r="U15" s="194">
        <f>'CF 2025'!Q54</f>
        <v>-3300</v>
      </c>
      <c r="V15" s="194">
        <f>'CF 2025'!R54</f>
        <v>-3300</v>
      </c>
    </row>
    <row r="16" spans="2:22" x14ac:dyDescent="0.3">
      <c r="B16" t="s">
        <v>195</v>
      </c>
      <c r="E16" s="194">
        <f>'Statements Summary 2023'!V16</f>
        <v>23102.6</v>
      </c>
      <c r="F16" s="194">
        <f>'Statements Summary 2024'!V16</f>
        <v>23102.6</v>
      </c>
      <c r="G16" s="194">
        <f t="shared" si="0"/>
        <v>43959.8</v>
      </c>
      <c r="H16" s="194">
        <f>'Statements Summary 2026'!V16</f>
        <v>44642.2</v>
      </c>
      <c r="I16" s="194">
        <f>'Statements Summary 2027'!V16</f>
        <v>44651</v>
      </c>
      <c r="K16" s="194">
        <f>'CF 2025'!G43</f>
        <v>24207.4</v>
      </c>
      <c r="L16" s="194">
        <f>'CF 2025'!H43</f>
        <v>24372.400000000001</v>
      </c>
      <c r="M16" s="194">
        <f>'CF 2025'!I43</f>
        <v>38771</v>
      </c>
      <c r="N16" s="194">
        <f>'CF 2025'!J43</f>
        <v>41171</v>
      </c>
      <c r="O16" s="194">
        <f>'CF 2025'!K43</f>
        <v>42173.599999999999</v>
      </c>
      <c r="P16" s="194">
        <f>'CF 2025'!L43</f>
        <v>43913</v>
      </c>
      <c r="Q16" s="194">
        <f>'CF 2025'!M43</f>
        <v>49824.4</v>
      </c>
      <c r="R16" s="194">
        <f>'CF 2025'!N43</f>
        <v>49964.6</v>
      </c>
      <c r="S16" s="194">
        <f>'CF 2025'!O43</f>
        <v>49339.199999999997</v>
      </c>
      <c r="T16" s="194">
        <f>'CF 2025'!P43</f>
        <v>43451.4</v>
      </c>
      <c r="U16" s="194">
        <f>'CF 2025'!Q43</f>
        <v>43538.8</v>
      </c>
      <c r="V16" s="194">
        <f>'CF 2025'!R43</f>
        <v>43959.8</v>
      </c>
    </row>
    <row r="17" spans="2:22" x14ac:dyDescent="0.3">
      <c r="B17" t="s">
        <v>47</v>
      </c>
      <c r="E17" s="194">
        <f>'Statements Summary 2023'!V17</f>
        <v>42905.200000000004</v>
      </c>
      <c r="F17" s="194">
        <f>'Statements Summary 2024'!V17</f>
        <v>42905.200000000004</v>
      </c>
      <c r="G17" s="194">
        <f t="shared" si="0"/>
        <v>84619.6</v>
      </c>
      <c r="H17" s="194">
        <f>'Statements Summary 2026'!V17</f>
        <v>85984.4</v>
      </c>
      <c r="I17" s="194">
        <f>'Statements Summary 2027'!V17</f>
        <v>89302</v>
      </c>
      <c r="K17" s="194">
        <f>'CF 2025'!G64+'CF 2025'!G40+'CF 2025'!G41</f>
        <v>45114.8</v>
      </c>
      <c r="L17" s="194">
        <f>'CF 2025'!H64+'CF 2025'!H40+'CF 2025'!H41</f>
        <v>45444.800000000003</v>
      </c>
      <c r="M17" s="194">
        <f>'CF 2025'!I64+'CF 2025'!I40+'CF 2025'!I41</f>
        <v>74242</v>
      </c>
      <c r="N17" s="194">
        <f>'CF 2025'!J64+'CF 2025'!J40+'CF 2025'!J41</f>
        <v>79042</v>
      </c>
      <c r="O17" s="194">
        <f>'CF 2025'!K64+'CF 2025'!K40+'CF 2025'!K41</f>
        <v>81047.200000000012</v>
      </c>
      <c r="P17" s="194">
        <f>'CF 2025'!L64+'CF 2025'!L40+'CF 2025'!L41</f>
        <v>84526</v>
      </c>
      <c r="Q17" s="194">
        <f>'CF 2025'!M64+'CF 2025'!M40+'CF 2025'!M41</f>
        <v>96348.799999999988</v>
      </c>
      <c r="R17" s="194">
        <f>'CF 2025'!N64+'CF 2025'!N40+'CF 2025'!N41</f>
        <v>96629.200000000012</v>
      </c>
      <c r="S17" s="194">
        <f>'CF 2025'!O64+'CF 2025'!O40+'CF 2025'!O41</f>
        <v>95378.4</v>
      </c>
      <c r="T17" s="194">
        <f>'CF 2025'!P64+'CF 2025'!P40+'CF 2025'!P41</f>
        <v>83602.799999999988</v>
      </c>
      <c r="U17" s="194">
        <f>'CF 2025'!Q64+'CF 2025'!Q40+'CF 2025'!Q41</f>
        <v>83777.600000000006</v>
      </c>
      <c r="V17" s="194">
        <f>'CF 2025'!R64+'CF 2025'!R40+'CF 2025'!R41</f>
        <v>84619.6</v>
      </c>
    </row>
    <row r="19" spans="2:22" x14ac:dyDescent="0.3">
      <c r="B19" s="173" t="s">
        <v>220</v>
      </c>
      <c r="C19" s="147"/>
      <c r="D19" s="147"/>
      <c r="E19" s="147"/>
      <c r="F19" s="147"/>
      <c r="G19" s="147"/>
      <c r="H19" s="147"/>
      <c r="I19" s="147"/>
      <c r="K19" s="428" t="s">
        <v>225</v>
      </c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</row>
    <row r="42" spans="2:22" x14ac:dyDescent="0.3">
      <c r="B42" s="173" t="s">
        <v>221</v>
      </c>
      <c r="C42" s="173"/>
      <c r="D42" s="173"/>
      <c r="E42" s="173"/>
      <c r="F42" s="147"/>
      <c r="G42" s="147"/>
      <c r="H42" s="147"/>
      <c r="I42" s="147"/>
      <c r="J42" s="147"/>
      <c r="K42" s="428" t="s">
        <v>226</v>
      </c>
      <c r="L42" s="428"/>
      <c r="M42" s="428"/>
      <c r="N42" s="428"/>
      <c r="O42" s="428"/>
      <c r="P42" s="428"/>
      <c r="Q42" s="428"/>
      <c r="R42" s="428"/>
      <c r="S42" s="428"/>
      <c r="T42" s="428"/>
      <c r="U42" s="428"/>
      <c r="V42" s="428"/>
    </row>
    <row r="44" spans="2:22" x14ac:dyDescent="0.3">
      <c r="B44" s="186" t="s">
        <v>20</v>
      </c>
      <c r="C44" s="186"/>
      <c r="D44" s="186"/>
      <c r="E44" s="187">
        <v>2023</v>
      </c>
      <c r="F44" s="187">
        <v>2024</v>
      </c>
      <c r="G44" s="187">
        <v>2025</v>
      </c>
      <c r="H44" s="187">
        <v>2026</v>
      </c>
      <c r="I44" s="187">
        <v>2027</v>
      </c>
      <c r="J44" s="186"/>
      <c r="K44" s="186" t="s">
        <v>25</v>
      </c>
      <c r="L44" s="186" t="s">
        <v>26</v>
      </c>
      <c r="M44" s="186" t="s">
        <v>27</v>
      </c>
      <c r="N44" s="186" t="s">
        <v>28</v>
      </c>
      <c r="O44" s="186" t="s">
        <v>29</v>
      </c>
      <c r="P44" s="186" t="s">
        <v>30</v>
      </c>
      <c r="Q44" s="186" t="s">
        <v>31</v>
      </c>
      <c r="R44" s="186" t="s">
        <v>32</v>
      </c>
      <c r="S44" s="186" t="s">
        <v>33</v>
      </c>
      <c r="T44" s="186" t="s">
        <v>34</v>
      </c>
      <c r="U44" s="186" t="s">
        <v>35</v>
      </c>
      <c r="V44" s="186" t="s">
        <v>36</v>
      </c>
    </row>
    <row r="45" spans="2:22" x14ac:dyDescent="0.3">
      <c r="B45" s="14" t="s">
        <v>2</v>
      </c>
      <c r="C45" s="14"/>
      <c r="D45" s="14"/>
      <c r="E45" s="188">
        <f>'Statements Summary 2023'!V44</f>
        <v>54409</v>
      </c>
      <c r="F45" s="188">
        <f>'Statements Summary 2024'!V44</f>
        <v>54409</v>
      </c>
      <c r="G45" s="188">
        <f t="shared" ref="G45:G65" si="1">V45</f>
        <v>54409</v>
      </c>
      <c r="H45" s="188">
        <f>'Statements Summary 2026'!V45</f>
        <v>54409</v>
      </c>
      <c r="I45" s="188">
        <f>'Statements Summary 2027'!V45</f>
        <v>54409</v>
      </c>
      <c r="K45" s="188">
        <f>'IS 2025'!F34</f>
        <v>31047</v>
      </c>
      <c r="L45" s="188">
        <f>'IS 2025'!G34</f>
        <v>31047</v>
      </c>
      <c r="M45" s="188">
        <f>'IS 2025'!H34</f>
        <v>48839</v>
      </c>
      <c r="N45" s="188">
        <f>'IS 2025'!I34</f>
        <v>52523</v>
      </c>
      <c r="O45" s="188">
        <f>'IS 2025'!J34</f>
        <v>53570</v>
      </c>
      <c r="P45" s="188">
        <f>'IS 2025'!K34</f>
        <v>55538</v>
      </c>
      <c r="Q45" s="188">
        <f>'IS 2025'!L34</f>
        <v>62721</v>
      </c>
      <c r="R45" s="188">
        <f>'IS 2025'!M34</f>
        <v>62690</v>
      </c>
      <c r="S45" s="188">
        <f>'IS 2025'!N34</f>
        <v>61702</v>
      </c>
      <c r="T45" s="188">
        <f>'IS 2025'!O34</f>
        <v>54136</v>
      </c>
      <c r="U45" s="188">
        <f>'IS 2025'!P34</f>
        <v>54039</v>
      </c>
      <c r="V45" s="188">
        <f>'IS 2025'!Q34</f>
        <v>54409</v>
      </c>
    </row>
    <row r="46" spans="2:22" x14ac:dyDescent="0.3">
      <c r="B46" t="s">
        <v>21</v>
      </c>
      <c r="E46" s="1">
        <f>'Statements Summary 2023'!V45</f>
        <v>6.8469068635615016E-3</v>
      </c>
      <c r="F46" s="2">
        <f>'Statements Summary 2024'!V45</f>
        <v>6.8469068635615016E-3</v>
      </c>
      <c r="G46" s="2">
        <f t="shared" si="1"/>
        <v>6.8469068635615016E-3</v>
      </c>
      <c r="H46" s="2">
        <f>'Statements Summary 2026'!V46</f>
        <v>6.8469068635615016E-3</v>
      </c>
      <c r="I46" s="2">
        <f>'Statements Summary 2027'!V46</f>
        <v>6.8469068635615016E-3</v>
      </c>
      <c r="K46" s="2"/>
      <c r="L46" s="2">
        <f t="shared" ref="L46" si="2">(L45-K45)/K45</f>
        <v>0</v>
      </c>
      <c r="M46" s="2">
        <f>(M45-L45)/L45</f>
        <v>0.57306664089928172</v>
      </c>
      <c r="N46" s="2">
        <f>(N45-M45)/M45</f>
        <v>7.5431519891889676E-2</v>
      </c>
      <c r="O46" s="2">
        <f t="shared" ref="O46:T46" si="3">(O45-N45)/N45</f>
        <v>1.9934124098014202E-2</v>
      </c>
      <c r="P46" s="2">
        <f t="shared" si="3"/>
        <v>3.6736979652790741E-2</v>
      </c>
      <c r="Q46" s="2">
        <f t="shared" si="3"/>
        <v>0.12933486981886277</v>
      </c>
      <c r="R46" s="2">
        <f t="shared" si="3"/>
        <v>-4.9425232378310291E-4</v>
      </c>
      <c r="S46" s="2">
        <f t="shared" si="3"/>
        <v>-1.5760089328441539E-2</v>
      </c>
      <c r="T46" s="2">
        <f t="shared" si="3"/>
        <v>-0.12262163301027519</v>
      </c>
      <c r="U46" s="2">
        <f>(U45-T45)/T45</f>
        <v>-1.791783655977538E-3</v>
      </c>
      <c r="V46" s="2">
        <f t="shared" ref="V46" si="4">(V45-U45)/U45</f>
        <v>6.8469068635615016E-3</v>
      </c>
    </row>
    <row r="47" spans="2:22" x14ac:dyDescent="0.3">
      <c r="B47" t="s">
        <v>3</v>
      </c>
      <c r="E47" s="1">
        <f>'Statements Summary 2023'!V46</f>
        <v>-3334</v>
      </c>
      <c r="F47" s="1">
        <f>'Statements Summary 2024'!V46</f>
        <v>-3334</v>
      </c>
      <c r="G47" s="1">
        <f t="shared" si="1"/>
        <v>-2545</v>
      </c>
      <c r="H47" s="1">
        <f>'Statements Summary 2026'!V47</f>
        <v>-2545</v>
      </c>
      <c r="I47" s="1">
        <f>'Statements Summary 2027'!V47</f>
        <v>-2545</v>
      </c>
      <c r="K47" s="1">
        <f>'IS 2025'!F35</f>
        <v>-2545</v>
      </c>
      <c r="L47" s="1">
        <f>'IS 2025'!G35</f>
        <v>-2545</v>
      </c>
      <c r="M47" s="1">
        <f>'IS 2025'!H35</f>
        <v>-2545</v>
      </c>
      <c r="N47" s="1">
        <f>'IS 2025'!I35</f>
        <v>-2545</v>
      </c>
      <c r="O47" s="1">
        <f>'IS 2025'!J35</f>
        <v>-2545</v>
      </c>
      <c r="P47" s="1">
        <f>'IS 2025'!K35</f>
        <v>-2545</v>
      </c>
      <c r="Q47" s="1">
        <f>'IS 2025'!L35</f>
        <v>-2545</v>
      </c>
      <c r="R47" s="1">
        <f>'IS 2025'!M35</f>
        <v>-2545</v>
      </c>
      <c r="S47" s="1">
        <f>'IS 2025'!N35</f>
        <v>-2545</v>
      </c>
      <c r="T47" s="1">
        <f>'IS 2025'!O35</f>
        <v>-2545</v>
      </c>
      <c r="U47" s="1">
        <f>'IS 2025'!P35</f>
        <v>-2545</v>
      </c>
      <c r="V47" s="1">
        <f>'IS 2025'!Q35</f>
        <v>-2545</v>
      </c>
    </row>
    <row r="48" spans="2:22" x14ac:dyDescent="0.3">
      <c r="B48" t="s">
        <v>22</v>
      </c>
      <c r="E48" s="2">
        <f>'Statements Summary 2023'!V47</f>
        <v>-6.1276627028616588E-2</v>
      </c>
      <c r="F48" s="2">
        <f>'Statements Summary 2024'!V47</f>
        <v>-6.1276627028616588E-2</v>
      </c>
      <c r="G48" s="2">
        <f t="shared" si="1"/>
        <v>-4.6775349666415486E-2</v>
      </c>
      <c r="H48" s="2">
        <f>'Statements Summary 2026'!V48</f>
        <v>-4.6775349666415486E-2</v>
      </c>
      <c r="I48" s="2">
        <f>'Statements Summary 2027'!V48</f>
        <v>-4.6775349666415486E-2</v>
      </c>
      <c r="K48" s="2">
        <f>K47/K45</f>
        <v>-8.197249331658453E-2</v>
      </c>
      <c r="L48" s="2">
        <f t="shared" ref="L48:V48" si="5">L47/L45</f>
        <v>-8.197249331658453E-2</v>
      </c>
      <c r="M48" s="2">
        <f t="shared" si="5"/>
        <v>-5.2109994062122487E-2</v>
      </c>
      <c r="N48" s="2">
        <f t="shared" si="5"/>
        <v>-4.8454962587818673E-2</v>
      </c>
      <c r="O48" s="2">
        <f t="shared" si="5"/>
        <v>-4.7507933544894528E-2</v>
      </c>
      <c r="P48" s="2">
        <f t="shared" si="5"/>
        <v>-4.5824480535849331E-2</v>
      </c>
      <c r="Q48" s="2">
        <f t="shared" si="5"/>
        <v>-4.0576521420257965E-2</v>
      </c>
      <c r="R48" s="2">
        <f t="shared" si="5"/>
        <v>-4.0596586377412668E-2</v>
      </c>
      <c r="S48" s="2">
        <f t="shared" si="5"/>
        <v>-4.1246637062007714E-2</v>
      </c>
      <c r="T48" s="2">
        <f t="shared" si="5"/>
        <v>-4.7011230973843653E-2</v>
      </c>
      <c r="U48" s="2">
        <f t="shared" si="5"/>
        <v>-4.7095616129091952E-2</v>
      </c>
      <c r="V48" s="2">
        <f t="shared" si="5"/>
        <v>-4.6775349666415486E-2</v>
      </c>
    </row>
    <row r="49" spans="2:22" x14ac:dyDescent="0.3">
      <c r="B49" t="s">
        <v>4</v>
      </c>
      <c r="E49" s="1">
        <f>'Statements Summary 2023'!V48</f>
        <v>51075</v>
      </c>
      <c r="F49" s="1">
        <f>'Statements Summary 2024'!V48</f>
        <v>51075</v>
      </c>
      <c r="G49" s="1">
        <f t="shared" si="1"/>
        <v>51864</v>
      </c>
      <c r="H49" s="1">
        <f>'Statements Summary 2026'!V49</f>
        <v>51864</v>
      </c>
      <c r="I49" s="1">
        <f>'Statements Summary 2027'!V49</f>
        <v>51864</v>
      </c>
      <c r="K49" s="1">
        <f>'IS 2025'!F43</f>
        <v>28502</v>
      </c>
      <c r="L49" s="1">
        <f>'IS 2025'!G43</f>
        <v>28502</v>
      </c>
      <c r="M49" s="1">
        <f>'IS 2025'!H43</f>
        <v>46294</v>
      </c>
      <c r="N49" s="1">
        <f>'IS 2025'!I43</f>
        <v>49978</v>
      </c>
      <c r="O49" s="1">
        <f>'IS 2025'!J43</f>
        <v>51025</v>
      </c>
      <c r="P49" s="1">
        <f>'IS 2025'!K43</f>
        <v>52993</v>
      </c>
      <c r="Q49" s="1">
        <f>'IS 2025'!L43</f>
        <v>60176</v>
      </c>
      <c r="R49" s="1">
        <f>'IS 2025'!M43</f>
        <v>60145</v>
      </c>
      <c r="S49" s="1">
        <f>'IS 2025'!N43</f>
        <v>59157</v>
      </c>
      <c r="T49" s="1">
        <f>'IS 2025'!O43</f>
        <v>51591</v>
      </c>
      <c r="U49" s="1">
        <f>'IS 2025'!P43</f>
        <v>51494</v>
      </c>
      <c r="V49" s="1">
        <f>'IS 2025'!Q43</f>
        <v>51864</v>
      </c>
    </row>
    <row r="50" spans="2:22" x14ac:dyDescent="0.3">
      <c r="B50" t="s">
        <v>23</v>
      </c>
      <c r="E50" s="2">
        <f>'Statements Summary 2023'!V49</f>
        <v>0.93872337297138342</v>
      </c>
      <c r="F50" s="2">
        <f>'Statements Summary 2024'!V49</f>
        <v>0.93872337297138342</v>
      </c>
      <c r="G50" s="2">
        <f t="shared" si="1"/>
        <v>0.9532246503335845</v>
      </c>
      <c r="H50" s="2">
        <f>'Statements Summary 2026'!V50</f>
        <v>0.9532246503335845</v>
      </c>
      <c r="I50" s="2">
        <f>'Statements Summary 2027'!V50</f>
        <v>0.9532246503335845</v>
      </c>
      <c r="K50" s="2">
        <f>K49/K45</f>
        <v>0.91802750668341548</v>
      </c>
      <c r="L50" s="2">
        <f t="shared" ref="L50:V50" si="6">L49/L45</f>
        <v>0.91802750668341548</v>
      </c>
      <c r="M50" s="2">
        <f t="shared" si="6"/>
        <v>0.94789000593787753</v>
      </c>
      <c r="N50" s="2">
        <f t="shared" si="6"/>
        <v>0.95154503741218133</v>
      </c>
      <c r="O50" s="2">
        <f t="shared" si="6"/>
        <v>0.95249206645510542</v>
      </c>
      <c r="P50" s="2">
        <f t="shared" si="6"/>
        <v>0.95417551946415069</v>
      </c>
      <c r="Q50" s="2">
        <f t="shared" si="6"/>
        <v>0.95942347857974208</v>
      </c>
      <c r="R50" s="2">
        <f t="shared" si="6"/>
        <v>0.9594034136225873</v>
      </c>
      <c r="S50" s="2">
        <f t="shared" si="6"/>
        <v>0.95875336293799229</v>
      </c>
      <c r="T50" s="2">
        <f t="shared" si="6"/>
        <v>0.95298876902615637</v>
      </c>
      <c r="U50" s="2">
        <f t="shared" si="6"/>
        <v>0.95290438387090803</v>
      </c>
      <c r="V50" s="2">
        <f t="shared" si="6"/>
        <v>0.9532246503335845</v>
      </c>
    </row>
    <row r="51" spans="2:22" x14ac:dyDescent="0.3">
      <c r="B51" t="s">
        <v>5</v>
      </c>
      <c r="E51" s="1">
        <f>'Statements Summary 2023'!V50</f>
        <v>-1443</v>
      </c>
      <c r="F51" s="1">
        <f>'Statements Summary 2024'!V50</f>
        <v>-1443</v>
      </c>
      <c r="G51" s="1">
        <f t="shared" si="1"/>
        <v>-5549</v>
      </c>
      <c r="H51" s="1">
        <f>'Statements Summary 2026'!V51</f>
        <v>-5549</v>
      </c>
      <c r="I51" s="1">
        <f>'Statements Summary 2027'!V51</f>
        <v>-5549</v>
      </c>
      <c r="K51" s="1">
        <f>'IS 2025'!F55</f>
        <v>-5549</v>
      </c>
      <c r="L51" s="1">
        <f>'IS 2025'!G55</f>
        <v>-5549</v>
      </c>
      <c r="M51" s="1">
        <f>'IS 2025'!H55</f>
        <v>-5549</v>
      </c>
      <c r="N51" s="1">
        <f>'IS 2025'!I55</f>
        <v>-5549</v>
      </c>
      <c r="O51" s="1">
        <f>'IS 2025'!J55</f>
        <v>-5549</v>
      </c>
      <c r="P51" s="1">
        <f>'IS 2025'!K55</f>
        <v>-5549</v>
      </c>
      <c r="Q51" s="1">
        <f>'IS 2025'!L55</f>
        <v>-5549</v>
      </c>
      <c r="R51" s="1">
        <f>'IS 2025'!M55</f>
        <v>-5549</v>
      </c>
      <c r="S51" s="1">
        <f>'IS 2025'!N55</f>
        <v>-5549</v>
      </c>
      <c r="T51" s="1">
        <f>'IS 2025'!O55</f>
        <v>-5549</v>
      </c>
      <c r="U51" s="1">
        <f>'IS 2025'!P55</f>
        <v>-5549</v>
      </c>
      <c r="V51" s="1">
        <f>'IS 2025'!Q55</f>
        <v>-5549</v>
      </c>
    </row>
    <row r="52" spans="2:22" x14ac:dyDescent="0.3">
      <c r="B52" t="s">
        <v>22</v>
      </c>
      <c r="E52" s="2">
        <f>'Statements Summary 2023'!V51</f>
        <v>-2.6521347571173887E-2</v>
      </c>
      <c r="F52" s="2">
        <f>'Statements Summary 2024'!V51</f>
        <v>-2.6521347571173887E-2</v>
      </c>
      <c r="G52" s="2">
        <f t="shared" si="1"/>
        <v>-0.10198680365380727</v>
      </c>
      <c r="H52" s="2">
        <f>'Statements Summary 2026'!V52</f>
        <v>-0.10198680365380727</v>
      </c>
      <c r="I52" s="2">
        <f>'Statements Summary 2027'!V52</f>
        <v>-0.10198680365380727</v>
      </c>
      <c r="K52" s="2">
        <f>K51/K45</f>
        <v>-0.17872902373820337</v>
      </c>
      <c r="L52" s="2">
        <f t="shared" ref="L52:V52" si="7">L51/L45</f>
        <v>-0.17872902373820337</v>
      </c>
      <c r="M52" s="2">
        <f t="shared" si="7"/>
        <v>-0.11361821495116607</v>
      </c>
      <c r="N52" s="2">
        <f t="shared" si="7"/>
        <v>-0.10564895379167222</v>
      </c>
      <c r="O52" s="2">
        <f t="shared" si="7"/>
        <v>-0.10358409557588202</v>
      </c>
      <c r="P52" s="2">
        <f t="shared" si="7"/>
        <v>-9.9913572688969721E-2</v>
      </c>
      <c r="Q52" s="2">
        <f t="shared" si="7"/>
        <v>-8.8471165957175427E-2</v>
      </c>
      <c r="R52" s="2">
        <f t="shared" si="7"/>
        <v>-8.8514914659435312E-2</v>
      </c>
      <c r="S52" s="2">
        <f t="shared" si="7"/>
        <v>-8.9932255032251787E-2</v>
      </c>
      <c r="T52" s="2">
        <f t="shared" si="7"/>
        <v>-0.1025011083197872</v>
      </c>
      <c r="U52" s="2">
        <f t="shared" si="7"/>
        <v>-0.10268509779973722</v>
      </c>
      <c r="V52" s="2">
        <f t="shared" si="7"/>
        <v>-0.10198680365380727</v>
      </c>
    </row>
    <row r="53" spans="2:22" x14ac:dyDescent="0.3">
      <c r="B53" t="s">
        <v>191</v>
      </c>
      <c r="E53" s="1">
        <f>'Statements Summary 2023'!V52</f>
        <v>-5063</v>
      </c>
      <c r="F53" s="1">
        <f>'Statements Summary 2024'!V52</f>
        <v>-5063</v>
      </c>
      <c r="G53" s="1">
        <f t="shared" si="1"/>
        <v>-5063</v>
      </c>
      <c r="H53" s="1">
        <f>'Statements Summary 2026'!V53</f>
        <v>-5063</v>
      </c>
      <c r="I53" s="1">
        <f>'Statements Summary 2027'!V53</f>
        <v>-45063</v>
      </c>
      <c r="K53" s="1">
        <f>'IS 2025'!F56</f>
        <v>-5063</v>
      </c>
      <c r="L53" s="1">
        <f>'IS 2025'!G56</f>
        <v>-5063</v>
      </c>
      <c r="M53" s="1">
        <f>'IS 2025'!H56</f>
        <v>-5063</v>
      </c>
      <c r="N53" s="1">
        <f>'IS 2025'!I56</f>
        <v>-5063</v>
      </c>
      <c r="O53" s="1">
        <f>'IS 2025'!J56</f>
        <v>-5063</v>
      </c>
      <c r="P53" s="1">
        <f>'IS 2025'!K56</f>
        <v>-5063</v>
      </c>
      <c r="Q53" s="1">
        <f>'IS 2025'!L56</f>
        <v>-5063</v>
      </c>
      <c r="R53" s="1">
        <f>'IS 2025'!M56</f>
        <v>-5063</v>
      </c>
      <c r="S53" s="1">
        <f>'IS 2025'!N56</f>
        <v>-5063</v>
      </c>
      <c r="T53" s="1">
        <f>'IS 2025'!O56</f>
        <v>-5063</v>
      </c>
      <c r="U53" s="1">
        <f>'IS 2025'!P56</f>
        <v>-5063</v>
      </c>
      <c r="V53" s="1">
        <f>'IS 2025'!Q56</f>
        <v>-5063</v>
      </c>
    </row>
    <row r="54" spans="2:22" x14ac:dyDescent="0.3">
      <c r="B54" t="s">
        <v>22</v>
      </c>
      <c r="E54" s="2">
        <f>'Statements Summary 2023'!V53</f>
        <v>-9.3054457902185306E-2</v>
      </c>
      <c r="F54" s="2">
        <f>'Statements Summary 2024'!V53</f>
        <v>-9.3054457902185306E-2</v>
      </c>
      <c r="G54" s="2">
        <f t="shared" si="1"/>
        <v>-9.3054457902185306E-2</v>
      </c>
      <c r="H54" s="2">
        <f>'Statements Summary 2026'!V54</f>
        <v>-9.3054457902185306E-2</v>
      </c>
      <c r="I54" s="2">
        <f>'Statements Summary 2027'!V54</f>
        <v>-0.82822694774761529</v>
      </c>
      <c r="K54" s="2">
        <f>K53/K45</f>
        <v>-0.16307533739169647</v>
      </c>
      <c r="L54" s="2">
        <f t="shared" ref="L54:V54" si="8">L53/L45</f>
        <v>-0.16307533739169647</v>
      </c>
      <c r="M54" s="2">
        <f t="shared" si="8"/>
        <v>-0.10366715125207314</v>
      </c>
      <c r="N54" s="2">
        <f t="shared" si="8"/>
        <v>-9.6395864668811754E-2</v>
      </c>
      <c r="O54" s="2">
        <f t="shared" si="8"/>
        <v>-9.4511853649430655E-2</v>
      </c>
      <c r="P54" s="2">
        <f t="shared" si="8"/>
        <v>-9.1162807447153299E-2</v>
      </c>
      <c r="Q54" s="2">
        <f t="shared" si="8"/>
        <v>-8.0722565010124203E-2</v>
      </c>
      <c r="R54" s="2">
        <f t="shared" si="8"/>
        <v>-8.0762482054554149E-2</v>
      </c>
      <c r="S54" s="2">
        <f t="shared" si="8"/>
        <v>-8.2055687011766229E-2</v>
      </c>
      <c r="T54" s="2">
        <f t="shared" si="8"/>
        <v>-9.3523718043446141E-2</v>
      </c>
      <c r="U54" s="2">
        <f t="shared" si="8"/>
        <v>-9.3691593108680762E-2</v>
      </c>
      <c r="V54" s="2">
        <f t="shared" si="8"/>
        <v>-9.3054457902185306E-2</v>
      </c>
    </row>
    <row r="55" spans="2:22" x14ac:dyDescent="0.3">
      <c r="B55" t="s">
        <v>24</v>
      </c>
      <c r="E55" s="1">
        <f>'Statements Summary 2023'!V54</f>
        <v>-7800</v>
      </c>
      <c r="F55" s="1">
        <f>'Statements Summary 2024'!V54</f>
        <v>-7800</v>
      </c>
      <c r="G55" s="1">
        <f t="shared" si="1"/>
        <v>-7250</v>
      </c>
      <c r="H55" s="1">
        <f>'Statements Summary 2026'!V55</f>
        <v>-7250</v>
      </c>
      <c r="I55" s="1">
        <f>'Statements Summary 2027'!V55</f>
        <v>-7250</v>
      </c>
      <c r="K55" s="1">
        <f>'IS 2025'!F75</f>
        <v>-7250</v>
      </c>
      <c r="L55" s="1">
        <f>'IS 2025'!G75</f>
        <v>-7250</v>
      </c>
      <c r="M55" s="1">
        <f>'IS 2025'!H75</f>
        <v>-7250</v>
      </c>
      <c r="N55" s="1">
        <f>'IS 2025'!I75</f>
        <v>-7250</v>
      </c>
      <c r="O55" s="1">
        <f>'IS 2025'!J75</f>
        <v>-7250</v>
      </c>
      <c r="P55" s="1">
        <f>'IS 2025'!K75</f>
        <v>-7250</v>
      </c>
      <c r="Q55" s="1">
        <f>'IS 2025'!L75</f>
        <v>-7250</v>
      </c>
      <c r="R55" s="1">
        <f>'IS 2025'!M75</f>
        <v>-7250</v>
      </c>
      <c r="S55" s="1">
        <f>'IS 2025'!N75</f>
        <v>-7250</v>
      </c>
      <c r="T55" s="1">
        <f>'IS 2025'!O75</f>
        <v>-7250</v>
      </c>
      <c r="U55" s="1">
        <f>'IS 2025'!P75</f>
        <v>-7250</v>
      </c>
      <c r="V55" s="1">
        <f>'IS 2025'!Q75</f>
        <v>-7250</v>
      </c>
    </row>
    <row r="56" spans="2:22" x14ac:dyDescent="0.3">
      <c r="B56" t="s">
        <v>22</v>
      </c>
      <c r="E56" s="2">
        <f>'Statements Summary 2023'!V55</f>
        <v>-0.14335863551985883</v>
      </c>
      <c r="F56" s="2">
        <f>'Statements Summary 2024'!V55</f>
        <v>-0.14335863551985883</v>
      </c>
      <c r="G56" s="2">
        <f t="shared" si="1"/>
        <v>-0.13325001378448417</v>
      </c>
      <c r="H56" s="2">
        <f>'Statements Summary 2026'!V56</f>
        <v>-0.13325001378448417</v>
      </c>
      <c r="I56" s="2">
        <f>'Statements Summary 2027'!V56</f>
        <v>-0.13325001378448417</v>
      </c>
      <c r="K56" s="2">
        <f>K55/K45</f>
        <v>-0.23351692595097756</v>
      </c>
      <c r="L56" s="2">
        <f t="shared" ref="L56:V56" si="9">L55/L45</f>
        <v>-0.23351692595097756</v>
      </c>
      <c r="M56" s="2">
        <f t="shared" si="9"/>
        <v>-0.14844693789799135</v>
      </c>
      <c r="N56" s="2">
        <f t="shared" si="9"/>
        <v>-0.13803476572168383</v>
      </c>
      <c r="O56" s="2">
        <f t="shared" si="9"/>
        <v>-0.13533694231846183</v>
      </c>
      <c r="P56" s="2">
        <f t="shared" si="9"/>
        <v>-0.13054125103532715</v>
      </c>
      <c r="Q56" s="2">
        <f t="shared" si="9"/>
        <v>-0.11559126927185472</v>
      </c>
      <c r="R56" s="2">
        <f t="shared" si="9"/>
        <v>-0.11564842877651937</v>
      </c>
      <c r="S56" s="2">
        <f t="shared" si="9"/>
        <v>-0.11750024310395125</v>
      </c>
      <c r="T56" s="2">
        <f t="shared" si="9"/>
        <v>-0.13392197428698094</v>
      </c>
      <c r="U56" s="2">
        <f t="shared" si="9"/>
        <v>-0.13416236421843483</v>
      </c>
      <c r="V56" s="2">
        <f t="shared" si="9"/>
        <v>-0.13325001378448417</v>
      </c>
    </row>
    <row r="57" spans="2:22" x14ac:dyDescent="0.3">
      <c r="B57" s="14" t="s">
        <v>6</v>
      </c>
      <c r="C57" s="14"/>
      <c r="D57" s="14"/>
      <c r="E57" s="188">
        <f>'Statements Summary 2023'!V56</f>
        <v>41832</v>
      </c>
      <c r="F57" s="188">
        <f>'Statements Summary 2024'!V56</f>
        <v>41832</v>
      </c>
      <c r="G57" s="188">
        <f t="shared" si="1"/>
        <v>39065</v>
      </c>
      <c r="H57" s="188">
        <f>'Statements Summary 2026'!V57</f>
        <v>39065</v>
      </c>
      <c r="I57" s="188">
        <f>'Statements Summary 2027'!V57</f>
        <v>39065</v>
      </c>
      <c r="K57" s="188">
        <f>'IS 2025'!F76</f>
        <v>15703</v>
      </c>
      <c r="L57" s="188">
        <f>'IS 2025'!G76</f>
        <v>15703</v>
      </c>
      <c r="M57" s="188">
        <f>'IS 2025'!H76</f>
        <v>33495</v>
      </c>
      <c r="N57" s="188">
        <f>'IS 2025'!I76</f>
        <v>37179</v>
      </c>
      <c r="O57" s="188">
        <f>'IS 2025'!J76</f>
        <v>38226</v>
      </c>
      <c r="P57" s="188">
        <f>'IS 2025'!K76</f>
        <v>40194</v>
      </c>
      <c r="Q57" s="188">
        <f>'IS 2025'!L76</f>
        <v>47377</v>
      </c>
      <c r="R57" s="188">
        <f>'IS 2025'!M76</f>
        <v>47346</v>
      </c>
      <c r="S57" s="188">
        <f>'IS 2025'!N76</f>
        <v>46358</v>
      </c>
      <c r="T57" s="188">
        <f>'IS 2025'!O76</f>
        <v>38792</v>
      </c>
      <c r="U57" s="188">
        <f>'IS 2025'!P76</f>
        <v>38695</v>
      </c>
      <c r="V57" s="188">
        <f>'IS 2025'!Q76</f>
        <v>39065</v>
      </c>
    </row>
    <row r="58" spans="2:22" x14ac:dyDescent="0.3">
      <c r="B58" t="s">
        <v>15</v>
      </c>
      <c r="E58" s="2">
        <f>'Statements Summary 2023'!V57</f>
        <v>0.76884338988035072</v>
      </c>
      <c r="F58" s="2">
        <f>'Statements Summary 2024'!V57</f>
        <v>0.76884338988035072</v>
      </c>
      <c r="G58" s="2">
        <f t="shared" si="1"/>
        <v>0.71798783289529311</v>
      </c>
      <c r="H58" s="2">
        <f>'Statements Summary 2026'!V58</f>
        <v>0.71798783289529311</v>
      </c>
      <c r="I58" s="2">
        <f>'Statements Summary 2027'!V58</f>
        <v>0.71798783289529311</v>
      </c>
      <c r="K58" s="2">
        <f>K57/K45</f>
        <v>0.50578155699423455</v>
      </c>
      <c r="L58" s="2">
        <f t="shared" ref="L58:V58" si="10">L57/L45</f>
        <v>0.50578155699423455</v>
      </c>
      <c r="M58" s="2">
        <f t="shared" si="10"/>
        <v>0.6858248530887201</v>
      </c>
      <c r="N58" s="2">
        <f t="shared" si="10"/>
        <v>0.70786131789882523</v>
      </c>
      <c r="O58" s="2">
        <f t="shared" si="10"/>
        <v>0.7135710285607616</v>
      </c>
      <c r="P58" s="2">
        <f t="shared" si="10"/>
        <v>0.72372069573985376</v>
      </c>
      <c r="Q58" s="2">
        <f t="shared" si="10"/>
        <v>0.75536104335071186</v>
      </c>
      <c r="R58" s="2">
        <f t="shared" si="10"/>
        <v>0.75524007018663264</v>
      </c>
      <c r="S58" s="2">
        <f t="shared" si="10"/>
        <v>0.75132086480178928</v>
      </c>
      <c r="T58" s="2">
        <f t="shared" si="10"/>
        <v>0.71656568641938823</v>
      </c>
      <c r="U58" s="2">
        <f t="shared" si="10"/>
        <v>0.71605692185273595</v>
      </c>
      <c r="V58" s="2">
        <f t="shared" si="10"/>
        <v>0.71798783289529311</v>
      </c>
    </row>
    <row r="59" spans="2:22" x14ac:dyDescent="0.3">
      <c r="B59" t="s">
        <v>7</v>
      </c>
      <c r="E59" s="1">
        <f>'Statements Summary 2023'!V58</f>
        <v>-1711</v>
      </c>
      <c r="F59" s="1">
        <f>'Statements Summary 2024'!V58</f>
        <v>-1850</v>
      </c>
      <c r="G59" s="1">
        <f t="shared" si="1"/>
        <v>-1911</v>
      </c>
      <c r="H59" s="1">
        <f>'Statements Summary 2026'!V59</f>
        <v>-1756</v>
      </c>
      <c r="I59" s="1">
        <f>'Statements Summary 2027'!V59</f>
        <v>-1800</v>
      </c>
      <c r="K59">
        <f>'IS 2025'!F77</f>
        <v>-1850</v>
      </c>
      <c r="L59">
        <f>'IS 2025'!G77</f>
        <v>-1850</v>
      </c>
      <c r="M59">
        <f>'IS 2025'!H77</f>
        <v>-1850</v>
      </c>
      <c r="N59">
        <f>'IS 2025'!I77</f>
        <v>-1711</v>
      </c>
      <c r="O59">
        <f>'IS 2025'!J77</f>
        <v>-1711</v>
      </c>
      <c r="P59">
        <f>'IS 2025'!K77</f>
        <v>-1711</v>
      </c>
      <c r="Q59">
        <f>'IS 2025'!L77</f>
        <v>-1711</v>
      </c>
      <c r="R59">
        <f>'IS 2025'!M77</f>
        <v>-1711</v>
      </c>
      <c r="S59">
        <f>'IS 2025'!N77</f>
        <v>-1711</v>
      </c>
      <c r="T59">
        <f>'IS 2025'!O77</f>
        <v>-1711</v>
      </c>
      <c r="U59">
        <f>'IS 2025'!P77</f>
        <v>-1711</v>
      </c>
      <c r="V59">
        <f>'IS 2025'!Q77</f>
        <v>-1911</v>
      </c>
    </row>
    <row r="60" spans="2:22" x14ac:dyDescent="0.3">
      <c r="B60" t="s">
        <v>8</v>
      </c>
      <c r="E60" s="1">
        <f>'Statements Summary 2023'!V59</f>
        <v>40121</v>
      </c>
      <c r="F60" s="1">
        <f>'Statements Summary 2024'!V59</f>
        <v>39982</v>
      </c>
      <c r="G60" s="1">
        <f t="shared" si="1"/>
        <v>40976</v>
      </c>
      <c r="H60" s="1">
        <f>'Statements Summary 2026'!V60</f>
        <v>37309</v>
      </c>
      <c r="I60" s="1">
        <f>'Statements Summary 2027'!V60</f>
        <v>37265</v>
      </c>
      <c r="K60" s="1">
        <f>'IS 2025'!F78</f>
        <v>13853</v>
      </c>
      <c r="L60" s="1">
        <f>'IS 2025'!G78</f>
        <v>13853</v>
      </c>
      <c r="M60" s="1">
        <f>'IS 2025'!H78</f>
        <v>31645</v>
      </c>
      <c r="N60" s="1">
        <f>'IS 2025'!I78</f>
        <v>38890</v>
      </c>
      <c r="O60" s="1">
        <f>'IS 2025'!J78</f>
        <v>39937</v>
      </c>
      <c r="P60" s="1">
        <f>'IS 2025'!K78</f>
        <v>41905</v>
      </c>
      <c r="Q60" s="1">
        <f>'IS 2025'!L78</f>
        <v>49088</v>
      </c>
      <c r="R60" s="1">
        <f>'IS 2025'!M78</f>
        <v>49057</v>
      </c>
      <c r="S60" s="1">
        <f>'IS 2025'!N78</f>
        <v>48069</v>
      </c>
      <c r="T60" s="1">
        <f>'IS 2025'!O78</f>
        <v>40503</v>
      </c>
      <c r="U60" s="1">
        <f>'IS 2025'!P78</f>
        <v>40406</v>
      </c>
      <c r="V60" s="1">
        <f>'IS 2025'!Q78</f>
        <v>40976</v>
      </c>
    </row>
    <row r="61" spans="2:22" x14ac:dyDescent="0.3">
      <c r="B61" t="s">
        <v>9</v>
      </c>
      <c r="E61" s="1">
        <f>'Statements Summary 2023'!V60</f>
        <v>-22740</v>
      </c>
      <c r="F61" s="1">
        <f>'Statements Summary 2024'!V60</f>
        <v>-7410</v>
      </c>
      <c r="G61" s="1">
        <f t="shared" si="1"/>
        <v>-2055</v>
      </c>
      <c r="H61" s="1">
        <f>'Statements Summary 2026'!V61</f>
        <v>-75</v>
      </c>
      <c r="I61" s="1">
        <f>'Statements Summary 2027'!V61</f>
        <v>0</v>
      </c>
      <c r="K61" s="3">
        <f>'IS 2025'!F79</f>
        <v>-3870</v>
      </c>
      <c r="L61" s="3">
        <f>'IS 2025'!G79</f>
        <v>-3705</v>
      </c>
      <c r="M61" s="3">
        <f>'IS 2025'!H79</f>
        <v>-3540</v>
      </c>
      <c r="N61" s="3">
        <f>'IS 2025'!I79</f>
        <v>-3375</v>
      </c>
      <c r="O61" s="3">
        <f>'IS 2025'!J79</f>
        <v>-3210</v>
      </c>
      <c r="P61" s="3">
        <f>'IS 2025'!K79</f>
        <v>-3045</v>
      </c>
      <c r="Q61" s="3">
        <f>'IS 2025'!L79</f>
        <v>-2880</v>
      </c>
      <c r="R61" s="3">
        <f>'IS 2025'!M79</f>
        <v>-2715</v>
      </c>
      <c r="S61" s="3">
        <f>'IS 2025'!N79</f>
        <v>-2550</v>
      </c>
      <c r="T61" s="3">
        <f>'IS 2025'!O79</f>
        <v>-2385</v>
      </c>
      <c r="U61" s="3">
        <f>'IS 2025'!P79</f>
        <v>-2220</v>
      </c>
      <c r="V61" s="3">
        <f>'IS 2025'!Q79</f>
        <v>-2055</v>
      </c>
    </row>
    <row r="62" spans="2:22" x14ac:dyDescent="0.3">
      <c r="B62" t="s">
        <v>10</v>
      </c>
      <c r="E62" s="1">
        <f>'Statements Summary 2023'!V61</f>
        <v>41832</v>
      </c>
      <c r="F62" s="1">
        <f>'Statements Summary 2024'!V61</f>
        <v>41832</v>
      </c>
      <c r="G62" s="1">
        <f t="shared" si="1"/>
        <v>39065</v>
      </c>
      <c r="H62" s="1">
        <f>'Statements Summary 2026'!V62</f>
        <v>39065</v>
      </c>
      <c r="I62" s="1">
        <f>'Statements Summary 2027'!V62</f>
        <v>39065</v>
      </c>
      <c r="K62" s="1">
        <f>'IS 2025'!F80</f>
        <v>15703</v>
      </c>
      <c r="L62" s="1">
        <f>'IS 2025'!G80</f>
        <v>15703</v>
      </c>
      <c r="M62" s="1">
        <f>'IS 2025'!H80</f>
        <v>33495</v>
      </c>
      <c r="N62" s="1">
        <f>'IS 2025'!I80</f>
        <v>37179</v>
      </c>
      <c r="O62" s="1">
        <f>'IS 2025'!J80</f>
        <v>38226</v>
      </c>
      <c r="P62" s="1">
        <f>'IS 2025'!K80</f>
        <v>40194</v>
      </c>
      <c r="Q62" s="1">
        <f>'IS 2025'!L80</f>
        <v>47377</v>
      </c>
      <c r="R62" s="1">
        <f>'IS 2025'!M80</f>
        <v>47346</v>
      </c>
      <c r="S62" s="1">
        <f>'IS 2025'!N80</f>
        <v>46358</v>
      </c>
      <c r="T62" s="1">
        <f>'IS 2025'!O80</f>
        <v>38792</v>
      </c>
      <c r="U62" s="1">
        <f>'IS 2025'!P80</f>
        <v>38695</v>
      </c>
      <c r="V62" s="1">
        <f>'IS 2025'!Q80</f>
        <v>39065</v>
      </c>
    </row>
    <row r="63" spans="2:22" x14ac:dyDescent="0.3">
      <c r="B63" t="s">
        <v>11</v>
      </c>
      <c r="E63" s="1">
        <f>'Statements Summary 2023'!V62</f>
        <v>-8366.4</v>
      </c>
      <c r="F63" s="1">
        <f>'Statements Summary 2024'!V62</f>
        <v>-8366.4</v>
      </c>
      <c r="G63" s="1">
        <f t="shared" si="1"/>
        <v>-8194.2000000000007</v>
      </c>
      <c r="H63" s="1">
        <f>'Statements Summary 2026'!V63</f>
        <v>-7461.8</v>
      </c>
      <c r="I63" s="1">
        <f>'Statements Summary 2027'!V63</f>
        <v>-7453</v>
      </c>
      <c r="K63" s="1">
        <f>'IS 2025'!F81</f>
        <v>-2769.6000000000004</v>
      </c>
      <c r="L63" s="1">
        <f>'IS 2025'!G81</f>
        <v>-2769.6000000000004</v>
      </c>
      <c r="M63" s="1">
        <f>'IS 2025'!H81</f>
        <v>-6328</v>
      </c>
      <c r="N63" s="1">
        <f>'IS 2025'!I81</f>
        <v>-7777</v>
      </c>
      <c r="O63" s="1">
        <f>'IS 2025'!J81</f>
        <v>-7986.4000000000005</v>
      </c>
      <c r="P63" s="1">
        <f>'IS 2025'!K81</f>
        <v>-8380</v>
      </c>
      <c r="Q63" s="1">
        <f>'IS 2025'!L81</f>
        <v>-9816.6</v>
      </c>
      <c r="R63" s="1">
        <f>'IS 2025'!M81</f>
        <v>-9810.4</v>
      </c>
      <c r="S63" s="1">
        <f>'IS 2025'!N81</f>
        <v>-9612.8000000000011</v>
      </c>
      <c r="T63" s="1">
        <f>'IS 2025'!O81</f>
        <v>-8099.6</v>
      </c>
      <c r="U63" s="1">
        <f>'IS 2025'!P81</f>
        <v>-8080.2000000000007</v>
      </c>
      <c r="V63" s="1">
        <f>'IS 2025'!Q81</f>
        <v>-8194.2000000000007</v>
      </c>
    </row>
    <row r="64" spans="2:22" x14ac:dyDescent="0.3">
      <c r="B64" s="14" t="s">
        <v>12</v>
      </c>
      <c r="C64" s="14"/>
      <c r="D64" s="14"/>
      <c r="E64" s="188">
        <f>'Statements Summary 2023'!V63</f>
        <v>33465.599999999999</v>
      </c>
      <c r="F64" s="188">
        <f>'Statements Summary 2024'!V63</f>
        <v>33465.599999999999</v>
      </c>
      <c r="G64" s="188">
        <f t="shared" si="1"/>
        <v>30870.799999999999</v>
      </c>
      <c r="H64" s="188">
        <f>'Statements Summary 2026'!V64</f>
        <v>31603.200000000001</v>
      </c>
      <c r="I64" s="188">
        <f>'Statements Summary 2027'!V64</f>
        <v>31612</v>
      </c>
      <c r="K64" s="188">
        <f>'IS 2025'!F82</f>
        <v>12933.4</v>
      </c>
      <c r="L64" s="188">
        <f>'IS 2025'!G82</f>
        <v>12933.4</v>
      </c>
      <c r="M64" s="188">
        <f>'IS 2025'!H82</f>
        <v>27167</v>
      </c>
      <c r="N64" s="188">
        <f>'IS 2025'!I82</f>
        <v>29402</v>
      </c>
      <c r="O64" s="188">
        <f>'IS 2025'!J82</f>
        <v>30239.599999999999</v>
      </c>
      <c r="P64" s="188">
        <f>'IS 2025'!K82</f>
        <v>31814</v>
      </c>
      <c r="Q64" s="188">
        <f>'IS 2025'!L82</f>
        <v>37560.400000000001</v>
      </c>
      <c r="R64" s="188">
        <f>'IS 2025'!M82</f>
        <v>37535.599999999999</v>
      </c>
      <c r="S64" s="188">
        <f>'IS 2025'!N82</f>
        <v>36745.199999999997</v>
      </c>
      <c r="T64" s="188">
        <f>'IS 2025'!O82</f>
        <v>30692.400000000001</v>
      </c>
      <c r="U64" s="188">
        <f>'IS 2025'!P82</f>
        <v>30614.799999999999</v>
      </c>
      <c r="V64" s="188">
        <f>'IS 2025'!Q82</f>
        <v>30870.799999999999</v>
      </c>
    </row>
    <row r="65" spans="2:22" x14ac:dyDescent="0.3">
      <c r="B65" t="s">
        <v>13</v>
      </c>
      <c r="E65" s="2">
        <f>'Statements Summary 2023'!V64</f>
        <v>0.61507471190428054</v>
      </c>
      <c r="F65" s="2">
        <f>'Statements Summary 2024'!V64</f>
        <v>0.61507471190428054</v>
      </c>
      <c r="G65" s="2">
        <f t="shared" si="1"/>
        <v>0.56738407248800748</v>
      </c>
      <c r="H65" s="2">
        <f>'Statements Summary 2026'!V65</f>
        <v>0.58084508077707731</v>
      </c>
      <c r="I65" s="2">
        <f>'Statements Summary 2027'!V65</f>
        <v>0.58100681872484328</v>
      </c>
      <c r="K65" s="2">
        <f>K64/K45</f>
        <v>0.41657487035784457</v>
      </c>
      <c r="L65" s="2">
        <f t="shared" ref="L65:V65" si="11">L64/L45</f>
        <v>0.41657487035784457</v>
      </c>
      <c r="M65" s="2">
        <f t="shared" si="11"/>
        <v>0.55625627060341121</v>
      </c>
      <c r="N65" s="2">
        <f t="shared" si="11"/>
        <v>0.55979285265502732</v>
      </c>
      <c r="O65" s="2">
        <f t="shared" si="11"/>
        <v>0.56448758633563556</v>
      </c>
      <c r="P65" s="2">
        <f t="shared" si="11"/>
        <v>0.5728330152328136</v>
      </c>
      <c r="Q65" s="2">
        <f t="shared" si="11"/>
        <v>0.5988488703942858</v>
      </c>
      <c r="R65" s="2">
        <f t="shared" si="11"/>
        <v>0.5987494018184718</v>
      </c>
      <c r="S65" s="2">
        <f t="shared" si="11"/>
        <v>0.5955268872970082</v>
      </c>
      <c r="T65" s="2">
        <f t="shared" si="11"/>
        <v>0.56694990394561851</v>
      </c>
      <c r="U65" s="2">
        <f t="shared" si="11"/>
        <v>0.56653157904476392</v>
      </c>
      <c r="V65" s="2">
        <f t="shared" si="11"/>
        <v>0.56738407248800748</v>
      </c>
    </row>
    <row r="67" spans="2:22" x14ac:dyDescent="0.3">
      <c r="B67" s="173" t="s">
        <v>221</v>
      </c>
      <c r="C67" s="147"/>
      <c r="D67" s="147"/>
      <c r="E67" s="147"/>
      <c r="F67" s="147"/>
      <c r="G67" s="147"/>
      <c r="H67" s="147"/>
      <c r="I67" s="147"/>
      <c r="K67" s="428" t="s">
        <v>226</v>
      </c>
      <c r="L67" s="428"/>
      <c r="M67" s="428"/>
      <c r="N67" s="428"/>
      <c r="O67" s="428"/>
      <c r="P67" s="428"/>
      <c r="Q67" s="428"/>
      <c r="R67" s="428"/>
      <c r="S67" s="428"/>
      <c r="T67" s="428"/>
      <c r="U67" s="428"/>
      <c r="V67" s="428"/>
    </row>
    <row r="85" spans="2:22" x14ac:dyDescent="0.3">
      <c r="B85" s="173" t="s">
        <v>222</v>
      </c>
      <c r="C85" s="173"/>
      <c r="D85" s="173"/>
      <c r="E85" s="173"/>
      <c r="F85" s="147"/>
      <c r="G85" s="147"/>
      <c r="H85" s="147"/>
      <c r="I85" s="147"/>
      <c r="J85" s="147"/>
      <c r="K85" s="428" t="s">
        <v>227</v>
      </c>
      <c r="L85" s="428"/>
      <c r="M85" s="428"/>
      <c r="N85" s="428"/>
      <c r="O85" s="428"/>
      <c r="P85" s="428"/>
      <c r="Q85" s="428"/>
      <c r="R85" s="428"/>
      <c r="S85" s="428"/>
      <c r="T85" s="428"/>
      <c r="U85" s="428"/>
      <c r="V85" s="428"/>
    </row>
    <row r="87" spans="2:22" x14ac:dyDescent="0.3">
      <c r="B87" s="186" t="s">
        <v>20</v>
      </c>
      <c r="C87" s="186"/>
      <c r="D87" s="186"/>
      <c r="E87" s="187">
        <v>2023</v>
      </c>
      <c r="F87" s="187">
        <v>2024</v>
      </c>
      <c r="G87" s="187">
        <v>2025</v>
      </c>
      <c r="H87" s="187">
        <v>2026</v>
      </c>
      <c r="I87" s="187">
        <v>2027</v>
      </c>
      <c r="J87" s="186"/>
      <c r="K87" s="187" t="s">
        <v>25</v>
      </c>
      <c r="L87" s="187" t="s">
        <v>26</v>
      </c>
      <c r="M87" s="187" t="s">
        <v>27</v>
      </c>
      <c r="N87" s="187" t="s">
        <v>28</v>
      </c>
      <c r="O87" s="187" t="s">
        <v>29</v>
      </c>
      <c r="P87" s="187" t="s">
        <v>30</v>
      </c>
      <c r="Q87" s="187" t="s">
        <v>31</v>
      </c>
      <c r="R87" s="187" t="s">
        <v>32</v>
      </c>
      <c r="S87" s="187" t="s">
        <v>33</v>
      </c>
      <c r="T87" s="187" t="s">
        <v>34</v>
      </c>
      <c r="U87" s="187" t="s">
        <v>35</v>
      </c>
      <c r="V87" s="187" t="s">
        <v>36</v>
      </c>
    </row>
    <row r="88" spans="2:22" x14ac:dyDescent="0.3">
      <c r="B88" t="s">
        <v>48</v>
      </c>
      <c r="E88" s="194">
        <f>'Statements Summary 2023'!V86</f>
        <v>19802.599999999999</v>
      </c>
      <c r="F88" s="194">
        <f>'Statements Summary 2024'!V87</f>
        <v>395096.2</v>
      </c>
      <c r="G88" s="194">
        <f t="shared" ref="G88:G99" si="12">V88</f>
        <v>850182.80000000016</v>
      </c>
      <c r="H88" s="194">
        <f>'Statements Summary 2026'!V88</f>
        <v>1310974.6000000001</v>
      </c>
      <c r="I88" s="194">
        <f>'Statements Summary 2027'!V88</f>
        <v>1811317.4000000001</v>
      </c>
      <c r="K88" s="194">
        <f>'BS 2025'!F14</f>
        <v>416003.60000000003</v>
      </c>
      <c r="L88" s="194">
        <f>'BS 2025'!G14</f>
        <v>437076.00000000006</v>
      </c>
      <c r="M88" s="194">
        <f>'BS 2025'!H14</f>
        <v>472547.00000000006</v>
      </c>
      <c r="N88" s="194">
        <f>'BS 2025'!I14</f>
        <v>510418.00000000006</v>
      </c>
      <c r="O88" s="194">
        <f>'BS 2025'!J14</f>
        <v>549291.60000000009</v>
      </c>
      <c r="P88" s="194">
        <f>'BS 2025'!K14</f>
        <v>589904.60000000009</v>
      </c>
      <c r="Q88" s="194">
        <f>'BS 2025'!L14</f>
        <v>636429.00000000012</v>
      </c>
      <c r="R88" s="194">
        <f>'BS 2025'!M14</f>
        <v>683093.60000000009</v>
      </c>
      <c r="S88" s="194">
        <f>'BS 2025'!N14</f>
        <v>729132.8</v>
      </c>
      <c r="T88" s="194">
        <f>'BS 2025'!O14</f>
        <v>769284.20000000007</v>
      </c>
      <c r="U88" s="194">
        <f>'BS 2025'!P14</f>
        <v>809523.00000000012</v>
      </c>
      <c r="V88" s="194">
        <f>'BS 2025'!Q14</f>
        <v>850182.80000000016</v>
      </c>
    </row>
    <row r="89" spans="2:22" x14ac:dyDescent="0.3">
      <c r="B89" t="s">
        <v>49</v>
      </c>
      <c r="E89" s="194">
        <f>'Statements Summary 2023'!V87</f>
        <v>170532</v>
      </c>
      <c r="F89" s="194">
        <f>'Statements Summary 2024'!V88</f>
        <v>188332</v>
      </c>
      <c r="G89" s="194">
        <f t="shared" si="12"/>
        <v>209481</v>
      </c>
      <c r="H89" s="194">
        <f>'Statements Summary 2026'!V89</f>
        <v>231018</v>
      </c>
      <c r="I89" s="194">
        <f>'Statements Summary 2027'!V89</f>
        <v>252400</v>
      </c>
      <c r="K89" s="194">
        <f>'BS 2025'!F19</f>
        <v>190182</v>
      </c>
      <c r="L89" s="194">
        <f>'BS 2025'!G19</f>
        <v>192032</v>
      </c>
      <c r="M89" s="194">
        <f>'BS 2025'!H19</f>
        <v>193882</v>
      </c>
      <c r="N89" s="194">
        <f>'BS 2025'!I19</f>
        <v>195593</v>
      </c>
      <c r="O89" s="194">
        <f>'BS 2025'!J19</f>
        <v>197304</v>
      </c>
      <c r="P89" s="194">
        <f>'BS 2025'!K19</f>
        <v>199015</v>
      </c>
      <c r="Q89" s="194">
        <f>'BS 2025'!L19</f>
        <v>200726</v>
      </c>
      <c r="R89" s="194">
        <f>'BS 2025'!M19</f>
        <v>202437</v>
      </c>
      <c r="S89" s="194">
        <f>'BS 2025'!N19</f>
        <v>204148</v>
      </c>
      <c r="T89" s="194">
        <f>'BS 2025'!O19</f>
        <v>205859</v>
      </c>
      <c r="U89" s="194">
        <f>'BS 2025'!P19</f>
        <v>207570</v>
      </c>
      <c r="V89" s="194">
        <f>'BS 2025'!Q19</f>
        <v>209481</v>
      </c>
    </row>
    <row r="90" spans="2:22" x14ac:dyDescent="0.3">
      <c r="B90" t="s">
        <v>50</v>
      </c>
      <c r="E90" s="194">
        <f>'Statements Summary 2023'!V88</f>
        <v>190334.6</v>
      </c>
      <c r="F90" s="194">
        <f>'Statements Summary 2024'!V89</f>
        <v>583428.19999999995</v>
      </c>
      <c r="G90" s="194">
        <f t="shared" si="12"/>
        <v>1059663.8000000003</v>
      </c>
      <c r="H90" s="194">
        <f>'Statements Summary 2026'!V90</f>
        <v>1541992.6</v>
      </c>
      <c r="I90" s="194">
        <f>'Statements Summary 2027'!V90</f>
        <v>2063717.4000000001</v>
      </c>
      <c r="K90" s="194">
        <f>'BS 2025'!F20</f>
        <v>606185.60000000009</v>
      </c>
      <c r="L90" s="194">
        <f>'BS 2025'!G20</f>
        <v>629108</v>
      </c>
      <c r="M90" s="194">
        <f>'BS 2025'!H20</f>
        <v>666429</v>
      </c>
      <c r="N90" s="194">
        <f>'BS 2025'!I20</f>
        <v>706011</v>
      </c>
      <c r="O90" s="194">
        <f>'BS 2025'!J20</f>
        <v>746595.60000000009</v>
      </c>
      <c r="P90" s="194">
        <f>'BS 2025'!K20</f>
        <v>788919.60000000009</v>
      </c>
      <c r="Q90" s="194">
        <f>'BS 2025'!L20</f>
        <v>837155.00000000012</v>
      </c>
      <c r="R90" s="194">
        <f>'BS 2025'!M20</f>
        <v>885530.60000000009</v>
      </c>
      <c r="S90" s="194">
        <f>'BS 2025'!N20</f>
        <v>933280.8</v>
      </c>
      <c r="T90" s="194">
        <f>'BS 2025'!O20</f>
        <v>975143.20000000007</v>
      </c>
      <c r="U90" s="194">
        <f>'BS 2025'!P20</f>
        <v>1017093.0000000001</v>
      </c>
      <c r="V90" s="194">
        <f>'BS 2025'!Q20</f>
        <v>1059663.8000000003</v>
      </c>
    </row>
    <row r="91" spans="2:22" x14ac:dyDescent="0.3">
      <c r="B91" t="s">
        <v>51</v>
      </c>
      <c r="E91" s="194">
        <f>'Statements Summary 2023'!V89</f>
        <v>-8366.4</v>
      </c>
      <c r="F91" s="194">
        <f>'Statements Summary 2024'!V90</f>
        <v>-8366.4</v>
      </c>
      <c r="G91" s="194">
        <f t="shared" si="12"/>
        <v>-8194.2000000000007</v>
      </c>
      <c r="H91" s="194">
        <f>'Statements Summary 2026'!V91</f>
        <v>-7461.8</v>
      </c>
      <c r="I91" s="194">
        <f>'Statements Summary 2027'!V91</f>
        <v>-7453</v>
      </c>
      <c r="K91" s="194">
        <f>'BS 2025'!F25</f>
        <v>-2769.6000000000004</v>
      </c>
      <c r="L91" s="194">
        <f>'BS 2025'!G25</f>
        <v>-2769.6000000000004</v>
      </c>
      <c r="M91" s="194">
        <f>'BS 2025'!H25</f>
        <v>-6328</v>
      </c>
      <c r="N91" s="194">
        <f>'BS 2025'!I25</f>
        <v>-7777</v>
      </c>
      <c r="O91" s="194">
        <f>'BS 2025'!J25</f>
        <v>-7986.4000000000005</v>
      </c>
      <c r="P91" s="194">
        <f>'BS 2025'!K25</f>
        <v>-8380</v>
      </c>
      <c r="Q91" s="194">
        <f>'BS 2025'!L25</f>
        <v>-9816.6</v>
      </c>
      <c r="R91" s="194">
        <f>'BS 2025'!M25</f>
        <v>-9810.4</v>
      </c>
      <c r="S91" s="194">
        <f>'BS 2025'!N25</f>
        <v>-9612.8000000000011</v>
      </c>
      <c r="T91" s="194">
        <f>'BS 2025'!O25</f>
        <v>-8099.6</v>
      </c>
      <c r="U91" s="194">
        <f>'BS 2025'!P25</f>
        <v>-8080.2000000000007</v>
      </c>
      <c r="V91" s="194">
        <f>'BS 2025'!Q25</f>
        <v>-8194.2000000000007</v>
      </c>
    </row>
    <row r="92" spans="2:22" x14ac:dyDescent="0.3">
      <c r="B92" t="s">
        <v>196</v>
      </c>
      <c r="E92" s="194">
        <f>'Statements Summary 2023'!V90</f>
        <v>-113700</v>
      </c>
      <c r="F92" s="194">
        <f>'Statements Summary 2024'!V91</f>
        <v>-74100</v>
      </c>
      <c r="G92" s="194">
        <f t="shared" si="12"/>
        <v>-41100</v>
      </c>
      <c r="H92" s="194">
        <f>'Statements Summary 2026'!V92</f>
        <v>-1500</v>
      </c>
      <c r="I92" s="194">
        <f>'Statements Summary 2027'!V92</f>
        <v>0</v>
      </c>
      <c r="K92" s="194">
        <f>'BS 2025'!F27</f>
        <v>-77400</v>
      </c>
      <c r="L92" s="194">
        <f>'BS 2025'!G27</f>
        <v>-74100</v>
      </c>
      <c r="M92" s="194">
        <f>'BS 2025'!H27</f>
        <v>-70800</v>
      </c>
      <c r="N92" s="194">
        <f>'BS 2025'!I27</f>
        <v>-67500</v>
      </c>
      <c r="O92" s="194">
        <f>'BS 2025'!J27</f>
        <v>-64200</v>
      </c>
      <c r="P92" s="194">
        <f>'BS 2025'!K27</f>
        <v>-60900</v>
      </c>
      <c r="Q92" s="194">
        <f>'BS 2025'!L27</f>
        <v>-57600</v>
      </c>
      <c r="R92" s="194">
        <f>'BS 2025'!M27</f>
        <v>-54300</v>
      </c>
      <c r="S92" s="194">
        <f>'BS 2025'!N27</f>
        <v>-51000</v>
      </c>
      <c r="T92" s="194">
        <f>'BS 2025'!O27</f>
        <v>-47700</v>
      </c>
      <c r="U92" s="194">
        <f>'BS 2025'!P27</f>
        <v>-44400</v>
      </c>
      <c r="V92" s="194">
        <f>'BS 2025'!Q27</f>
        <v>-41100</v>
      </c>
    </row>
    <row r="93" spans="2:22" x14ac:dyDescent="0.3">
      <c r="B93" t="s">
        <v>53</v>
      </c>
      <c r="E93" s="194">
        <f>'Statements Summary 2023'!V91</f>
        <v>-122066.4</v>
      </c>
      <c r="F93" s="194">
        <f>'Statements Summary 2024'!V92</f>
        <v>-82466.399999999994</v>
      </c>
      <c r="G93" s="194">
        <f t="shared" si="12"/>
        <v>-49294.2</v>
      </c>
      <c r="H93" s="194">
        <f>'Statements Summary 2026'!V93</f>
        <v>-8961.7999999999993</v>
      </c>
      <c r="I93" s="194">
        <f>'Statements Summary 2027'!V93</f>
        <v>-7453</v>
      </c>
      <c r="K93" s="194">
        <f>'BS 2025'!F32</f>
        <v>-80169.600000000006</v>
      </c>
      <c r="L93" s="194">
        <f>'BS 2025'!G32</f>
        <v>-76869.600000000006</v>
      </c>
      <c r="M93" s="194">
        <f>'BS 2025'!H32</f>
        <v>-77128</v>
      </c>
      <c r="N93" s="194">
        <f>'BS 2025'!I32</f>
        <v>-75277</v>
      </c>
      <c r="O93" s="194">
        <f>'BS 2025'!J32</f>
        <v>-72186.399999999994</v>
      </c>
      <c r="P93" s="194">
        <f>'BS 2025'!K32</f>
        <v>-69280</v>
      </c>
      <c r="Q93" s="194">
        <f>'BS 2025'!L32</f>
        <v>-67416.600000000006</v>
      </c>
      <c r="R93" s="194">
        <f>'BS 2025'!M32</f>
        <v>-64110.400000000001</v>
      </c>
      <c r="S93" s="194">
        <f>'BS 2025'!N32</f>
        <v>-60612.800000000003</v>
      </c>
      <c r="T93" s="194">
        <f>'BS 2025'!O32</f>
        <v>-55799.6</v>
      </c>
      <c r="U93" s="194">
        <f>'BS 2025'!P32</f>
        <v>-52480.2</v>
      </c>
      <c r="V93" s="194">
        <f>'BS 2025'!Q32</f>
        <v>-49294.2</v>
      </c>
    </row>
    <row r="94" spans="2:22" x14ac:dyDescent="0.3">
      <c r="B94" t="s">
        <v>54</v>
      </c>
      <c r="E94" s="194">
        <f>'Statements Summary 2023'!V92</f>
        <v>68268.200000000012</v>
      </c>
      <c r="F94" s="194">
        <f>'Statements Summary 2024'!V93</f>
        <v>500961.79999999993</v>
      </c>
      <c r="G94" s="194">
        <f t="shared" si="12"/>
        <v>969269.60000000033</v>
      </c>
      <c r="H94" s="194">
        <f>'Statements Summary 2026'!V94</f>
        <v>1533030.8</v>
      </c>
      <c r="I94" s="194">
        <f>'Statements Summary 2027'!V94</f>
        <v>2056264.4000000001</v>
      </c>
      <c r="K94" s="194">
        <f>'BS 2025'!F33</f>
        <v>448616.00000000012</v>
      </c>
      <c r="L94" s="194">
        <f>'BS 2025'!G33</f>
        <v>478138.4</v>
      </c>
      <c r="M94" s="194">
        <f>'BS 2025'!H33</f>
        <v>518501</v>
      </c>
      <c r="N94" s="194">
        <f>'BS 2025'!I33</f>
        <v>563234</v>
      </c>
      <c r="O94" s="194">
        <f>'BS 2025'!J33</f>
        <v>610209.20000000007</v>
      </c>
      <c r="P94" s="194">
        <f>'BS 2025'!K33</f>
        <v>658739.60000000009</v>
      </c>
      <c r="Q94" s="194">
        <f>'BS 2025'!L33</f>
        <v>712138.40000000014</v>
      </c>
      <c r="R94" s="194">
        <f>'BS 2025'!M33</f>
        <v>767120.20000000007</v>
      </c>
      <c r="S94" s="194">
        <f>'BS 2025'!N33</f>
        <v>821668</v>
      </c>
      <c r="T94" s="194">
        <f>'BS 2025'!O33</f>
        <v>871643.60000000009</v>
      </c>
      <c r="U94" s="194">
        <f>'BS 2025'!P33</f>
        <v>920212.80000000016</v>
      </c>
      <c r="V94" s="194">
        <f>'BS 2025'!Q33</f>
        <v>969269.60000000033</v>
      </c>
    </row>
    <row r="95" spans="2:22" x14ac:dyDescent="0.3">
      <c r="B95" t="s">
        <v>55</v>
      </c>
      <c r="E95" s="194">
        <f>'Statements Summary 2023'!V93</f>
        <v>19802.599999999999</v>
      </c>
      <c r="F95" s="194">
        <f>'Statements Summary 2024'!V94</f>
        <v>395096.2</v>
      </c>
      <c r="G95" s="194">
        <f t="shared" si="12"/>
        <v>850182.80000000016</v>
      </c>
      <c r="H95" s="194">
        <f>'Statements Summary 2026'!V95</f>
        <v>1310974.6000000001</v>
      </c>
      <c r="I95" s="194">
        <f>'Statements Summary 2027'!V95</f>
        <v>1811317.4000000001</v>
      </c>
      <c r="K95" s="194">
        <f>'BS 2025'!F14</f>
        <v>416003.60000000003</v>
      </c>
      <c r="L95" s="194">
        <f>'BS 2025'!G14</f>
        <v>437076.00000000006</v>
      </c>
      <c r="M95" s="194">
        <f>'BS 2025'!H14</f>
        <v>472547.00000000006</v>
      </c>
      <c r="N95" s="194">
        <f>'BS 2025'!I14</f>
        <v>510418.00000000006</v>
      </c>
      <c r="O95" s="194">
        <f>'BS 2025'!J14</f>
        <v>549291.60000000009</v>
      </c>
      <c r="P95" s="194">
        <f>'BS 2025'!K14</f>
        <v>589904.60000000009</v>
      </c>
      <c r="Q95" s="194">
        <f>'BS 2025'!L14</f>
        <v>636429.00000000012</v>
      </c>
      <c r="R95" s="194">
        <f>'BS 2025'!M14</f>
        <v>683093.60000000009</v>
      </c>
      <c r="S95" s="194">
        <f>'BS 2025'!N14</f>
        <v>729132.8</v>
      </c>
      <c r="T95" s="194">
        <f>'BS 2025'!O14</f>
        <v>769284.20000000007</v>
      </c>
      <c r="U95" s="194">
        <f>'BS 2025'!P14</f>
        <v>809523.00000000012</v>
      </c>
      <c r="V95" s="194">
        <f>'BS 2025'!Q14</f>
        <v>850182.80000000016</v>
      </c>
    </row>
    <row r="96" spans="2:22" x14ac:dyDescent="0.3">
      <c r="B96" t="s">
        <v>56</v>
      </c>
      <c r="E96" s="194" t="str">
        <f>'Statements Summary 2023'!V94</f>
        <v>-</v>
      </c>
      <c r="F96" s="194" t="str">
        <f>'Statements Summary 2024'!V95</f>
        <v>-</v>
      </c>
      <c r="G96" s="194" t="str">
        <f t="shared" si="12"/>
        <v>-</v>
      </c>
      <c r="H96" s="194" t="str">
        <f>'Statements Summary 2026'!V96</f>
        <v>-</v>
      </c>
      <c r="I96" s="194" t="str">
        <f>'Statements Summary 2027'!V96</f>
        <v>-</v>
      </c>
      <c r="K96" s="194" t="s">
        <v>190</v>
      </c>
      <c r="L96" s="194" t="s">
        <v>190</v>
      </c>
      <c r="M96" s="194" t="s">
        <v>190</v>
      </c>
      <c r="N96" s="194" t="s">
        <v>190</v>
      </c>
      <c r="O96" s="194" t="s">
        <v>190</v>
      </c>
      <c r="P96" s="194" t="s">
        <v>190</v>
      </c>
      <c r="Q96" s="194" t="s">
        <v>190</v>
      </c>
      <c r="R96" s="194" t="s">
        <v>190</v>
      </c>
      <c r="S96" s="194" t="s">
        <v>190</v>
      </c>
      <c r="T96" s="194" t="s">
        <v>190</v>
      </c>
      <c r="U96" s="194" t="s">
        <v>190</v>
      </c>
      <c r="V96" s="194" t="s">
        <v>190</v>
      </c>
    </row>
    <row r="97" spans="2:22" x14ac:dyDescent="0.3">
      <c r="B97" t="s">
        <v>57</v>
      </c>
      <c r="E97" s="194">
        <f>'Statements Summary 2023'!V95</f>
        <v>0</v>
      </c>
      <c r="F97" s="194">
        <f>'Statements Summary 2024'!V96</f>
        <v>0</v>
      </c>
      <c r="G97" s="194">
        <f t="shared" si="12"/>
        <v>0</v>
      </c>
      <c r="H97" s="194">
        <f>'Statements Summary 2026'!V97</f>
        <v>0</v>
      </c>
      <c r="I97" s="194">
        <f>'Statements Summary 2027'!V97</f>
        <v>0</v>
      </c>
      <c r="K97" s="194" t="s">
        <v>190</v>
      </c>
      <c r="L97" s="194" t="s">
        <v>190</v>
      </c>
      <c r="M97" s="194" t="s">
        <v>190</v>
      </c>
      <c r="N97" s="194" t="s">
        <v>190</v>
      </c>
      <c r="O97" s="194" t="s">
        <v>190</v>
      </c>
      <c r="P97" s="194" t="s">
        <v>190</v>
      </c>
      <c r="Q97" s="194" t="s">
        <v>190</v>
      </c>
      <c r="R97" s="194" t="s">
        <v>190</v>
      </c>
      <c r="S97" s="194" t="s">
        <v>190</v>
      </c>
      <c r="T97" s="194" t="s">
        <v>190</v>
      </c>
      <c r="U97" s="194" t="s">
        <v>190</v>
      </c>
      <c r="V97" s="194"/>
    </row>
    <row r="98" spans="2:22" x14ac:dyDescent="0.3">
      <c r="B98" t="s">
        <v>58</v>
      </c>
      <c r="E98" s="194">
        <f>'Statements Summary 2023'!V96</f>
        <v>68268.200000000012</v>
      </c>
      <c r="F98" s="194">
        <f>'Statements Summary 2024'!V97</f>
        <v>500961.79999999993</v>
      </c>
      <c r="G98" s="194">
        <f t="shared" si="12"/>
        <v>969269.60000000033</v>
      </c>
      <c r="H98" s="194">
        <f>'Statements Summary 2026'!V98</f>
        <v>1533030.8</v>
      </c>
      <c r="I98" s="194">
        <f>'Statements Summary 2027'!V98</f>
        <v>2056264.4000000001</v>
      </c>
      <c r="K98" s="194">
        <f>K94</f>
        <v>448616.00000000012</v>
      </c>
      <c r="L98" s="194">
        <f t="shared" ref="L98:V98" si="13">L94</f>
        <v>478138.4</v>
      </c>
      <c r="M98" s="194">
        <f t="shared" si="13"/>
        <v>518501</v>
      </c>
      <c r="N98" s="194">
        <f t="shared" si="13"/>
        <v>563234</v>
      </c>
      <c r="O98" s="194">
        <f t="shared" si="13"/>
        <v>610209.20000000007</v>
      </c>
      <c r="P98" s="194">
        <f t="shared" si="13"/>
        <v>658739.60000000009</v>
      </c>
      <c r="Q98" s="194">
        <f t="shared" si="13"/>
        <v>712138.40000000014</v>
      </c>
      <c r="R98" s="194">
        <f t="shared" si="13"/>
        <v>767120.20000000007</v>
      </c>
      <c r="S98" s="194">
        <f t="shared" si="13"/>
        <v>821668</v>
      </c>
      <c r="T98" s="194">
        <f t="shared" si="13"/>
        <v>871643.60000000009</v>
      </c>
      <c r="U98" s="194">
        <f t="shared" si="13"/>
        <v>920212.80000000016</v>
      </c>
      <c r="V98" s="194">
        <f t="shared" si="13"/>
        <v>969269.60000000033</v>
      </c>
    </row>
    <row r="99" spans="2:22" x14ac:dyDescent="0.3">
      <c r="B99" t="s">
        <v>59</v>
      </c>
      <c r="E99" s="194">
        <f>'Statements Summary 2023'!V97</f>
        <v>68268.200000000012</v>
      </c>
      <c r="F99" s="194">
        <f>'Statements Summary 2024'!V98</f>
        <v>500961.79999999993</v>
      </c>
      <c r="G99" s="194">
        <f t="shared" si="12"/>
        <v>969269.60000000033</v>
      </c>
      <c r="H99" s="194">
        <f>'Statements Summary 2026'!V99</f>
        <v>1533030.8</v>
      </c>
      <c r="I99" s="194">
        <f>'Statements Summary 2027'!V99</f>
        <v>2056264.4000000001</v>
      </c>
      <c r="K99" s="194">
        <f>K98</f>
        <v>448616.00000000012</v>
      </c>
      <c r="L99" s="194">
        <f t="shared" ref="L99:V99" si="14">L98</f>
        <v>478138.4</v>
      </c>
      <c r="M99" s="194">
        <f t="shared" si="14"/>
        <v>518501</v>
      </c>
      <c r="N99" s="194">
        <f t="shared" si="14"/>
        <v>563234</v>
      </c>
      <c r="O99" s="194">
        <f t="shared" si="14"/>
        <v>610209.20000000007</v>
      </c>
      <c r="P99" s="194">
        <f t="shared" si="14"/>
        <v>658739.60000000009</v>
      </c>
      <c r="Q99" s="194">
        <f t="shared" si="14"/>
        <v>712138.40000000014</v>
      </c>
      <c r="R99" s="194">
        <f t="shared" si="14"/>
        <v>767120.20000000007</v>
      </c>
      <c r="S99" s="194">
        <f t="shared" si="14"/>
        <v>821668</v>
      </c>
      <c r="T99" s="194">
        <f t="shared" si="14"/>
        <v>871643.60000000009</v>
      </c>
      <c r="U99" s="194">
        <f t="shared" si="14"/>
        <v>920212.80000000016</v>
      </c>
      <c r="V99" s="194">
        <f t="shared" si="14"/>
        <v>969269.60000000033</v>
      </c>
    </row>
    <row r="101" spans="2:22" x14ac:dyDescent="0.3">
      <c r="B101" s="173" t="s">
        <v>222</v>
      </c>
      <c r="C101" s="147"/>
      <c r="D101" s="147"/>
      <c r="E101" s="147"/>
      <c r="F101" s="147"/>
      <c r="G101" s="147"/>
      <c r="H101" s="147"/>
      <c r="I101" s="147"/>
      <c r="K101" s="428" t="s">
        <v>227</v>
      </c>
      <c r="L101" s="428"/>
      <c r="M101" s="428"/>
      <c r="N101" s="428"/>
      <c r="O101" s="428"/>
      <c r="P101" s="428"/>
      <c r="Q101" s="428"/>
      <c r="R101" s="428"/>
      <c r="S101" s="428"/>
      <c r="T101" s="428"/>
      <c r="U101" s="428"/>
      <c r="V101" s="428"/>
    </row>
  </sheetData>
  <mergeCells count="6">
    <mergeCell ref="K2:V2"/>
    <mergeCell ref="K19:V19"/>
    <mergeCell ref="K67:V67"/>
    <mergeCell ref="K85:V85"/>
    <mergeCell ref="K101:V101"/>
    <mergeCell ref="K42:V42"/>
  </mergeCells>
  <pageMargins left="0.7" right="0.7" top="0.75" bottom="0.75" header="0.3" footer="0.3"/>
  <ignoredErrors>
    <ignoredError sqref="G6" formula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BBD8-C99D-49C4-9883-A147560EF4BD}">
  <sheetPr codeName="Sheet26"/>
  <dimension ref="A1:AP101"/>
  <sheetViews>
    <sheetView showGridLines="0" topLeftCell="A42" workbookViewId="0">
      <selection activeCell="U30" activeCellId="2" sqref="U14:U16 U22:U24 U30:U32"/>
    </sheetView>
  </sheetViews>
  <sheetFormatPr defaultRowHeight="14.4" x14ac:dyDescent="0.3"/>
  <cols>
    <col min="1" max="1" width="5" customWidth="1"/>
    <col min="2" max="2" width="3.88671875" customWidth="1"/>
    <col min="5" max="5" width="14.33203125" customWidth="1"/>
    <col min="6" max="6" width="8.88671875" style="125"/>
    <col min="8" max="8" width="9.5546875" bestFit="1" customWidth="1"/>
    <col min="9" max="9" width="9.88671875" customWidth="1"/>
    <col min="10" max="10" width="9.5546875" bestFit="1" customWidth="1"/>
    <col min="11" max="11" width="10.5546875" bestFit="1" customWidth="1"/>
    <col min="12" max="12" width="9.6640625" bestFit="1" customWidth="1"/>
    <col min="13" max="13" width="9.5546875" bestFit="1" customWidth="1"/>
    <col min="14" max="14" width="9.5546875" customWidth="1"/>
    <col min="15" max="19" width="9.5546875" bestFit="1" customWidth="1"/>
    <col min="20" max="20" width="9.3320312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32" t="s">
        <v>139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42" x14ac:dyDescent="0.3">
      <c r="A3" s="9"/>
      <c r="B3" s="9" t="s">
        <v>140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42" x14ac:dyDescent="0.3">
      <c r="A5" s="143"/>
      <c r="B5" s="146" t="s">
        <v>170</v>
      </c>
      <c r="C5" s="143"/>
      <c r="D5" s="143"/>
      <c r="E5" s="143"/>
      <c r="F5" s="191">
        <v>2026</v>
      </c>
      <c r="G5" s="191">
        <v>2026</v>
      </c>
      <c r="H5" s="191">
        <v>2026</v>
      </c>
      <c r="I5" s="191">
        <v>2026</v>
      </c>
      <c r="J5" s="191">
        <v>2026</v>
      </c>
      <c r="K5" s="191">
        <v>2026</v>
      </c>
      <c r="L5" s="191">
        <v>2026</v>
      </c>
      <c r="M5" s="191">
        <v>2026</v>
      </c>
      <c r="N5" s="191">
        <v>2026</v>
      </c>
      <c r="O5" s="191">
        <v>2026</v>
      </c>
      <c r="P5" s="191">
        <v>2026</v>
      </c>
      <c r="Q5" s="191">
        <v>2026</v>
      </c>
      <c r="R5" s="191">
        <v>2027</v>
      </c>
      <c r="S5" s="191">
        <v>2027</v>
      </c>
      <c r="T5" s="191">
        <v>2027</v>
      </c>
      <c r="U5" s="173" t="s">
        <v>72</v>
      </c>
    </row>
    <row r="6" spans="1:42" ht="15" thickBot="1" x14ac:dyDescent="0.35">
      <c r="A6" s="145"/>
      <c r="B6" s="152" t="s">
        <v>64</v>
      </c>
      <c r="C6" s="145"/>
      <c r="D6" s="145"/>
      <c r="E6" s="145"/>
      <c r="F6" s="190" t="s">
        <v>25</v>
      </c>
      <c r="G6" s="190" t="s">
        <v>26</v>
      </c>
      <c r="H6" s="190" t="s">
        <v>27</v>
      </c>
      <c r="I6" s="190" t="s">
        <v>28</v>
      </c>
      <c r="J6" s="190" t="s">
        <v>29</v>
      </c>
      <c r="K6" s="190" t="s">
        <v>30</v>
      </c>
      <c r="L6" s="190" t="s">
        <v>31</v>
      </c>
      <c r="M6" s="190" t="s">
        <v>32</v>
      </c>
      <c r="N6" s="190" t="s">
        <v>33</v>
      </c>
      <c r="O6" s="190" t="s">
        <v>34</v>
      </c>
      <c r="P6" s="190" t="s">
        <v>35</v>
      </c>
      <c r="Q6" s="190" t="s">
        <v>36</v>
      </c>
      <c r="R6" s="190" t="s">
        <v>25</v>
      </c>
      <c r="S6" s="190" t="s">
        <v>26</v>
      </c>
      <c r="T6" s="190" t="s">
        <v>27</v>
      </c>
      <c r="U6" s="158"/>
    </row>
    <row r="7" spans="1:42" s="124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2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35" t="s">
        <v>285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ht="12.6" customHeight="1" x14ac:dyDescent="0.3">
      <c r="A9" s="9"/>
      <c r="B9" s="9"/>
      <c r="C9" s="135" t="s">
        <v>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ht="13.2" customHeight="1" x14ac:dyDescent="0.3">
      <c r="A10" s="9"/>
      <c r="B10" s="9"/>
      <c r="C10" s="427" t="s">
        <v>288</v>
      </c>
      <c r="D10" s="427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338" t="s">
        <v>100</v>
      </c>
    </row>
    <row r="11" spans="1:42" x14ac:dyDescent="0.3">
      <c r="A11" s="9"/>
      <c r="B11" s="9"/>
      <c r="C11" s="136" t="s">
        <v>282</v>
      </c>
      <c r="D11" s="9"/>
      <c r="E11" s="9"/>
      <c r="F11" s="321">
        <v>4191</v>
      </c>
      <c r="G11" s="321">
        <v>4191</v>
      </c>
      <c r="H11" s="321">
        <v>4191</v>
      </c>
      <c r="I11" s="321">
        <v>4891</v>
      </c>
      <c r="J11" s="321">
        <v>5191</v>
      </c>
      <c r="K11" s="321">
        <v>5191</v>
      </c>
      <c r="L11" s="321">
        <v>5222</v>
      </c>
      <c r="M11" s="321">
        <v>5191</v>
      </c>
      <c r="N11" s="321">
        <v>5203</v>
      </c>
      <c r="O11" s="321">
        <v>5203</v>
      </c>
      <c r="P11" s="321">
        <v>5191</v>
      </c>
      <c r="Q11" s="321">
        <v>5187</v>
      </c>
      <c r="R11" s="321">
        <f>'IS 2027'!F11</f>
        <v>4191</v>
      </c>
      <c r="S11" s="321">
        <f>'IS 2027'!G11</f>
        <v>4191</v>
      </c>
      <c r="T11" s="321">
        <f>'IS 2027'!H11</f>
        <v>4191</v>
      </c>
      <c r="U11" s="321">
        <f>AVERAGE(F11:T11)</f>
        <v>4774.3999999999996</v>
      </c>
    </row>
    <row r="12" spans="1:42" x14ac:dyDescent="0.3">
      <c r="A12" s="9"/>
      <c r="B12" s="9"/>
      <c r="C12" s="136" t="s">
        <v>283</v>
      </c>
      <c r="D12" s="9"/>
      <c r="E12" s="9"/>
      <c r="F12" s="321">
        <v>2357</v>
      </c>
      <c r="G12" s="321">
        <v>2357</v>
      </c>
      <c r="H12" s="321">
        <v>2357</v>
      </c>
      <c r="I12" s="321">
        <v>3357</v>
      </c>
      <c r="J12" s="321">
        <v>3557</v>
      </c>
      <c r="K12" s="321">
        <v>3557</v>
      </c>
      <c r="L12" s="321">
        <v>3557</v>
      </c>
      <c r="M12" s="321">
        <v>3557</v>
      </c>
      <c r="N12" s="321">
        <v>3557</v>
      </c>
      <c r="O12" s="321">
        <v>3557</v>
      </c>
      <c r="P12" s="321">
        <v>3557</v>
      </c>
      <c r="Q12" s="321">
        <v>3557</v>
      </c>
      <c r="R12" s="321">
        <f>'IS 2027'!F12</f>
        <v>2357</v>
      </c>
      <c r="S12" s="321">
        <f>'IS 2027'!G12</f>
        <v>2357</v>
      </c>
      <c r="T12" s="321">
        <f>'IS 2027'!H12</f>
        <v>2357</v>
      </c>
      <c r="U12" s="321">
        <f t="shared" ref="U12:U15" si="0">AVERAGE(F12:T12)</f>
        <v>3063.6666666666665</v>
      </c>
    </row>
    <row r="13" spans="1:42" x14ac:dyDescent="0.3">
      <c r="A13" s="9"/>
      <c r="B13" s="9"/>
      <c r="C13" s="136" t="s">
        <v>284</v>
      </c>
      <c r="D13" s="9"/>
      <c r="E13" s="9"/>
      <c r="F13" s="321">
        <v>3357</v>
      </c>
      <c r="G13" s="321">
        <v>3357</v>
      </c>
      <c r="H13" s="321">
        <v>3357</v>
      </c>
      <c r="I13" s="321">
        <v>4357</v>
      </c>
      <c r="J13" s="321">
        <v>4010</v>
      </c>
      <c r="K13" s="321">
        <v>4010</v>
      </c>
      <c r="L13" s="321">
        <v>4010</v>
      </c>
      <c r="M13" s="321">
        <v>4010</v>
      </c>
      <c r="N13" s="321">
        <v>4010</v>
      </c>
      <c r="O13" s="321">
        <v>4010</v>
      </c>
      <c r="P13" s="321">
        <v>4010</v>
      </c>
      <c r="Q13" s="321">
        <v>4010</v>
      </c>
      <c r="R13" s="321">
        <f>'IS 2027'!F13</f>
        <v>3357</v>
      </c>
      <c r="S13" s="321">
        <f>'IS 2027'!G13</f>
        <v>3357</v>
      </c>
      <c r="T13" s="321">
        <f>'IS 2027'!H13</f>
        <v>3357</v>
      </c>
      <c r="U13" s="321">
        <f t="shared" si="0"/>
        <v>3771.9333333333334</v>
      </c>
    </row>
    <row r="14" spans="1:42" x14ac:dyDescent="0.3">
      <c r="A14" s="9"/>
      <c r="B14" s="9"/>
      <c r="C14" s="136" t="s">
        <v>274</v>
      </c>
      <c r="D14" s="9"/>
      <c r="E14" s="9"/>
      <c r="F14" s="321">
        <f t="shared" ref="F14:Q14" si="1">SUM(F11:F13)</f>
        <v>9905</v>
      </c>
      <c r="G14" s="321">
        <f t="shared" si="1"/>
        <v>9905</v>
      </c>
      <c r="H14" s="321">
        <f t="shared" si="1"/>
        <v>9905</v>
      </c>
      <c r="I14" s="321">
        <f t="shared" si="1"/>
        <v>12605</v>
      </c>
      <c r="J14" s="321">
        <f t="shared" si="1"/>
        <v>12758</v>
      </c>
      <c r="K14" s="321">
        <f t="shared" si="1"/>
        <v>12758</v>
      </c>
      <c r="L14" s="321">
        <f t="shared" si="1"/>
        <v>12789</v>
      </c>
      <c r="M14" s="321">
        <f t="shared" si="1"/>
        <v>12758</v>
      </c>
      <c r="N14" s="321">
        <f t="shared" si="1"/>
        <v>12770</v>
      </c>
      <c r="O14" s="321">
        <f t="shared" si="1"/>
        <v>12770</v>
      </c>
      <c r="P14" s="321">
        <f t="shared" si="1"/>
        <v>12758</v>
      </c>
      <c r="Q14" s="321">
        <f t="shared" si="1"/>
        <v>12754</v>
      </c>
      <c r="R14" s="321">
        <v>12655</v>
      </c>
      <c r="S14" s="321">
        <v>12655</v>
      </c>
      <c r="T14" s="321">
        <v>12655</v>
      </c>
      <c r="U14" s="321">
        <f t="shared" si="0"/>
        <v>12160</v>
      </c>
    </row>
    <row r="15" spans="1:42" x14ac:dyDescent="0.3">
      <c r="A15" s="9"/>
      <c r="B15" s="9"/>
      <c r="C15" s="136" t="s">
        <v>295</v>
      </c>
      <c r="D15" s="9"/>
      <c r="E15" s="9"/>
      <c r="F15" s="333">
        <v>15000</v>
      </c>
      <c r="G15" s="333">
        <v>15000</v>
      </c>
      <c r="H15" s="333">
        <v>15000</v>
      </c>
      <c r="I15" s="333">
        <v>15000</v>
      </c>
      <c r="J15" s="333">
        <v>15000</v>
      </c>
      <c r="K15" s="333">
        <v>15000</v>
      </c>
      <c r="L15" s="333">
        <v>15000</v>
      </c>
      <c r="M15" s="333">
        <v>15000</v>
      </c>
      <c r="N15" s="333">
        <v>15000</v>
      </c>
      <c r="O15" s="333">
        <v>15000</v>
      </c>
      <c r="P15" s="333">
        <v>15000</v>
      </c>
      <c r="Q15" s="333">
        <v>15000</v>
      </c>
      <c r="R15" s="333">
        <v>15000</v>
      </c>
      <c r="S15" s="333">
        <v>15000</v>
      </c>
      <c r="T15" s="333">
        <v>15000</v>
      </c>
      <c r="U15" s="333">
        <f t="shared" si="0"/>
        <v>15000</v>
      </c>
    </row>
    <row r="16" spans="1:42" x14ac:dyDescent="0.3">
      <c r="A16" s="9"/>
      <c r="B16" s="9"/>
      <c r="C16" s="136" t="s">
        <v>273</v>
      </c>
      <c r="D16" s="9"/>
      <c r="E16" s="9"/>
      <c r="F16" s="322">
        <f>F14/F$15</f>
        <v>0.66033333333333333</v>
      </c>
      <c r="G16" s="322">
        <f>G14/G$15</f>
        <v>0.66033333333333333</v>
      </c>
      <c r="H16" s="322">
        <f t="shared" ref="H16:T16" si="2">H14/H$15</f>
        <v>0.66033333333333333</v>
      </c>
      <c r="I16" s="322">
        <f t="shared" si="2"/>
        <v>0.84033333333333338</v>
      </c>
      <c r="J16" s="322">
        <f t="shared" si="2"/>
        <v>0.85053333333333336</v>
      </c>
      <c r="K16" s="322">
        <f t="shared" si="2"/>
        <v>0.85053333333333336</v>
      </c>
      <c r="L16" s="322">
        <f t="shared" si="2"/>
        <v>0.85260000000000002</v>
      </c>
      <c r="M16" s="322">
        <f t="shared" si="2"/>
        <v>0.85053333333333336</v>
      </c>
      <c r="N16" s="322">
        <f t="shared" si="2"/>
        <v>0.85133333333333339</v>
      </c>
      <c r="O16" s="322">
        <f t="shared" si="2"/>
        <v>0.85133333333333339</v>
      </c>
      <c r="P16" s="322">
        <f t="shared" si="2"/>
        <v>0.85053333333333336</v>
      </c>
      <c r="Q16" s="322">
        <f t="shared" si="2"/>
        <v>0.85026666666666662</v>
      </c>
      <c r="R16" s="322">
        <f t="shared" si="2"/>
        <v>0.84366666666666668</v>
      </c>
      <c r="S16" s="322">
        <f t="shared" si="2"/>
        <v>0.84366666666666668</v>
      </c>
      <c r="T16" s="322">
        <f t="shared" si="2"/>
        <v>0.84366666666666668</v>
      </c>
      <c r="U16" s="332">
        <f>AVERAGE(F16:T16)</f>
        <v>0.81066666666666676</v>
      </c>
    </row>
    <row r="17" spans="1:21" x14ac:dyDescent="0.3">
      <c r="A17" s="9"/>
      <c r="B17" s="9"/>
      <c r="C17" s="136"/>
      <c r="D17" s="9"/>
      <c r="E17" s="9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9"/>
    </row>
    <row r="18" spans="1:21" x14ac:dyDescent="0.3">
      <c r="A18" s="9"/>
      <c r="B18" s="9"/>
      <c r="C18" s="135" t="s">
        <v>287</v>
      </c>
      <c r="D18" s="9"/>
      <c r="E18" s="9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9"/>
    </row>
    <row r="19" spans="1:21" x14ac:dyDescent="0.3">
      <c r="A19" s="9"/>
      <c r="B19" s="9"/>
      <c r="C19" s="136" t="s">
        <v>282</v>
      </c>
      <c r="D19" s="9"/>
      <c r="E19" s="9"/>
      <c r="F19" s="321">
        <v>4357</v>
      </c>
      <c r="G19" s="321">
        <v>4357</v>
      </c>
      <c r="H19" s="321">
        <v>6489</v>
      </c>
      <c r="I19" s="321">
        <v>6653</v>
      </c>
      <c r="J19" s="321">
        <v>6802</v>
      </c>
      <c r="K19" s="321">
        <v>7130</v>
      </c>
      <c r="L19" s="321">
        <v>8322</v>
      </c>
      <c r="M19" s="321">
        <v>8322</v>
      </c>
      <c r="N19" s="321">
        <v>8322</v>
      </c>
      <c r="O19" s="321">
        <v>6311</v>
      </c>
      <c r="P19" s="321">
        <v>6271</v>
      </c>
      <c r="Q19" s="321">
        <v>6100</v>
      </c>
      <c r="R19" s="321">
        <f>'IS 2027'!F19</f>
        <v>4357</v>
      </c>
      <c r="S19" s="321">
        <f>'IS 2027'!G19</f>
        <v>4357</v>
      </c>
      <c r="T19" s="321">
        <f>'IS 2027'!H19</f>
        <v>6489</v>
      </c>
      <c r="U19" s="321">
        <f>AVERAGE(F19:T19)</f>
        <v>6309.2666666666664</v>
      </c>
    </row>
    <row r="20" spans="1:21" x14ac:dyDescent="0.3">
      <c r="A20" s="9"/>
      <c r="B20" s="9"/>
      <c r="C20" s="136" t="s">
        <v>283</v>
      </c>
      <c r="D20" s="9"/>
      <c r="E20" s="9"/>
      <c r="F20" s="321">
        <v>2357</v>
      </c>
      <c r="G20" s="321">
        <v>2357</v>
      </c>
      <c r="H20" s="321">
        <v>6489</v>
      </c>
      <c r="I20" s="321">
        <v>6653</v>
      </c>
      <c r="J20" s="321">
        <v>6802</v>
      </c>
      <c r="K20" s="321">
        <v>7130</v>
      </c>
      <c r="L20" s="321">
        <v>8322</v>
      </c>
      <c r="M20" s="321">
        <v>8322</v>
      </c>
      <c r="N20" s="321">
        <v>8322</v>
      </c>
      <c r="O20" s="321">
        <v>6411</v>
      </c>
      <c r="P20" s="321">
        <v>6334</v>
      </c>
      <c r="Q20" s="321">
        <v>6232</v>
      </c>
      <c r="R20" s="321">
        <f>'IS 2027'!F20</f>
        <v>2357</v>
      </c>
      <c r="S20" s="321">
        <f>'IS 2027'!G20</f>
        <v>2357</v>
      </c>
      <c r="T20" s="321">
        <f>'IS 2027'!H20</f>
        <v>6489</v>
      </c>
      <c r="U20" s="321">
        <f t="shared" ref="U20:U23" si="3">AVERAGE(F20:T20)</f>
        <v>5795.6</v>
      </c>
    </row>
    <row r="21" spans="1:21" x14ac:dyDescent="0.3">
      <c r="A21" s="9"/>
      <c r="B21" s="9"/>
      <c r="C21" s="136" t="s">
        <v>284</v>
      </c>
      <c r="D21" s="9"/>
      <c r="E21" s="9"/>
      <c r="F21" s="321">
        <v>4357</v>
      </c>
      <c r="G21" s="321">
        <v>4357</v>
      </c>
      <c r="H21" s="321">
        <v>6489</v>
      </c>
      <c r="I21" s="321">
        <v>6653</v>
      </c>
      <c r="J21" s="321">
        <v>6802</v>
      </c>
      <c r="K21" s="321">
        <v>7130</v>
      </c>
      <c r="L21" s="321">
        <v>8322</v>
      </c>
      <c r="M21" s="321">
        <v>8322</v>
      </c>
      <c r="N21" s="321">
        <v>7322</v>
      </c>
      <c r="O21" s="321">
        <v>6411</v>
      </c>
      <c r="P21" s="321">
        <v>6443</v>
      </c>
      <c r="Q21" s="321">
        <v>6211</v>
      </c>
      <c r="R21" s="321">
        <f>'IS 2027'!F21</f>
        <v>4357</v>
      </c>
      <c r="S21" s="321">
        <f>'IS 2027'!G21</f>
        <v>4357</v>
      </c>
      <c r="T21" s="321">
        <f>'IS 2027'!H21</f>
        <v>6489</v>
      </c>
      <c r="U21" s="321">
        <f t="shared" si="3"/>
        <v>6268.1333333333332</v>
      </c>
    </row>
    <row r="22" spans="1:21" x14ac:dyDescent="0.3">
      <c r="A22" s="9"/>
      <c r="B22" s="9"/>
      <c r="C22" s="136" t="s">
        <v>274</v>
      </c>
      <c r="D22" s="9"/>
      <c r="E22" s="9"/>
      <c r="F22" s="321">
        <f t="shared" ref="F22:T22" si="4">SUM(F19:F21)</f>
        <v>11071</v>
      </c>
      <c r="G22" s="321">
        <f t="shared" si="4"/>
        <v>11071</v>
      </c>
      <c r="H22" s="321">
        <f t="shared" si="4"/>
        <v>19467</v>
      </c>
      <c r="I22" s="321">
        <f t="shared" si="4"/>
        <v>19959</v>
      </c>
      <c r="J22" s="321">
        <f t="shared" si="4"/>
        <v>20406</v>
      </c>
      <c r="K22" s="321">
        <f t="shared" si="4"/>
        <v>21390</v>
      </c>
      <c r="L22" s="321">
        <f t="shared" si="4"/>
        <v>24966</v>
      </c>
      <c r="M22" s="321">
        <f t="shared" si="4"/>
        <v>24966</v>
      </c>
      <c r="N22" s="321">
        <f t="shared" si="4"/>
        <v>23966</v>
      </c>
      <c r="O22" s="321">
        <f t="shared" si="4"/>
        <v>19133</v>
      </c>
      <c r="P22" s="321">
        <f t="shared" si="4"/>
        <v>19048</v>
      </c>
      <c r="Q22" s="321">
        <f t="shared" si="4"/>
        <v>18543</v>
      </c>
      <c r="R22" s="321">
        <f t="shared" si="4"/>
        <v>11071</v>
      </c>
      <c r="S22" s="321">
        <f t="shared" si="4"/>
        <v>11071</v>
      </c>
      <c r="T22" s="321">
        <f t="shared" si="4"/>
        <v>19467</v>
      </c>
      <c r="U22" s="321">
        <f t="shared" si="3"/>
        <v>18373</v>
      </c>
    </row>
    <row r="23" spans="1:21" x14ac:dyDescent="0.3">
      <c r="A23" s="9"/>
      <c r="B23" s="9"/>
      <c r="C23" s="136" t="s">
        <v>295</v>
      </c>
      <c r="D23" s="9"/>
      <c r="E23" s="9"/>
      <c r="F23" s="333">
        <v>15000</v>
      </c>
      <c r="G23" s="333">
        <v>15000</v>
      </c>
      <c r="H23" s="333">
        <v>21000</v>
      </c>
      <c r="I23" s="333">
        <v>21000</v>
      </c>
      <c r="J23" s="333">
        <v>22000</v>
      </c>
      <c r="K23" s="333">
        <v>22000</v>
      </c>
      <c r="L23" s="333">
        <v>24000</v>
      </c>
      <c r="M23" s="333">
        <v>24000</v>
      </c>
      <c r="N23" s="333">
        <v>23000</v>
      </c>
      <c r="O23" s="333">
        <v>22000</v>
      </c>
      <c r="P23" s="333">
        <v>21000</v>
      </c>
      <c r="Q23" s="333">
        <v>21000</v>
      </c>
      <c r="R23" s="333">
        <v>16000</v>
      </c>
      <c r="S23" s="333">
        <v>16000</v>
      </c>
      <c r="T23" s="333">
        <v>21000</v>
      </c>
      <c r="U23" s="333">
        <f t="shared" si="3"/>
        <v>20266.666666666668</v>
      </c>
    </row>
    <row r="24" spans="1:21" x14ac:dyDescent="0.3">
      <c r="A24" s="9"/>
      <c r="B24" s="9"/>
      <c r="C24" s="136" t="s">
        <v>273</v>
      </c>
      <c r="D24" s="9"/>
      <c r="E24" s="9"/>
      <c r="F24" s="322">
        <f t="shared" ref="F24:T24" si="5">F22/F$23</f>
        <v>0.73806666666666665</v>
      </c>
      <c r="G24" s="322">
        <f t="shared" si="5"/>
        <v>0.73806666666666665</v>
      </c>
      <c r="H24" s="322">
        <f t="shared" si="5"/>
        <v>0.92700000000000005</v>
      </c>
      <c r="I24" s="322">
        <f t="shared" si="5"/>
        <v>0.9504285714285714</v>
      </c>
      <c r="J24" s="322">
        <f t="shared" si="5"/>
        <v>0.92754545454545456</v>
      </c>
      <c r="K24" s="322">
        <f t="shared" si="5"/>
        <v>0.97227272727272729</v>
      </c>
      <c r="L24" s="322">
        <f t="shared" si="5"/>
        <v>1.0402499999999999</v>
      </c>
      <c r="M24" s="322">
        <f t="shared" si="5"/>
        <v>1.0402499999999999</v>
      </c>
      <c r="N24" s="322">
        <f t="shared" si="5"/>
        <v>1.042</v>
      </c>
      <c r="O24" s="322">
        <f t="shared" si="5"/>
        <v>0.86968181818181822</v>
      </c>
      <c r="P24" s="322">
        <f t="shared" si="5"/>
        <v>0.9070476190476191</v>
      </c>
      <c r="Q24" s="322">
        <f t="shared" si="5"/>
        <v>0.88300000000000001</v>
      </c>
      <c r="R24" s="322">
        <f t="shared" si="5"/>
        <v>0.69193749999999998</v>
      </c>
      <c r="S24" s="322">
        <f t="shared" si="5"/>
        <v>0.69193749999999998</v>
      </c>
      <c r="T24" s="322">
        <f t="shared" si="5"/>
        <v>0.92700000000000005</v>
      </c>
      <c r="U24" s="322">
        <f>AVERAGE(F24:T24)</f>
        <v>0.8897656349206351</v>
      </c>
    </row>
    <row r="25" spans="1:21" x14ac:dyDescent="0.3">
      <c r="A25" s="9"/>
      <c r="B25" s="9"/>
      <c r="C25" s="136"/>
      <c r="D25" s="9"/>
      <c r="E25" s="9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</row>
    <row r="26" spans="1:21" x14ac:dyDescent="0.3">
      <c r="A26" s="9"/>
      <c r="B26" s="9"/>
      <c r="C26" s="135" t="s">
        <v>286</v>
      </c>
      <c r="D26" s="9"/>
      <c r="E26" s="9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9"/>
    </row>
    <row r="27" spans="1:21" x14ac:dyDescent="0.3">
      <c r="A27" s="9"/>
      <c r="B27" s="9"/>
      <c r="C27" s="136" t="s">
        <v>282</v>
      </c>
      <c r="D27" s="9"/>
      <c r="E27" s="9"/>
      <c r="F27" s="321">
        <f>'CF 2026'!G29</f>
        <v>4357</v>
      </c>
      <c r="G27" s="321">
        <f>'CF 2026'!H29</f>
        <v>4357</v>
      </c>
      <c r="H27" s="321">
        <f>'CF 2026'!I29</f>
        <v>6489</v>
      </c>
      <c r="I27" s="321">
        <f>'CF 2026'!J29</f>
        <v>6653</v>
      </c>
      <c r="J27" s="321">
        <f>'CF 2026'!K29</f>
        <v>6802</v>
      </c>
      <c r="K27" s="321">
        <f>'CF 2026'!L29</f>
        <v>7130</v>
      </c>
      <c r="L27" s="321">
        <f>'CF 2026'!M29</f>
        <v>8322</v>
      </c>
      <c r="M27" s="321">
        <f>'CF 2026'!N29</f>
        <v>8322</v>
      </c>
      <c r="N27" s="321">
        <f>'CF 2026'!O29</f>
        <v>8322</v>
      </c>
      <c r="O27" s="321">
        <f>'CF 2026'!P29</f>
        <v>7411</v>
      </c>
      <c r="P27" s="321">
        <f>'CF 2026'!Q29</f>
        <v>7411</v>
      </c>
      <c r="Q27" s="321">
        <f>'CF 2026'!R29</f>
        <v>7704</v>
      </c>
      <c r="R27" s="321">
        <f>'IS 2027'!F27</f>
        <v>4357</v>
      </c>
      <c r="S27" s="321">
        <f>'IS 2027'!G27</f>
        <v>4357</v>
      </c>
      <c r="T27" s="321">
        <f>'IS 2027'!H27</f>
        <v>6489</v>
      </c>
      <c r="U27" s="321">
        <f>AVERAGE(F27:T27)</f>
        <v>6565.5333333333338</v>
      </c>
    </row>
    <row r="28" spans="1:21" x14ac:dyDescent="0.3">
      <c r="A28" s="9"/>
      <c r="B28" s="9"/>
      <c r="C28" s="136" t="s">
        <v>283</v>
      </c>
      <c r="D28" s="9"/>
      <c r="E28" s="9"/>
      <c r="F28" s="321">
        <f>'CF 2026'!G30</f>
        <v>2357</v>
      </c>
      <c r="G28" s="321">
        <f>'CF 2026'!H30</f>
        <v>2357</v>
      </c>
      <c r="H28" s="321">
        <f>'CF 2026'!I30</f>
        <v>6489</v>
      </c>
      <c r="I28" s="321">
        <f>'CF 2026'!J30</f>
        <v>6653</v>
      </c>
      <c r="J28" s="321">
        <f>'CF 2026'!K30</f>
        <v>6802</v>
      </c>
      <c r="K28" s="321">
        <f>'CF 2026'!L30</f>
        <v>7130</v>
      </c>
      <c r="L28" s="321">
        <f>'CF 2026'!M30</f>
        <v>8322</v>
      </c>
      <c r="M28" s="321">
        <f>'CF 2026'!N30</f>
        <v>8322</v>
      </c>
      <c r="N28" s="321">
        <f>'CF 2026'!O30</f>
        <v>8322</v>
      </c>
      <c r="O28" s="321">
        <f>'CF 2026'!P30</f>
        <v>7411</v>
      </c>
      <c r="P28" s="321">
        <f>'CF 2026'!Q30</f>
        <v>7411</v>
      </c>
      <c r="Q28" s="321">
        <f>'CF 2026'!R30</f>
        <v>7704</v>
      </c>
      <c r="R28" s="321">
        <f>'IS 2027'!F28</f>
        <v>2357</v>
      </c>
      <c r="S28" s="321">
        <f>'IS 2027'!G28</f>
        <v>2357</v>
      </c>
      <c r="T28" s="321">
        <f>'IS 2027'!H28</f>
        <v>6489</v>
      </c>
      <c r="U28" s="321">
        <f t="shared" ref="U28:U31" si="6">AVERAGE(F28:T28)</f>
        <v>6032.2</v>
      </c>
    </row>
    <row r="29" spans="1:21" x14ac:dyDescent="0.3">
      <c r="A29" s="9"/>
      <c r="B29" s="9"/>
      <c r="C29" s="136" t="s">
        <v>284</v>
      </c>
      <c r="D29" s="9"/>
      <c r="E29" s="9"/>
      <c r="F29" s="321">
        <f>'CF 2026'!G31</f>
        <v>3357</v>
      </c>
      <c r="G29" s="321">
        <f>'CF 2026'!H31</f>
        <v>3357</v>
      </c>
      <c r="H29" s="321">
        <f>'CF 2026'!I31</f>
        <v>6489</v>
      </c>
      <c r="I29" s="321">
        <f>'CF 2026'!J31</f>
        <v>6653</v>
      </c>
      <c r="J29" s="321">
        <f>'CF 2026'!K31</f>
        <v>6802</v>
      </c>
      <c r="K29" s="321">
        <f>'CF 2026'!L31</f>
        <v>7130</v>
      </c>
      <c r="L29" s="321">
        <f>'CF 2026'!M31</f>
        <v>8322</v>
      </c>
      <c r="M29" s="321">
        <f>'CF 2026'!N31</f>
        <v>8322</v>
      </c>
      <c r="N29" s="321">
        <f>'CF 2026'!O31</f>
        <v>8322</v>
      </c>
      <c r="O29" s="321">
        <f>'CF 2026'!P31</f>
        <v>7411</v>
      </c>
      <c r="P29" s="321">
        <f>'CF 2026'!Q31</f>
        <v>7411</v>
      </c>
      <c r="Q29" s="321">
        <f>'CF 2026'!R31</f>
        <v>7704</v>
      </c>
      <c r="R29" s="321">
        <f>'IS 2027'!F29</f>
        <v>3357</v>
      </c>
      <c r="S29" s="321">
        <f>'IS 2027'!G29</f>
        <v>3357</v>
      </c>
      <c r="T29" s="321">
        <f>'IS 2027'!H29</f>
        <v>6489</v>
      </c>
      <c r="U29" s="321">
        <f t="shared" si="6"/>
        <v>6298.8666666666668</v>
      </c>
    </row>
    <row r="30" spans="1:21" x14ac:dyDescent="0.3">
      <c r="A30" s="9"/>
      <c r="B30" s="9"/>
      <c r="C30" s="136" t="s">
        <v>274</v>
      </c>
      <c r="D30" s="9"/>
      <c r="E30" s="9"/>
      <c r="F30" s="321">
        <f t="shared" ref="F30:T30" si="7">SUM(F27:F29)</f>
        <v>10071</v>
      </c>
      <c r="G30" s="321">
        <f t="shared" si="7"/>
        <v>10071</v>
      </c>
      <c r="H30" s="321">
        <f t="shared" si="7"/>
        <v>19467</v>
      </c>
      <c r="I30" s="321">
        <f t="shared" si="7"/>
        <v>19959</v>
      </c>
      <c r="J30" s="321">
        <f t="shared" si="7"/>
        <v>20406</v>
      </c>
      <c r="K30" s="321">
        <f t="shared" si="7"/>
        <v>21390</v>
      </c>
      <c r="L30" s="321">
        <f t="shared" si="7"/>
        <v>24966</v>
      </c>
      <c r="M30" s="321">
        <f t="shared" si="7"/>
        <v>24966</v>
      </c>
      <c r="N30" s="321">
        <f t="shared" si="7"/>
        <v>24966</v>
      </c>
      <c r="O30" s="321">
        <f t="shared" si="7"/>
        <v>22233</v>
      </c>
      <c r="P30" s="321">
        <f t="shared" si="7"/>
        <v>22233</v>
      </c>
      <c r="Q30" s="321">
        <f>SUM(Q27:Q29)</f>
        <v>23112</v>
      </c>
      <c r="R30" s="321">
        <f t="shared" si="7"/>
        <v>10071</v>
      </c>
      <c r="S30" s="321">
        <f t="shared" si="7"/>
        <v>10071</v>
      </c>
      <c r="T30" s="321">
        <f t="shared" si="7"/>
        <v>19467</v>
      </c>
      <c r="U30" s="321">
        <f t="shared" si="6"/>
        <v>18896.599999999999</v>
      </c>
    </row>
    <row r="31" spans="1:21" x14ac:dyDescent="0.3">
      <c r="A31" s="9"/>
      <c r="B31" s="9"/>
      <c r="C31" s="136" t="s">
        <v>295</v>
      </c>
      <c r="D31" s="9"/>
      <c r="E31" s="9"/>
      <c r="F31" s="333">
        <v>15000</v>
      </c>
      <c r="G31" s="333">
        <v>15000</v>
      </c>
      <c r="H31" s="333">
        <v>25000</v>
      </c>
      <c r="I31" s="333">
        <v>25000</v>
      </c>
      <c r="J31" s="333">
        <v>25000</v>
      </c>
      <c r="K31" s="333">
        <v>25000</v>
      </c>
      <c r="L31" s="333">
        <v>25000</v>
      </c>
      <c r="M31" s="333">
        <v>25000</v>
      </c>
      <c r="N31" s="333">
        <v>25000</v>
      </c>
      <c r="O31" s="333">
        <v>25000</v>
      </c>
      <c r="P31" s="333">
        <v>25000</v>
      </c>
      <c r="Q31" s="333">
        <v>25000</v>
      </c>
      <c r="R31" s="333">
        <v>25000</v>
      </c>
      <c r="S31" s="333">
        <v>25000</v>
      </c>
      <c r="T31" s="333">
        <v>25000</v>
      </c>
      <c r="U31" s="333">
        <f t="shared" si="6"/>
        <v>23666.666666666668</v>
      </c>
    </row>
    <row r="32" spans="1:21" x14ac:dyDescent="0.3">
      <c r="A32" s="9"/>
      <c r="B32" s="9"/>
      <c r="C32" s="136" t="s">
        <v>273</v>
      </c>
      <c r="D32" s="9"/>
      <c r="E32" s="9"/>
      <c r="F32" s="322">
        <f>F30/F$31</f>
        <v>0.6714</v>
      </c>
      <c r="G32" s="322">
        <f t="shared" ref="G32:T32" si="8">G30/G$31</f>
        <v>0.6714</v>
      </c>
      <c r="H32" s="322">
        <f t="shared" si="8"/>
        <v>0.77868000000000004</v>
      </c>
      <c r="I32" s="322">
        <f t="shared" si="8"/>
        <v>0.79835999999999996</v>
      </c>
      <c r="J32" s="322">
        <f t="shared" si="8"/>
        <v>0.81623999999999997</v>
      </c>
      <c r="K32" s="322">
        <f t="shared" si="8"/>
        <v>0.85560000000000003</v>
      </c>
      <c r="L32" s="322">
        <f t="shared" si="8"/>
        <v>0.99863999999999997</v>
      </c>
      <c r="M32" s="322">
        <f t="shared" si="8"/>
        <v>0.99863999999999997</v>
      </c>
      <c r="N32" s="322">
        <f t="shared" si="8"/>
        <v>0.99863999999999997</v>
      </c>
      <c r="O32" s="322">
        <f t="shared" si="8"/>
        <v>0.88932</v>
      </c>
      <c r="P32" s="322">
        <f t="shared" si="8"/>
        <v>0.88932</v>
      </c>
      <c r="Q32" s="322">
        <f t="shared" si="8"/>
        <v>0.92447999999999997</v>
      </c>
      <c r="R32" s="322">
        <f t="shared" si="8"/>
        <v>0.40283999999999998</v>
      </c>
      <c r="S32" s="322">
        <f t="shared" si="8"/>
        <v>0.40283999999999998</v>
      </c>
      <c r="T32" s="322">
        <f t="shared" si="8"/>
        <v>0.77868000000000004</v>
      </c>
      <c r="U32" s="322">
        <f>AVERAGE(F32:T32)</f>
        <v>0.79167199999999993</v>
      </c>
    </row>
    <row r="33" spans="1:22" x14ac:dyDescent="0.3">
      <c r="A33" s="9"/>
      <c r="B33" s="9"/>
      <c r="C33" s="136"/>
      <c r="D33" s="9"/>
      <c r="E33" s="9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9"/>
    </row>
    <row r="34" spans="1:22" x14ac:dyDescent="0.3">
      <c r="A34" s="143"/>
      <c r="B34" s="143"/>
      <c r="C34" s="146" t="s">
        <v>114</v>
      </c>
      <c r="D34" s="143"/>
      <c r="E34" s="143"/>
      <c r="F34" s="326">
        <f>SUM(F14+F22+F30)</f>
        <v>31047</v>
      </c>
      <c r="G34" s="326">
        <f t="shared" ref="G34:S34" si="9">SUM(G14+G22+G30)</f>
        <v>31047</v>
      </c>
      <c r="H34" s="326">
        <f t="shared" si="9"/>
        <v>48839</v>
      </c>
      <c r="I34" s="326">
        <f t="shared" si="9"/>
        <v>52523</v>
      </c>
      <c r="J34" s="326">
        <f t="shared" si="9"/>
        <v>53570</v>
      </c>
      <c r="K34" s="326">
        <f t="shared" si="9"/>
        <v>55538</v>
      </c>
      <c r="L34" s="326">
        <f t="shared" si="9"/>
        <v>62721</v>
      </c>
      <c r="M34" s="326">
        <f t="shared" si="9"/>
        <v>62690</v>
      </c>
      <c r="N34" s="326">
        <f t="shared" si="9"/>
        <v>61702</v>
      </c>
      <c r="O34" s="326">
        <f t="shared" si="9"/>
        <v>54136</v>
      </c>
      <c r="P34" s="326">
        <f t="shared" si="9"/>
        <v>54039</v>
      </c>
      <c r="Q34" s="326">
        <f t="shared" si="9"/>
        <v>54409</v>
      </c>
      <c r="R34" s="326">
        <f t="shared" si="9"/>
        <v>33797</v>
      </c>
      <c r="S34" s="326">
        <f t="shared" si="9"/>
        <v>33797</v>
      </c>
      <c r="T34" s="326">
        <f>SUM(T14+T22+T30)</f>
        <v>51589</v>
      </c>
      <c r="U34" s="201">
        <f t="shared" ref="U34:U83" si="10">SUM(F34:Q34)</f>
        <v>622261</v>
      </c>
    </row>
    <row r="35" spans="1:22" x14ac:dyDescent="0.3">
      <c r="A35" s="145"/>
      <c r="B35" s="145"/>
      <c r="C35" s="152" t="s">
        <v>115</v>
      </c>
      <c r="D35" s="145"/>
      <c r="E35" s="145"/>
      <c r="F35" s="327">
        <f>SUM(F37:F42)</f>
        <v>-2545</v>
      </c>
      <c r="G35" s="327">
        <f t="shared" ref="G35:T35" si="11">SUM(G37:G42)</f>
        <v>-2545</v>
      </c>
      <c r="H35" s="327">
        <f t="shared" si="11"/>
        <v>-2545</v>
      </c>
      <c r="I35" s="327">
        <f t="shared" si="11"/>
        <v>-2545</v>
      </c>
      <c r="J35" s="327">
        <f t="shared" si="11"/>
        <v>-2545</v>
      </c>
      <c r="K35" s="327">
        <f t="shared" si="11"/>
        <v>-2545</v>
      </c>
      <c r="L35" s="327">
        <f t="shared" si="11"/>
        <v>-2545</v>
      </c>
      <c r="M35" s="327">
        <f t="shared" si="11"/>
        <v>-2545</v>
      </c>
      <c r="N35" s="327">
        <f t="shared" si="11"/>
        <v>-2545</v>
      </c>
      <c r="O35" s="327">
        <f t="shared" si="11"/>
        <v>-2545</v>
      </c>
      <c r="P35" s="327">
        <f t="shared" si="11"/>
        <v>-2545</v>
      </c>
      <c r="Q35" s="327">
        <f t="shared" si="11"/>
        <v>-2545</v>
      </c>
      <c r="R35" s="327">
        <f t="shared" si="11"/>
        <v>-2545</v>
      </c>
      <c r="S35" s="327">
        <f t="shared" si="11"/>
        <v>-2545</v>
      </c>
      <c r="T35" s="327">
        <f t="shared" si="11"/>
        <v>-2545</v>
      </c>
      <c r="U35" s="203">
        <f t="shared" si="10"/>
        <v>-30540</v>
      </c>
    </row>
    <row r="36" spans="1:22" s="9" customFormat="1" x14ac:dyDescent="0.3">
      <c r="A36" s="328"/>
      <c r="B36" s="328"/>
      <c r="C36" s="329"/>
      <c r="D36" s="328"/>
      <c r="E36" s="32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48"/>
      <c r="V36"/>
    </row>
    <row r="37" spans="1:22" x14ac:dyDescent="0.3">
      <c r="A37" s="9"/>
      <c r="B37" s="9"/>
      <c r="C37" s="136" t="s">
        <v>201</v>
      </c>
      <c r="D37" s="9"/>
      <c r="E37" s="9"/>
      <c r="F37" s="372">
        <v>-1655</v>
      </c>
      <c r="G37" s="372">
        <v>-1655</v>
      </c>
      <c r="H37" s="372">
        <v>-1655</v>
      </c>
      <c r="I37" s="372">
        <v>-1655</v>
      </c>
      <c r="J37" s="372">
        <v>-1655</v>
      </c>
      <c r="K37" s="372">
        <v>-1655</v>
      </c>
      <c r="L37" s="372">
        <v>-1655</v>
      </c>
      <c r="M37" s="372">
        <v>-1655</v>
      </c>
      <c r="N37" s="372">
        <v>-1655</v>
      </c>
      <c r="O37" s="372">
        <v>-1655</v>
      </c>
      <c r="P37" s="372">
        <v>-1655</v>
      </c>
      <c r="Q37" s="372">
        <v>-1655</v>
      </c>
      <c r="R37" s="372">
        <v>-1655</v>
      </c>
      <c r="S37" s="372">
        <v>-1655</v>
      </c>
      <c r="T37" s="372">
        <v>-1655</v>
      </c>
      <c r="U37" s="372">
        <f t="shared" si="10"/>
        <v>-19860</v>
      </c>
    </row>
    <row r="38" spans="1:22" x14ac:dyDescent="0.3">
      <c r="A38" s="9"/>
      <c r="B38" s="9"/>
      <c r="C38" s="136" t="s">
        <v>271</v>
      </c>
      <c r="D38" s="9"/>
      <c r="E38" s="9"/>
      <c r="F38" s="374">
        <v>-700</v>
      </c>
      <c r="G38" s="374">
        <v>-700</v>
      </c>
      <c r="H38" s="374">
        <v>-700</v>
      </c>
      <c r="I38" s="374">
        <v>-700</v>
      </c>
      <c r="J38" s="374">
        <v>-700</v>
      </c>
      <c r="K38" s="374">
        <v>-700</v>
      </c>
      <c r="L38" s="374">
        <v>-700</v>
      </c>
      <c r="M38" s="374">
        <v>-700</v>
      </c>
      <c r="N38" s="374">
        <v>-700</v>
      </c>
      <c r="O38" s="374">
        <v>-700</v>
      </c>
      <c r="P38" s="374">
        <v>-700</v>
      </c>
      <c r="Q38" s="374">
        <v>-700</v>
      </c>
      <c r="R38" s="374">
        <v>-700</v>
      </c>
      <c r="S38" s="374">
        <v>-700</v>
      </c>
      <c r="T38" s="374">
        <v>-700</v>
      </c>
      <c r="U38" s="372">
        <f t="shared" si="10"/>
        <v>-8400</v>
      </c>
    </row>
    <row r="39" spans="1:22" x14ac:dyDescent="0.3">
      <c r="A39" s="9"/>
      <c r="B39" s="9"/>
      <c r="C39" s="136" t="s">
        <v>125</v>
      </c>
      <c r="D39" s="9"/>
      <c r="E39" s="9"/>
      <c r="F39" s="374">
        <v>-125</v>
      </c>
      <c r="G39" s="374">
        <v>-125</v>
      </c>
      <c r="H39" s="374">
        <v>-125</v>
      </c>
      <c r="I39" s="374">
        <v>-125</v>
      </c>
      <c r="J39" s="374">
        <v>-125</v>
      </c>
      <c r="K39" s="374">
        <v>-125</v>
      </c>
      <c r="L39" s="374">
        <v>-125</v>
      </c>
      <c r="M39" s="374">
        <v>-125</v>
      </c>
      <c r="N39" s="374">
        <v>-125</v>
      </c>
      <c r="O39" s="374">
        <v>-125</v>
      </c>
      <c r="P39" s="374">
        <v>-125</v>
      </c>
      <c r="Q39" s="374">
        <v>-125</v>
      </c>
      <c r="R39" s="374">
        <v>-125</v>
      </c>
      <c r="S39" s="374">
        <v>-125</v>
      </c>
      <c r="T39" s="374">
        <v>-125</v>
      </c>
      <c r="U39" s="372">
        <f t="shared" si="10"/>
        <v>-1500</v>
      </c>
    </row>
    <row r="40" spans="1:22" x14ac:dyDescent="0.3">
      <c r="A40" s="9"/>
      <c r="B40" s="9"/>
      <c r="C40" s="136" t="s">
        <v>270</v>
      </c>
      <c r="D40" s="9"/>
      <c r="E40" s="9"/>
      <c r="F40" s="374">
        <v>-65</v>
      </c>
      <c r="G40" s="374">
        <v>-65</v>
      </c>
      <c r="H40" s="374">
        <v>-65</v>
      </c>
      <c r="I40" s="374">
        <v>-65</v>
      </c>
      <c r="J40" s="374">
        <v>-65</v>
      </c>
      <c r="K40" s="374">
        <v>-65</v>
      </c>
      <c r="L40" s="374">
        <v>-65</v>
      </c>
      <c r="M40" s="374">
        <v>-65</v>
      </c>
      <c r="N40" s="374">
        <v>-65</v>
      </c>
      <c r="O40" s="374">
        <v>-65</v>
      </c>
      <c r="P40" s="374">
        <v>-65</v>
      </c>
      <c r="Q40" s="374">
        <v>-65</v>
      </c>
      <c r="R40" s="374">
        <v>-65</v>
      </c>
      <c r="S40" s="374">
        <v>-65</v>
      </c>
      <c r="T40" s="374">
        <v>-65</v>
      </c>
      <c r="U40" s="372">
        <f t="shared" si="10"/>
        <v>-780</v>
      </c>
    </row>
    <row r="41" spans="1:22" x14ac:dyDescent="0.3">
      <c r="A41" s="9"/>
      <c r="B41" s="9"/>
      <c r="C41" s="136" t="s">
        <v>61</v>
      </c>
      <c r="D41" s="9"/>
      <c r="E41" s="9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29"/>
    </row>
    <row r="42" spans="1:22" x14ac:dyDescent="0.3">
      <c r="A42" s="9"/>
      <c r="B42" s="9"/>
      <c r="C42" s="136" t="s">
        <v>206</v>
      </c>
      <c r="D42" s="9"/>
      <c r="E42" s="9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29"/>
    </row>
    <row r="43" spans="1:22" x14ac:dyDescent="0.3">
      <c r="A43" s="9"/>
      <c r="B43" s="9"/>
      <c r="C43" s="134"/>
      <c r="D43" s="9"/>
      <c r="E43" s="9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29"/>
    </row>
    <row r="44" spans="1:22" x14ac:dyDescent="0.3">
      <c r="A44" s="155"/>
      <c r="B44" s="155"/>
      <c r="C44" s="156" t="s">
        <v>4</v>
      </c>
      <c r="D44" s="155"/>
      <c r="E44" s="155"/>
      <c r="F44" s="157">
        <f>SUM(F34+F35)</f>
        <v>28502</v>
      </c>
      <c r="G44" s="157">
        <f t="shared" ref="G44:T44" si="12">SUM(G34+G35)</f>
        <v>28502</v>
      </c>
      <c r="H44" s="157">
        <f t="shared" si="12"/>
        <v>46294</v>
      </c>
      <c r="I44" s="157">
        <f t="shared" si="12"/>
        <v>49978</v>
      </c>
      <c r="J44" s="157">
        <f t="shared" si="12"/>
        <v>51025</v>
      </c>
      <c r="K44" s="157">
        <f t="shared" si="12"/>
        <v>52993</v>
      </c>
      <c r="L44" s="157">
        <f t="shared" si="12"/>
        <v>60176</v>
      </c>
      <c r="M44" s="157">
        <f t="shared" si="12"/>
        <v>60145</v>
      </c>
      <c r="N44" s="157">
        <f t="shared" si="12"/>
        <v>59157</v>
      </c>
      <c r="O44" s="157">
        <f t="shared" si="12"/>
        <v>51591</v>
      </c>
      <c r="P44" s="157">
        <f t="shared" si="12"/>
        <v>51494</v>
      </c>
      <c r="Q44" s="157">
        <f t="shared" si="12"/>
        <v>51864</v>
      </c>
      <c r="R44" s="157">
        <f t="shared" si="12"/>
        <v>31252</v>
      </c>
      <c r="S44" s="157">
        <f t="shared" si="12"/>
        <v>31252</v>
      </c>
      <c r="T44" s="157">
        <f t="shared" si="12"/>
        <v>49044</v>
      </c>
      <c r="U44" s="290">
        <f t="shared" si="10"/>
        <v>591721</v>
      </c>
    </row>
    <row r="45" spans="1:22" ht="15" customHeight="1" x14ac:dyDescent="0.3">
      <c r="A45" s="9"/>
      <c r="B45" s="9"/>
      <c r="C45" s="134"/>
      <c r="D45" s="9"/>
      <c r="E45" s="9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29"/>
    </row>
    <row r="46" spans="1:22" ht="15" customHeight="1" x14ac:dyDescent="0.3">
      <c r="A46" s="9"/>
      <c r="B46" s="9"/>
      <c r="C46" s="135" t="s">
        <v>5</v>
      </c>
      <c r="D46" s="9"/>
      <c r="E46" s="9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29"/>
    </row>
    <row r="47" spans="1:22" ht="15" customHeight="1" x14ac:dyDescent="0.3">
      <c r="A47" s="9"/>
      <c r="B47" s="9"/>
      <c r="C47" s="136" t="s">
        <v>269</v>
      </c>
      <c r="D47" s="9"/>
      <c r="E47" s="9"/>
      <c r="F47" s="372">
        <v>-3493</v>
      </c>
      <c r="G47" s="372">
        <v>-3493</v>
      </c>
      <c r="H47" s="372">
        <v>-3493</v>
      </c>
      <c r="I47" s="372">
        <v>-3493</v>
      </c>
      <c r="J47" s="372">
        <v>-3493</v>
      </c>
      <c r="K47" s="372">
        <v>-3493</v>
      </c>
      <c r="L47" s="372">
        <v>-3493</v>
      </c>
      <c r="M47" s="372">
        <v>-3493</v>
      </c>
      <c r="N47" s="372">
        <v>-3493</v>
      </c>
      <c r="O47" s="372">
        <v>-3493</v>
      </c>
      <c r="P47" s="372">
        <v>-3493</v>
      </c>
      <c r="Q47" s="372">
        <v>-3493</v>
      </c>
      <c r="R47" s="372">
        <v>-3493</v>
      </c>
      <c r="S47" s="372">
        <v>-3493</v>
      </c>
      <c r="T47" s="372">
        <v>-3493</v>
      </c>
      <c r="U47" s="372">
        <f t="shared" si="10"/>
        <v>-41916</v>
      </c>
    </row>
    <row r="48" spans="1:22" ht="15" customHeight="1" x14ac:dyDescent="0.3">
      <c r="A48" s="9"/>
      <c r="B48" s="9"/>
      <c r="C48" s="136" t="s">
        <v>268</v>
      </c>
      <c r="D48" s="9"/>
      <c r="E48" s="9"/>
      <c r="F48" s="372">
        <v>-493</v>
      </c>
      <c r="G48" s="372">
        <v>-493</v>
      </c>
      <c r="H48" s="372">
        <v>-493</v>
      </c>
      <c r="I48" s="372">
        <v>-493</v>
      </c>
      <c r="J48" s="372">
        <v>-493</v>
      </c>
      <c r="K48" s="372">
        <v>-493</v>
      </c>
      <c r="L48" s="372">
        <v>-493</v>
      </c>
      <c r="M48" s="372">
        <v>-493</v>
      </c>
      <c r="N48" s="372">
        <v>-493</v>
      </c>
      <c r="O48" s="372">
        <v>-493</v>
      </c>
      <c r="P48" s="372">
        <v>-493</v>
      </c>
      <c r="Q48" s="372">
        <v>-493</v>
      </c>
      <c r="R48" s="372">
        <v>-493</v>
      </c>
      <c r="S48" s="372">
        <v>-493</v>
      </c>
      <c r="T48" s="372">
        <v>-493</v>
      </c>
      <c r="U48" s="372">
        <f t="shared" si="10"/>
        <v>-5916</v>
      </c>
    </row>
    <row r="49" spans="1:21" ht="15" customHeight="1" x14ac:dyDescent="0.3">
      <c r="A49" s="9"/>
      <c r="B49" s="9"/>
      <c r="C49" s="136" t="s">
        <v>276</v>
      </c>
      <c r="D49" s="9"/>
      <c r="E49" s="9"/>
      <c r="F49" s="372">
        <v>-493</v>
      </c>
      <c r="G49" s="372">
        <v>-493</v>
      </c>
      <c r="H49" s="372">
        <v>-493</v>
      </c>
      <c r="I49" s="372">
        <v>-493</v>
      </c>
      <c r="J49" s="372">
        <v>-493</v>
      </c>
      <c r="K49" s="372">
        <v>-493</v>
      </c>
      <c r="L49" s="372">
        <v>-493</v>
      </c>
      <c r="M49" s="372">
        <v>-493</v>
      </c>
      <c r="N49" s="372">
        <v>-493</v>
      </c>
      <c r="O49" s="372">
        <v>-493</v>
      </c>
      <c r="P49" s="372">
        <v>-493</v>
      </c>
      <c r="Q49" s="372">
        <v>-493</v>
      </c>
      <c r="R49" s="372">
        <v>-493</v>
      </c>
      <c r="S49" s="372">
        <v>-493</v>
      </c>
      <c r="T49" s="372">
        <v>-493</v>
      </c>
      <c r="U49" s="372">
        <f t="shared" si="10"/>
        <v>-5916</v>
      </c>
    </row>
    <row r="50" spans="1:21" ht="15" customHeight="1" x14ac:dyDescent="0.3">
      <c r="A50" s="9"/>
      <c r="B50" s="9"/>
      <c r="C50" s="136" t="s">
        <v>275</v>
      </c>
      <c r="D50" s="9"/>
      <c r="E50" s="9"/>
      <c r="F50" s="372">
        <v>-1070</v>
      </c>
      <c r="G50" s="372">
        <v>-1070</v>
      </c>
      <c r="H50" s="372">
        <v>-1070</v>
      </c>
      <c r="I50" s="372">
        <v>-1070</v>
      </c>
      <c r="J50" s="372">
        <v>-1070</v>
      </c>
      <c r="K50" s="372">
        <v>-1070</v>
      </c>
      <c r="L50" s="372">
        <v>-1070</v>
      </c>
      <c r="M50" s="372">
        <v>-1070</v>
      </c>
      <c r="N50" s="372">
        <v>-1070</v>
      </c>
      <c r="O50" s="372">
        <v>-1070</v>
      </c>
      <c r="P50" s="372">
        <v>-1070</v>
      </c>
      <c r="Q50" s="372">
        <v>-1070</v>
      </c>
      <c r="R50" s="372">
        <v>-1070</v>
      </c>
      <c r="S50" s="372">
        <v>-1070</v>
      </c>
      <c r="T50" s="372">
        <v>-1070</v>
      </c>
      <c r="U50" s="372">
        <f t="shared" si="10"/>
        <v>-12840</v>
      </c>
    </row>
    <row r="51" spans="1:21" ht="15" customHeight="1" x14ac:dyDescent="0.3">
      <c r="A51" s="9"/>
      <c r="B51" s="9"/>
      <c r="C51" s="136" t="s">
        <v>119</v>
      </c>
      <c r="D51" s="9"/>
      <c r="E51" s="9"/>
      <c r="F51" s="151" t="s">
        <v>141</v>
      </c>
      <c r="G51" s="151" t="s">
        <v>141</v>
      </c>
      <c r="H51" s="151" t="s">
        <v>141</v>
      </c>
      <c r="I51" s="151" t="s">
        <v>141</v>
      </c>
      <c r="J51" s="151" t="s">
        <v>141</v>
      </c>
      <c r="K51" s="151" t="s">
        <v>141</v>
      </c>
      <c r="L51" s="151" t="s">
        <v>141</v>
      </c>
      <c r="M51" s="151" t="s">
        <v>141</v>
      </c>
      <c r="N51" s="151" t="s">
        <v>141</v>
      </c>
      <c r="O51" s="151" t="s">
        <v>141</v>
      </c>
      <c r="P51" s="151" t="s">
        <v>141</v>
      </c>
      <c r="Q51" s="151" t="s">
        <v>141</v>
      </c>
      <c r="R51" s="151" t="s">
        <v>141</v>
      </c>
      <c r="S51" s="151" t="s">
        <v>141</v>
      </c>
      <c r="T51" s="151" t="s">
        <v>141</v>
      </c>
      <c r="U51" s="129"/>
    </row>
    <row r="52" spans="1:21" ht="15" customHeight="1" x14ac:dyDescent="0.3">
      <c r="A52" s="9"/>
      <c r="B52" s="9"/>
      <c r="C52" s="136" t="s">
        <v>120</v>
      </c>
      <c r="D52" s="9"/>
      <c r="E52" s="9"/>
      <c r="F52" s="151" t="s">
        <v>141</v>
      </c>
      <c r="G52" s="151" t="s">
        <v>141</v>
      </c>
      <c r="H52" s="151" t="s">
        <v>141</v>
      </c>
      <c r="I52" s="151" t="s">
        <v>141</v>
      </c>
      <c r="J52" s="151" t="s">
        <v>141</v>
      </c>
      <c r="K52" s="151" t="s">
        <v>141</v>
      </c>
      <c r="L52" s="151" t="s">
        <v>141</v>
      </c>
      <c r="M52" s="151" t="s">
        <v>141</v>
      </c>
      <c r="N52" s="151" t="s">
        <v>141</v>
      </c>
      <c r="O52" s="151" t="s">
        <v>141</v>
      </c>
      <c r="P52" s="151" t="s">
        <v>141</v>
      </c>
      <c r="Q52" s="151" t="s">
        <v>141</v>
      </c>
      <c r="R52" s="151" t="s">
        <v>141</v>
      </c>
      <c r="S52" s="151" t="s">
        <v>141</v>
      </c>
      <c r="T52" s="151" t="s">
        <v>141</v>
      </c>
      <c r="U52" s="129"/>
    </row>
    <row r="53" spans="1:21" ht="15" customHeight="1" x14ac:dyDescent="0.3">
      <c r="A53" s="9"/>
      <c r="B53" s="9"/>
      <c r="C53" s="136" t="s">
        <v>121</v>
      </c>
      <c r="D53" s="9"/>
      <c r="E53" s="9"/>
      <c r="F53" s="151" t="s">
        <v>141</v>
      </c>
      <c r="G53" s="151" t="s">
        <v>141</v>
      </c>
      <c r="H53" s="151" t="s">
        <v>141</v>
      </c>
      <c r="I53" s="151" t="s">
        <v>141</v>
      </c>
      <c r="J53" s="151" t="s">
        <v>141</v>
      </c>
      <c r="K53" s="151" t="s">
        <v>141</v>
      </c>
      <c r="L53" s="151" t="s">
        <v>141</v>
      </c>
      <c r="M53" s="151" t="s">
        <v>141</v>
      </c>
      <c r="N53" s="151" t="s">
        <v>141</v>
      </c>
      <c r="O53" s="151" t="s">
        <v>141</v>
      </c>
      <c r="P53" s="151" t="s">
        <v>141</v>
      </c>
      <c r="Q53" s="151" t="s">
        <v>141</v>
      </c>
      <c r="R53" s="151" t="s">
        <v>141</v>
      </c>
      <c r="S53" s="151" t="s">
        <v>141</v>
      </c>
      <c r="T53" s="151" t="s">
        <v>141</v>
      </c>
      <c r="U53" s="129"/>
    </row>
    <row r="54" spans="1:21" ht="15" customHeight="1" x14ac:dyDescent="0.3">
      <c r="A54" s="9"/>
      <c r="B54" s="9"/>
      <c r="C54" s="136" t="s">
        <v>122</v>
      </c>
      <c r="D54" s="9"/>
      <c r="E54" s="9"/>
      <c r="F54" s="151" t="s">
        <v>141</v>
      </c>
      <c r="G54" s="151" t="s">
        <v>141</v>
      </c>
      <c r="H54" s="151" t="s">
        <v>141</v>
      </c>
      <c r="I54" s="151" t="s">
        <v>141</v>
      </c>
      <c r="J54" s="151" t="s">
        <v>141</v>
      </c>
      <c r="K54" s="151" t="s">
        <v>141</v>
      </c>
      <c r="L54" s="151" t="s">
        <v>141</v>
      </c>
      <c r="M54" s="151" t="s">
        <v>141</v>
      </c>
      <c r="N54" s="151" t="s">
        <v>141</v>
      </c>
      <c r="O54" s="151" t="s">
        <v>141</v>
      </c>
      <c r="P54" s="151" t="s">
        <v>141</v>
      </c>
      <c r="Q54" s="151" t="s">
        <v>141</v>
      </c>
      <c r="R54" s="151" t="s">
        <v>141</v>
      </c>
      <c r="S54" s="151" t="s">
        <v>141</v>
      </c>
      <c r="T54" s="151" t="s">
        <v>141</v>
      </c>
      <c r="U54" s="129"/>
    </row>
    <row r="55" spans="1:21" ht="15" customHeight="1" x14ac:dyDescent="0.3">
      <c r="A55" s="9"/>
      <c r="B55" s="9"/>
      <c r="C55" s="136"/>
      <c r="D55" s="9"/>
      <c r="E55" s="9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29"/>
    </row>
    <row r="56" spans="1:21" x14ac:dyDescent="0.3">
      <c r="A56" s="147"/>
      <c r="B56" s="147"/>
      <c r="C56" s="173" t="s">
        <v>123</v>
      </c>
      <c r="D56" s="147"/>
      <c r="E56" s="147"/>
      <c r="F56" s="154">
        <f t="shared" ref="F56:H56" si="13">SUM(F47:F54)</f>
        <v>-5549</v>
      </c>
      <c r="G56" s="154">
        <f t="shared" si="13"/>
        <v>-5549</v>
      </c>
      <c r="H56" s="154">
        <f t="shared" si="13"/>
        <v>-5549</v>
      </c>
      <c r="I56" s="154">
        <f t="shared" ref="I56:T56" si="14">SUM(I47:I54)</f>
        <v>-5549</v>
      </c>
      <c r="J56" s="154">
        <f t="shared" si="14"/>
        <v>-5549</v>
      </c>
      <c r="K56" s="154">
        <f t="shared" si="14"/>
        <v>-5549</v>
      </c>
      <c r="L56" s="154">
        <f t="shared" si="14"/>
        <v>-5549</v>
      </c>
      <c r="M56" s="154">
        <f t="shared" si="14"/>
        <v>-5549</v>
      </c>
      <c r="N56" s="154">
        <f t="shared" si="14"/>
        <v>-5549</v>
      </c>
      <c r="O56" s="154">
        <f t="shared" si="14"/>
        <v>-5549</v>
      </c>
      <c r="P56" s="154">
        <f t="shared" si="14"/>
        <v>-5549</v>
      </c>
      <c r="Q56" s="154">
        <f t="shared" si="14"/>
        <v>-5549</v>
      </c>
      <c r="R56" s="154">
        <f t="shared" si="14"/>
        <v>-5549</v>
      </c>
      <c r="S56" s="154">
        <f t="shared" si="14"/>
        <v>-5549</v>
      </c>
      <c r="T56" s="154">
        <f t="shared" si="14"/>
        <v>-5549</v>
      </c>
      <c r="U56" s="154">
        <f t="shared" si="10"/>
        <v>-66588</v>
      </c>
    </row>
    <row r="57" spans="1:21" x14ac:dyDescent="0.3">
      <c r="A57" s="148"/>
      <c r="B57" s="148"/>
      <c r="C57" s="184" t="s">
        <v>124</v>
      </c>
      <c r="D57" s="148"/>
      <c r="E57" s="148"/>
      <c r="F57" s="149">
        <v>-5063</v>
      </c>
      <c r="G57" s="149">
        <v>-5063</v>
      </c>
      <c r="H57" s="149">
        <v>-5063</v>
      </c>
      <c r="I57" s="149">
        <v>-5063</v>
      </c>
      <c r="J57" s="149">
        <v>-5063</v>
      </c>
      <c r="K57" s="149">
        <v>-5063</v>
      </c>
      <c r="L57" s="149">
        <v>-5063</v>
      </c>
      <c r="M57" s="149">
        <v>-5063</v>
      </c>
      <c r="N57" s="149">
        <v>-5063</v>
      </c>
      <c r="O57" s="149">
        <v>-5063</v>
      </c>
      <c r="P57" s="149">
        <v>-5063</v>
      </c>
      <c r="Q57" s="149">
        <v>-5063</v>
      </c>
      <c r="R57" s="149">
        <v>-5063</v>
      </c>
      <c r="S57" s="149">
        <v>-5063</v>
      </c>
      <c r="T57" s="149">
        <v>-5063</v>
      </c>
      <c r="U57" s="149">
        <f t="shared" si="10"/>
        <v>-60756</v>
      </c>
    </row>
    <row r="58" spans="1:21" x14ac:dyDescent="0.3">
      <c r="A58" s="9"/>
      <c r="B58" s="9"/>
      <c r="C58" s="134"/>
      <c r="D58" s="9"/>
      <c r="E58" s="9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29"/>
    </row>
    <row r="59" spans="1:21" x14ac:dyDescent="0.3">
      <c r="A59" s="9"/>
      <c r="B59" s="9"/>
      <c r="C59" s="135" t="s">
        <v>24</v>
      </c>
      <c r="D59" s="9"/>
      <c r="E59" s="9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29"/>
    </row>
    <row r="60" spans="1:21" x14ac:dyDescent="0.3">
      <c r="A60" s="9"/>
      <c r="B60" s="9"/>
      <c r="C60" s="134" t="s">
        <v>73</v>
      </c>
      <c r="D60" s="9"/>
      <c r="E60" s="9"/>
      <c r="F60" s="375">
        <v>-1750</v>
      </c>
      <c r="G60" s="375">
        <v>-1750</v>
      </c>
      <c r="H60" s="375">
        <v>-1750</v>
      </c>
      <c r="I60" s="375">
        <v>-1750</v>
      </c>
      <c r="J60" s="375">
        <v>-1750</v>
      </c>
      <c r="K60" s="375">
        <v>-1750</v>
      </c>
      <c r="L60" s="375">
        <v>-1750</v>
      </c>
      <c r="M60" s="375">
        <v>-1750</v>
      </c>
      <c r="N60" s="375">
        <v>-1750</v>
      </c>
      <c r="O60" s="375">
        <v>-1750</v>
      </c>
      <c r="P60" s="375">
        <v>-1750</v>
      </c>
      <c r="Q60" s="375">
        <v>-1750</v>
      </c>
      <c r="R60" s="375">
        <v>-1750</v>
      </c>
      <c r="S60" s="375">
        <v>-1750</v>
      </c>
      <c r="T60" s="375">
        <v>-1750</v>
      </c>
      <c r="U60" s="375">
        <f t="shared" si="10"/>
        <v>-21000</v>
      </c>
    </row>
    <row r="61" spans="1:21" x14ac:dyDescent="0.3">
      <c r="A61" s="9"/>
      <c r="B61" s="9"/>
      <c r="C61" s="134" t="s">
        <v>251</v>
      </c>
      <c r="D61" s="9"/>
      <c r="E61" s="9"/>
      <c r="F61" s="375">
        <v>-2550</v>
      </c>
      <c r="G61" s="375">
        <v>-2550</v>
      </c>
      <c r="H61" s="375">
        <v>-2550</v>
      </c>
      <c r="I61" s="375">
        <v>-2550</v>
      </c>
      <c r="J61" s="375">
        <v>-2550</v>
      </c>
      <c r="K61" s="375">
        <v>-2550</v>
      </c>
      <c r="L61" s="375">
        <v>-2550</v>
      </c>
      <c r="M61" s="375">
        <v>-2550</v>
      </c>
      <c r="N61" s="375">
        <v>-2550</v>
      </c>
      <c r="O61" s="375">
        <v>-2550</v>
      </c>
      <c r="P61" s="375">
        <v>-2550</v>
      </c>
      <c r="Q61" s="375">
        <v>-2550</v>
      </c>
      <c r="R61" s="375">
        <v>-2550</v>
      </c>
      <c r="S61" s="375">
        <v>-2550</v>
      </c>
      <c r="T61" s="375">
        <v>-2550</v>
      </c>
      <c r="U61" s="375">
        <f t="shared" si="10"/>
        <v>-30600</v>
      </c>
    </row>
    <row r="62" spans="1:21" x14ac:dyDescent="0.3">
      <c r="A62" s="9"/>
      <c r="B62" s="9"/>
      <c r="C62" s="134" t="s">
        <v>125</v>
      </c>
      <c r="D62" s="9"/>
      <c r="E62" s="9"/>
      <c r="F62" s="375">
        <v>-700</v>
      </c>
      <c r="G62" s="375">
        <v>-700</v>
      </c>
      <c r="H62" s="375">
        <v>-700</v>
      </c>
      <c r="I62" s="375">
        <v>-700</v>
      </c>
      <c r="J62" s="375">
        <v>-700</v>
      </c>
      <c r="K62" s="375">
        <v>-700</v>
      </c>
      <c r="L62" s="375">
        <v>-700</v>
      </c>
      <c r="M62" s="375">
        <v>-700</v>
      </c>
      <c r="N62" s="375">
        <v>-700</v>
      </c>
      <c r="O62" s="375">
        <v>-700</v>
      </c>
      <c r="P62" s="375">
        <v>-700</v>
      </c>
      <c r="Q62" s="375">
        <v>-700</v>
      </c>
      <c r="R62" s="375">
        <v>-700</v>
      </c>
      <c r="S62" s="375">
        <v>-700</v>
      </c>
      <c r="T62" s="375">
        <v>-700</v>
      </c>
      <c r="U62" s="375">
        <f t="shared" si="10"/>
        <v>-8400</v>
      </c>
    </row>
    <row r="63" spans="1:21" x14ac:dyDescent="0.3">
      <c r="A63" s="9"/>
      <c r="B63" s="9"/>
      <c r="C63" s="134" t="s">
        <v>219</v>
      </c>
      <c r="D63" s="9"/>
      <c r="E63" s="9"/>
      <c r="F63" s="375">
        <v>-1350</v>
      </c>
      <c r="G63" s="375">
        <v>-1350</v>
      </c>
      <c r="H63" s="375">
        <v>-1350</v>
      </c>
      <c r="I63" s="375">
        <v>-1350</v>
      </c>
      <c r="J63" s="375">
        <v>-1350</v>
      </c>
      <c r="K63" s="375">
        <v>-1350</v>
      </c>
      <c r="L63" s="375">
        <v>-1350</v>
      </c>
      <c r="M63" s="375">
        <v>-1350</v>
      </c>
      <c r="N63" s="375">
        <v>-1350</v>
      </c>
      <c r="O63" s="375">
        <v>-1350</v>
      </c>
      <c r="P63" s="375">
        <v>-1350</v>
      </c>
      <c r="Q63" s="375">
        <v>-1350</v>
      </c>
      <c r="R63" s="375">
        <v>-1350</v>
      </c>
      <c r="S63" s="375">
        <v>-1350</v>
      </c>
      <c r="T63" s="375">
        <v>-1350</v>
      </c>
      <c r="U63" s="375">
        <f t="shared" si="10"/>
        <v>-16200</v>
      </c>
    </row>
    <row r="64" spans="1:21" x14ac:dyDescent="0.3">
      <c r="A64" s="9"/>
      <c r="B64" s="9"/>
      <c r="C64" s="134" t="s">
        <v>252</v>
      </c>
      <c r="D64" s="9"/>
      <c r="E64" s="9"/>
      <c r="F64" s="375">
        <v>-900</v>
      </c>
      <c r="G64" s="375">
        <v>-900</v>
      </c>
      <c r="H64" s="375">
        <v>-900</v>
      </c>
      <c r="I64" s="375">
        <v>-900</v>
      </c>
      <c r="J64" s="375">
        <v>-900</v>
      </c>
      <c r="K64" s="375">
        <v>-900</v>
      </c>
      <c r="L64" s="375">
        <v>-900</v>
      </c>
      <c r="M64" s="375">
        <v>-900</v>
      </c>
      <c r="N64" s="375">
        <v>-900</v>
      </c>
      <c r="O64" s="375">
        <v>-900</v>
      </c>
      <c r="P64" s="375">
        <v>-900</v>
      </c>
      <c r="Q64" s="375">
        <v>-900</v>
      </c>
      <c r="R64" s="375">
        <v>-900</v>
      </c>
      <c r="S64" s="375">
        <v>-900</v>
      </c>
      <c r="T64" s="375">
        <v>-900</v>
      </c>
      <c r="U64" s="375">
        <f t="shared" si="10"/>
        <v>-10800</v>
      </c>
    </row>
    <row r="65" spans="1:21" x14ac:dyDescent="0.3">
      <c r="A65" s="9"/>
      <c r="B65" s="9"/>
      <c r="C65" s="134" t="s">
        <v>126</v>
      </c>
      <c r="D65" s="9"/>
      <c r="E65" s="9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29"/>
    </row>
    <row r="66" spans="1:21" x14ac:dyDescent="0.3">
      <c r="A66" s="9"/>
      <c r="B66" s="9"/>
      <c r="C66" s="136" t="s">
        <v>127</v>
      </c>
      <c r="D66" s="9"/>
      <c r="E66" s="9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29"/>
    </row>
    <row r="67" spans="1:21" x14ac:dyDescent="0.3">
      <c r="A67" s="9"/>
      <c r="B67" s="9"/>
      <c r="C67" s="136" t="s">
        <v>128</v>
      </c>
      <c r="D67" s="9"/>
      <c r="E67" s="9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29"/>
    </row>
    <row r="68" spans="1:21" x14ac:dyDescent="0.3">
      <c r="A68" s="9"/>
      <c r="B68" s="9"/>
      <c r="C68" s="136" t="s">
        <v>129</v>
      </c>
      <c r="D68" s="9"/>
      <c r="E68" s="9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29"/>
    </row>
    <row r="69" spans="1:21" x14ac:dyDescent="0.3">
      <c r="A69" s="9"/>
      <c r="B69" s="9"/>
      <c r="C69" s="136" t="s">
        <v>130</v>
      </c>
      <c r="D69" s="9"/>
      <c r="E69" s="9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29"/>
    </row>
    <row r="70" spans="1:21" x14ac:dyDescent="0.3">
      <c r="A70" s="9"/>
      <c r="B70" s="9"/>
      <c r="C70" s="136" t="s">
        <v>131</v>
      </c>
      <c r="D70" s="9"/>
      <c r="E70" s="9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29"/>
    </row>
    <row r="71" spans="1:21" x14ac:dyDescent="0.3">
      <c r="A71" s="9"/>
      <c r="B71" s="9"/>
      <c r="C71" s="136" t="s">
        <v>132</v>
      </c>
      <c r="D71" s="9"/>
      <c r="E71" s="9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29"/>
    </row>
    <row r="72" spans="1:21" x14ac:dyDescent="0.3">
      <c r="A72" s="9"/>
      <c r="B72" s="9"/>
      <c r="C72" s="136" t="s">
        <v>133</v>
      </c>
      <c r="D72" s="9"/>
      <c r="E72" s="9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29"/>
    </row>
    <row r="73" spans="1:21" x14ac:dyDescent="0.3">
      <c r="A73" s="9"/>
      <c r="B73" s="9"/>
      <c r="C73" s="136" t="s">
        <v>134</v>
      </c>
      <c r="D73" s="9"/>
      <c r="E73" s="9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29"/>
    </row>
    <row r="74" spans="1:21" x14ac:dyDescent="0.3">
      <c r="A74" s="9"/>
      <c r="B74" s="9"/>
      <c r="C74" s="136" t="s">
        <v>135</v>
      </c>
      <c r="D74" s="9"/>
      <c r="E74" s="9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29"/>
    </row>
    <row r="75" spans="1:21" x14ac:dyDescent="0.3">
      <c r="A75" s="9"/>
      <c r="B75" s="9"/>
      <c r="C75" s="136"/>
      <c r="D75" s="9"/>
      <c r="E75" s="9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29"/>
    </row>
    <row r="76" spans="1:21" s="108" customFormat="1" ht="14.4" customHeight="1" x14ac:dyDescent="0.3">
      <c r="A76" s="160"/>
      <c r="B76" s="160"/>
      <c r="C76" s="161" t="s">
        <v>136</v>
      </c>
      <c r="D76" s="160"/>
      <c r="E76" s="160"/>
      <c r="F76" s="162">
        <f t="shared" ref="F76:H76" si="15">SUM(F60:F74)</f>
        <v>-7250</v>
      </c>
      <c r="G76" s="162">
        <f t="shared" si="15"/>
        <v>-7250</v>
      </c>
      <c r="H76" s="162">
        <f t="shared" si="15"/>
        <v>-7250</v>
      </c>
      <c r="I76" s="162">
        <f t="shared" ref="I76:T76" si="16">SUM(I60:I74)</f>
        <v>-7250</v>
      </c>
      <c r="J76" s="162">
        <f t="shared" si="16"/>
        <v>-7250</v>
      </c>
      <c r="K76" s="162">
        <f t="shared" si="16"/>
        <v>-7250</v>
      </c>
      <c r="L76" s="162">
        <f t="shared" si="16"/>
        <v>-7250</v>
      </c>
      <c r="M76" s="162">
        <f t="shared" si="16"/>
        <v>-7250</v>
      </c>
      <c r="N76" s="162">
        <f t="shared" si="16"/>
        <v>-7250</v>
      </c>
      <c r="O76" s="162">
        <f t="shared" si="16"/>
        <v>-7250</v>
      </c>
      <c r="P76" s="162">
        <f t="shared" si="16"/>
        <v>-7250</v>
      </c>
      <c r="Q76" s="162">
        <f t="shared" si="16"/>
        <v>-7250</v>
      </c>
      <c r="R76" s="162">
        <f t="shared" si="16"/>
        <v>-7250</v>
      </c>
      <c r="S76" s="162">
        <f t="shared" si="16"/>
        <v>-7250</v>
      </c>
      <c r="T76" s="162">
        <f t="shared" si="16"/>
        <v>-7250</v>
      </c>
      <c r="U76" s="154">
        <f t="shared" si="10"/>
        <v>-87000</v>
      </c>
    </row>
    <row r="77" spans="1:21" s="108" customFormat="1" ht="14.4" customHeight="1" x14ac:dyDescent="0.3">
      <c r="A77" s="163"/>
      <c r="B77" s="163"/>
      <c r="C77" s="164" t="s">
        <v>6</v>
      </c>
      <c r="D77" s="163"/>
      <c r="E77" s="163"/>
      <c r="F77" s="165">
        <f>F34+F35+F56+F76</f>
        <v>15703</v>
      </c>
      <c r="G77" s="165">
        <f>G34+G35+G56+G76</f>
        <v>15703</v>
      </c>
      <c r="H77" s="165">
        <f t="shared" ref="H77:T77" si="17">H34+H35+H56+H76</f>
        <v>33495</v>
      </c>
      <c r="I77" s="165">
        <f t="shared" si="17"/>
        <v>37179</v>
      </c>
      <c r="J77" s="165">
        <f t="shared" si="17"/>
        <v>38226</v>
      </c>
      <c r="K77" s="165">
        <f t="shared" si="17"/>
        <v>40194</v>
      </c>
      <c r="L77" s="165">
        <f t="shared" si="17"/>
        <v>47377</v>
      </c>
      <c r="M77" s="165">
        <f t="shared" si="17"/>
        <v>47346</v>
      </c>
      <c r="N77" s="165">
        <f t="shared" si="17"/>
        <v>46358</v>
      </c>
      <c r="O77" s="165">
        <f t="shared" si="17"/>
        <v>38792</v>
      </c>
      <c r="P77" s="165">
        <f t="shared" si="17"/>
        <v>38695</v>
      </c>
      <c r="Q77" s="165">
        <f t="shared" si="17"/>
        <v>39065</v>
      </c>
      <c r="R77" s="165">
        <f t="shared" si="17"/>
        <v>18453</v>
      </c>
      <c r="S77" s="165">
        <f t="shared" si="17"/>
        <v>18453</v>
      </c>
      <c r="T77" s="165">
        <f t="shared" si="17"/>
        <v>36245</v>
      </c>
      <c r="U77" s="149">
        <f t="shared" si="10"/>
        <v>438133</v>
      </c>
    </row>
    <row r="78" spans="1:21" s="108" customFormat="1" ht="14.4" customHeight="1" x14ac:dyDescent="0.3">
      <c r="A78" s="106"/>
      <c r="B78" s="106"/>
      <c r="C78" s="137" t="s">
        <v>137</v>
      </c>
      <c r="D78" s="106"/>
      <c r="E78" s="106"/>
      <c r="F78" s="376">
        <v>-1911</v>
      </c>
      <c r="G78" s="376">
        <v>-1911</v>
      </c>
      <c r="H78" s="376">
        <v>-1911</v>
      </c>
      <c r="I78" s="376">
        <v>-1756</v>
      </c>
      <c r="J78" s="376">
        <v>-1756</v>
      </c>
      <c r="K78" s="376">
        <v>-1756</v>
      </c>
      <c r="L78" s="376">
        <v>-1756</v>
      </c>
      <c r="M78" s="376">
        <v>-1756</v>
      </c>
      <c r="N78" s="376">
        <v>-1756</v>
      </c>
      <c r="O78" s="376">
        <v>-1756</v>
      </c>
      <c r="P78" s="376">
        <v>-1756</v>
      </c>
      <c r="Q78" s="376">
        <v>-1756</v>
      </c>
      <c r="R78" s="376">
        <v>-1756</v>
      </c>
      <c r="S78" s="376">
        <v>-1756</v>
      </c>
      <c r="T78" s="376">
        <v>-1756</v>
      </c>
      <c r="U78" s="376">
        <f t="shared" si="10"/>
        <v>-21537</v>
      </c>
    </row>
    <row r="79" spans="1:21" s="108" customFormat="1" ht="25.05" customHeight="1" x14ac:dyDescent="0.3">
      <c r="A79" s="106"/>
      <c r="B79" s="106"/>
      <c r="C79" s="137" t="s">
        <v>8</v>
      </c>
      <c r="D79" s="106"/>
      <c r="E79" s="106"/>
      <c r="F79" s="138">
        <f>F77+F78</f>
        <v>13792</v>
      </c>
      <c r="G79" s="138">
        <f t="shared" ref="G79:T79" si="18">G77+G78</f>
        <v>13792</v>
      </c>
      <c r="H79" s="138">
        <f t="shared" si="18"/>
        <v>31584</v>
      </c>
      <c r="I79" s="138">
        <f t="shared" si="18"/>
        <v>35423</v>
      </c>
      <c r="J79" s="138">
        <f t="shared" si="18"/>
        <v>36470</v>
      </c>
      <c r="K79" s="138">
        <f t="shared" si="18"/>
        <v>38438</v>
      </c>
      <c r="L79" s="138">
        <f t="shared" si="18"/>
        <v>45621</v>
      </c>
      <c r="M79" s="138">
        <f t="shared" si="18"/>
        <v>45590</v>
      </c>
      <c r="N79" s="138">
        <f t="shared" si="18"/>
        <v>44602</v>
      </c>
      <c r="O79" s="138">
        <f t="shared" si="18"/>
        <v>37036</v>
      </c>
      <c r="P79" s="138">
        <f t="shared" si="18"/>
        <v>36939</v>
      </c>
      <c r="Q79" s="138">
        <f t="shared" si="18"/>
        <v>37309</v>
      </c>
      <c r="R79" s="138">
        <f t="shared" si="18"/>
        <v>16697</v>
      </c>
      <c r="S79" s="138">
        <f t="shared" si="18"/>
        <v>16697</v>
      </c>
      <c r="T79" s="138">
        <f t="shared" si="18"/>
        <v>34489</v>
      </c>
      <c r="U79" s="395">
        <f t="shared" si="10"/>
        <v>416596</v>
      </c>
    </row>
    <row r="80" spans="1:21" s="108" customFormat="1" ht="25.05" customHeight="1" x14ac:dyDescent="0.3">
      <c r="A80" s="106"/>
      <c r="B80" s="106"/>
      <c r="C80" s="140" t="s">
        <v>138</v>
      </c>
      <c r="D80" s="141"/>
      <c r="E80" s="106"/>
      <c r="F80" s="138">
        <f>('BS 2026'!F27)*0.05</f>
        <v>-1890</v>
      </c>
      <c r="G80" s="138">
        <f>('BS 2026'!G27)*0.05</f>
        <v>-1725</v>
      </c>
      <c r="H80" s="138">
        <f>('BS 2026'!H27)*0.05</f>
        <v>-1560</v>
      </c>
      <c r="I80" s="138">
        <f>('BS 2026'!I27)*0.05</f>
        <v>-1395</v>
      </c>
      <c r="J80" s="138">
        <f>('BS 2026'!J27)*0.05</f>
        <v>-1230</v>
      </c>
      <c r="K80" s="138">
        <f>('BS 2026'!K27)*0.05</f>
        <v>-1065</v>
      </c>
      <c r="L80" s="138">
        <f>('BS 2026'!L27)*0.05</f>
        <v>-900</v>
      </c>
      <c r="M80" s="138">
        <f>('BS 2026'!M27)*0.05</f>
        <v>-735</v>
      </c>
      <c r="N80" s="138">
        <f>('BS 2026'!N27)*0.05</f>
        <v>-570</v>
      </c>
      <c r="O80" s="138">
        <f>('BS 2026'!O27)*0.05</f>
        <v>-405</v>
      </c>
      <c r="P80" s="138">
        <f>('BS 2026'!P27)*0.05</f>
        <v>-240</v>
      </c>
      <c r="Q80" s="138">
        <f>('BS 2026'!Q27)*0.05</f>
        <v>-75</v>
      </c>
      <c r="R80" s="138">
        <f>('BS 2026'!R27)*0.05</f>
        <v>0</v>
      </c>
      <c r="S80" s="138">
        <f>('BS 2026'!S27)*0.05</f>
        <v>0</v>
      </c>
      <c r="T80" s="138">
        <f>('BS 2026'!T27)*0.05</f>
        <v>0</v>
      </c>
      <c r="U80" s="395">
        <f t="shared" si="10"/>
        <v>-11790</v>
      </c>
    </row>
    <row r="81" spans="1:21" s="108" customFormat="1" ht="25.05" customHeight="1" x14ac:dyDescent="0.3">
      <c r="A81" s="106"/>
      <c r="B81" s="106"/>
      <c r="C81" s="137" t="s">
        <v>10</v>
      </c>
      <c r="D81" s="106"/>
      <c r="E81" s="106"/>
      <c r="F81" s="138">
        <f>F77</f>
        <v>15703</v>
      </c>
      <c r="G81" s="138">
        <f t="shared" ref="G81:T81" si="19">G77</f>
        <v>15703</v>
      </c>
      <c r="H81" s="138">
        <f t="shared" si="19"/>
        <v>33495</v>
      </c>
      <c r="I81" s="138">
        <f t="shared" si="19"/>
        <v>37179</v>
      </c>
      <c r="J81" s="138">
        <f t="shared" si="19"/>
        <v>38226</v>
      </c>
      <c r="K81" s="138">
        <f t="shared" si="19"/>
        <v>40194</v>
      </c>
      <c r="L81" s="138">
        <f t="shared" si="19"/>
        <v>47377</v>
      </c>
      <c r="M81" s="138">
        <f t="shared" si="19"/>
        <v>47346</v>
      </c>
      <c r="N81" s="138">
        <f t="shared" si="19"/>
        <v>46358</v>
      </c>
      <c r="O81" s="138">
        <f t="shared" si="19"/>
        <v>38792</v>
      </c>
      <c r="P81" s="138">
        <f t="shared" si="19"/>
        <v>38695</v>
      </c>
      <c r="Q81" s="138">
        <f t="shared" si="19"/>
        <v>39065</v>
      </c>
      <c r="R81" s="138">
        <f t="shared" si="19"/>
        <v>18453</v>
      </c>
      <c r="S81" s="138">
        <f t="shared" si="19"/>
        <v>18453</v>
      </c>
      <c r="T81" s="138">
        <f t="shared" si="19"/>
        <v>36245</v>
      </c>
      <c r="U81" s="395">
        <f t="shared" si="10"/>
        <v>438133</v>
      </c>
    </row>
    <row r="82" spans="1:21" s="108" customFormat="1" ht="25.05" customHeight="1" x14ac:dyDescent="0.3">
      <c r="A82" s="106"/>
      <c r="B82" s="106"/>
      <c r="C82" s="140" t="s">
        <v>11</v>
      </c>
      <c r="D82" s="106"/>
      <c r="E82" s="106"/>
      <c r="F82" s="376">
        <f>(F79*0.2)*-1</f>
        <v>-2758.4</v>
      </c>
      <c r="G82" s="376">
        <f t="shared" ref="G82:T82" si="20">(G79*0.2)*-1</f>
        <v>-2758.4</v>
      </c>
      <c r="H82" s="376">
        <f t="shared" si="20"/>
        <v>-6316.8</v>
      </c>
      <c r="I82" s="376">
        <f t="shared" si="20"/>
        <v>-7084.6</v>
      </c>
      <c r="J82" s="376">
        <f t="shared" si="20"/>
        <v>-7294</v>
      </c>
      <c r="K82" s="376">
        <f t="shared" si="20"/>
        <v>-7687.6</v>
      </c>
      <c r="L82" s="376">
        <f t="shared" si="20"/>
        <v>-9124.2000000000007</v>
      </c>
      <c r="M82" s="376">
        <f t="shared" si="20"/>
        <v>-9118</v>
      </c>
      <c r="N82" s="376">
        <f t="shared" si="20"/>
        <v>-8920.4</v>
      </c>
      <c r="O82" s="376">
        <f t="shared" si="20"/>
        <v>-7407.2000000000007</v>
      </c>
      <c r="P82" s="376">
        <f t="shared" si="20"/>
        <v>-7387.8</v>
      </c>
      <c r="Q82" s="376">
        <f t="shared" si="20"/>
        <v>-7461.8</v>
      </c>
      <c r="R82" s="376">
        <f t="shared" si="20"/>
        <v>-3339.4</v>
      </c>
      <c r="S82" s="376">
        <f t="shared" si="20"/>
        <v>-3339.4</v>
      </c>
      <c r="T82" s="376">
        <f t="shared" si="20"/>
        <v>-6897.8</v>
      </c>
      <c r="U82" s="376">
        <f t="shared" si="10"/>
        <v>-83319.200000000012</v>
      </c>
    </row>
    <row r="83" spans="1:21" s="108" customFormat="1" ht="14.4" customHeight="1" x14ac:dyDescent="0.3">
      <c r="A83" s="166"/>
      <c r="B83" s="166"/>
      <c r="C83" s="167" t="s">
        <v>12</v>
      </c>
      <c r="D83" s="166"/>
      <c r="E83" s="166"/>
      <c r="F83" s="292">
        <f t="shared" ref="F83" si="21">F81+F82</f>
        <v>12944.6</v>
      </c>
      <c r="G83" s="292">
        <f t="shared" ref="G83" si="22">G81+G82</f>
        <v>12944.6</v>
      </c>
      <c r="H83" s="292">
        <f t="shared" ref="H83" si="23">H81+H82</f>
        <v>27178.2</v>
      </c>
      <c r="I83" s="292">
        <f t="shared" ref="I83" si="24">I81+I82</f>
        <v>30094.400000000001</v>
      </c>
      <c r="J83" s="292">
        <f t="shared" ref="J83" si="25">J81+J82</f>
        <v>30932</v>
      </c>
      <c r="K83" s="292">
        <f t="shared" ref="K83" si="26">K81+K82</f>
        <v>32506.400000000001</v>
      </c>
      <c r="L83" s="292">
        <f t="shared" ref="L83" si="27">L81+L82</f>
        <v>38252.800000000003</v>
      </c>
      <c r="M83" s="292">
        <f t="shared" ref="M83" si="28">M81+M82</f>
        <v>38228</v>
      </c>
      <c r="N83" s="292">
        <f t="shared" ref="N83" si="29">N81+N82</f>
        <v>37437.599999999999</v>
      </c>
      <c r="O83" s="292">
        <f t="shared" ref="O83" si="30">O81+O82</f>
        <v>31384.799999999999</v>
      </c>
      <c r="P83" s="292">
        <f t="shared" ref="P83" si="31">P81+P82</f>
        <v>31307.200000000001</v>
      </c>
      <c r="Q83" s="292">
        <f t="shared" ref="Q83" si="32">Q81+Q82</f>
        <v>31603.200000000001</v>
      </c>
      <c r="R83" s="292">
        <f t="shared" ref="R83" si="33">R81+R82</f>
        <v>15113.6</v>
      </c>
      <c r="S83" s="292">
        <f t="shared" ref="S83" si="34">S81+S82</f>
        <v>15113.6</v>
      </c>
      <c r="T83" s="292">
        <f t="shared" ref="T83" si="35">T81+T82</f>
        <v>29347.200000000001</v>
      </c>
      <c r="U83" s="399">
        <f t="shared" si="10"/>
        <v>354813.80000000005</v>
      </c>
    </row>
    <row r="84" spans="1:21" x14ac:dyDescent="0.3">
      <c r="F84"/>
    </row>
    <row r="85" spans="1:21" x14ac:dyDescent="0.3">
      <c r="F85"/>
    </row>
    <row r="86" spans="1:21" x14ac:dyDescent="0.3">
      <c r="F86"/>
    </row>
    <row r="87" spans="1:21" x14ac:dyDescent="0.3">
      <c r="F87"/>
    </row>
    <row r="88" spans="1:21" x14ac:dyDescent="0.3">
      <c r="F88"/>
    </row>
    <row r="89" spans="1:21" x14ac:dyDescent="0.3">
      <c r="F89"/>
    </row>
    <row r="90" spans="1:21" x14ac:dyDescent="0.3">
      <c r="F90"/>
    </row>
    <row r="91" spans="1:21" x14ac:dyDescent="0.3">
      <c r="F91"/>
    </row>
    <row r="92" spans="1:21" x14ac:dyDescent="0.3">
      <c r="F92"/>
    </row>
    <row r="93" spans="1:21" x14ac:dyDescent="0.3">
      <c r="F93"/>
    </row>
    <row r="94" spans="1:21" x14ac:dyDescent="0.3">
      <c r="F94"/>
    </row>
    <row r="95" spans="1:21" x14ac:dyDescent="0.3">
      <c r="F95"/>
    </row>
    <row r="96" spans="1:21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</sheetData>
  <mergeCells count="1">
    <mergeCell ref="C10:D10"/>
  </mergeCells>
  <phoneticPr fontId="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30ABF-517D-41B9-B86A-39352A6E64E0}">
  <sheetPr codeName="Sheet33"/>
  <dimension ref="A2:V82"/>
  <sheetViews>
    <sheetView showGridLines="0" topLeftCell="A31" workbookViewId="0">
      <selection activeCell="J42" sqref="J42"/>
    </sheetView>
  </sheetViews>
  <sheetFormatPr defaultRowHeight="14.4" x14ac:dyDescent="0.3"/>
  <cols>
    <col min="1" max="1" width="9.6640625" customWidth="1"/>
    <col min="2" max="2" width="5.5546875" customWidth="1"/>
    <col min="3" max="3" width="9.6640625" customWidth="1"/>
    <col min="5" max="5" width="5.77734375" customWidth="1"/>
    <col min="6" max="6" width="4.441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28" t="s">
        <v>142</v>
      </c>
      <c r="C2" s="127"/>
      <c r="D2" s="9"/>
    </row>
    <row r="3" spans="1:22" x14ac:dyDescent="0.3">
      <c r="A3" s="126" t="s">
        <v>143</v>
      </c>
      <c r="C3" s="14"/>
    </row>
    <row r="4" spans="1:22" x14ac:dyDescent="0.3">
      <c r="A4" s="126" t="s">
        <v>144</v>
      </c>
      <c r="C4" s="14"/>
    </row>
    <row r="6" spans="1:22" x14ac:dyDescent="0.3">
      <c r="B6" s="14" t="s">
        <v>192</v>
      </c>
    </row>
    <row r="7" spans="1:22" x14ac:dyDescent="0.3">
      <c r="A7" s="142"/>
      <c r="B7" s="173" t="s">
        <v>64</v>
      </c>
      <c r="C7" s="147"/>
      <c r="D7" s="147"/>
      <c r="E7" s="147"/>
      <c r="F7" s="147"/>
      <c r="G7" s="175">
        <v>46023</v>
      </c>
      <c r="H7" s="175">
        <v>46054</v>
      </c>
      <c r="I7" s="175">
        <v>46082</v>
      </c>
      <c r="J7" s="175">
        <v>46113</v>
      </c>
      <c r="K7" s="175">
        <v>46143</v>
      </c>
      <c r="L7" s="175">
        <v>46174</v>
      </c>
      <c r="M7" s="175">
        <v>46204</v>
      </c>
      <c r="N7" s="175">
        <v>46235</v>
      </c>
      <c r="O7" s="175">
        <v>46266</v>
      </c>
      <c r="P7" s="175">
        <v>46296</v>
      </c>
      <c r="Q7" s="175">
        <v>46327</v>
      </c>
      <c r="R7" s="175">
        <v>46357</v>
      </c>
      <c r="S7" s="175">
        <v>46388</v>
      </c>
      <c r="T7" s="175">
        <v>46419</v>
      </c>
      <c r="U7" s="175">
        <v>46447</v>
      </c>
      <c r="V7" s="175" t="s">
        <v>72</v>
      </c>
    </row>
    <row r="9" spans="1:22" x14ac:dyDescent="0.3">
      <c r="B9" s="14" t="s">
        <v>168</v>
      </c>
    </row>
    <row r="10" spans="1:22" x14ac:dyDescent="0.3">
      <c r="A10" s="147"/>
      <c r="B10" s="173" t="s">
        <v>145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</row>
    <row r="11" spans="1:22" x14ac:dyDescent="0.3">
      <c r="B11" s="302" t="s">
        <v>37</v>
      </c>
      <c r="C11" s="303"/>
      <c r="D11" s="303"/>
      <c r="E11" s="303"/>
      <c r="F11" s="303"/>
      <c r="G11" s="351">
        <f>SUM(G16+G24+G32)</f>
        <v>31047</v>
      </c>
      <c r="H11" s="351">
        <f t="shared" ref="H11:U11" si="0">SUM(H16+H24+H32)</f>
        <v>31047</v>
      </c>
      <c r="I11" s="351">
        <f t="shared" si="0"/>
        <v>48839</v>
      </c>
      <c r="J11" s="351">
        <f t="shared" si="0"/>
        <v>52523</v>
      </c>
      <c r="K11" s="351">
        <f t="shared" si="0"/>
        <v>53570</v>
      </c>
      <c r="L11" s="351">
        <f t="shared" si="0"/>
        <v>55538</v>
      </c>
      <c r="M11" s="351">
        <f t="shared" si="0"/>
        <v>62721</v>
      </c>
      <c r="N11" s="351">
        <f t="shared" si="0"/>
        <v>62690</v>
      </c>
      <c r="O11" s="351">
        <f t="shared" si="0"/>
        <v>61702</v>
      </c>
      <c r="P11" s="351">
        <f t="shared" si="0"/>
        <v>54136</v>
      </c>
      <c r="Q11" s="351">
        <f t="shared" si="0"/>
        <v>54039</v>
      </c>
      <c r="R11" s="351">
        <f t="shared" si="0"/>
        <v>54409</v>
      </c>
      <c r="S11" s="351">
        <f t="shared" si="0"/>
        <v>46838</v>
      </c>
      <c r="T11" s="351">
        <f t="shared" si="0"/>
        <v>46800</v>
      </c>
      <c r="U11" s="351">
        <f t="shared" si="0"/>
        <v>54933</v>
      </c>
      <c r="V11" s="194">
        <f>SUM(G11:R11)</f>
        <v>622261</v>
      </c>
    </row>
    <row r="12" spans="1:22" x14ac:dyDescent="0.3">
      <c r="B12" s="302"/>
      <c r="C12" s="303"/>
      <c r="D12" s="303"/>
      <c r="E12" s="303"/>
      <c r="F12" s="303"/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194"/>
    </row>
    <row r="13" spans="1:22" x14ac:dyDescent="0.3">
      <c r="A13" s="9"/>
      <c r="B13" s="9"/>
      <c r="C13" s="136" t="s">
        <v>282</v>
      </c>
      <c r="D13" s="9"/>
      <c r="E13" s="9"/>
      <c r="G13" s="321">
        <f>'IS 2026'!F11</f>
        <v>4191</v>
      </c>
      <c r="H13" s="321">
        <f>'IS 2026'!G11</f>
        <v>4191</v>
      </c>
      <c r="I13" s="321">
        <f>'IS 2026'!H11</f>
        <v>4191</v>
      </c>
      <c r="J13" s="321">
        <f>'IS 2026'!I11</f>
        <v>4891</v>
      </c>
      <c r="K13" s="321">
        <f>'IS 2026'!J11</f>
        <v>5191</v>
      </c>
      <c r="L13" s="321">
        <f>'IS 2026'!K11</f>
        <v>5191</v>
      </c>
      <c r="M13" s="321">
        <f>'IS 2026'!L11</f>
        <v>5222</v>
      </c>
      <c r="N13" s="321">
        <f>'IS 2026'!M11</f>
        <v>5191</v>
      </c>
      <c r="O13" s="321">
        <f>'IS 2026'!N11</f>
        <v>5203</v>
      </c>
      <c r="P13" s="321">
        <f>'IS 2026'!O11</f>
        <v>5203</v>
      </c>
      <c r="Q13" s="321">
        <f>'IS 2026'!P11</f>
        <v>5191</v>
      </c>
      <c r="R13" s="321">
        <f>'IS 2026'!Q11</f>
        <v>5187</v>
      </c>
      <c r="S13" s="321">
        <f>'IS 2026'!R11</f>
        <v>4191</v>
      </c>
      <c r="T13" s="321">
        <f>'IS 2026'!S11</f>
        <v>4191</v>
      </c>
      <c r="U13" s="321">
        <f>'IS 2026'!T11</f>
        <v>4191</v>
      </c>
      <c r="V13" s="321">
        <f>AVERAGE(G13:U13)</f>
        <v>4774.3999999999996</v>
      </c>
    </row>
    <row r="14" spans="1:22" x14ac:dyDescent="0.3">
      <c r="A14" s="9"/>
      <c r="B14" s="9"/>
      <c r="C14" s="136" t="s">
        <v>283</v>
      </c>
      <c r="D14" s="9"/>
      <c r="E14" s="9"/>
      <c r="G14" s="321">
        <f>'IS 2026'!F12</f>
        <v>2357</v>
      </c>
      <c r="H14" s="321">
        <f>'IS 2026'!G12</f>
        <v>2357</v>
      </c>
      <c r="I14" s="321">
        <f>'IS 2026'!H12</f>
        <v>2357</v>
      </c>
      <c r="J14" s="321">
        <f>'IS 2026'!I12</f>
        <v>3357</v>
      </c>
      <c r="K14" s="321">
        <f>'IS 2026'!J12</f>
        <v>3557</v>
      </c>
      <c r="L14" s="321">
        <f>'IS 2026'!K12</f>
        <v>3557</v>
      </c>
      <c r="M14" s="321">
        <f>'IS 2026'!L12</f>
        <v>3557</v>
      </c>
      <c r="N14" s="321">
        <f>'IS 2026'!M12</f>
        <v>3557</v>
      </c>
      <c r="O14" s="321">
        <f>'IS 2026'!N12</f>
        <v>3557</v>
      </c>
      <c r="P14" s="321">
        <f>'IS 2026'!O12</f>
        <v>3557</v>
      </c>
      <c r="Q14" s="321">
        <f>'IS 2026'!P12</f>
        <v>3557</v>
      </c>
      <c r="R14" s="321">
        <f>'IS 2026'!Q12</f>
        <v>3557</v>
      </c>
      <c r="S14" s="321">
        <f>'IS 2026'!R12</f>
        <v>2357</v>
      </c>
      <c r="T14" s="321">
        <f>'IS 2026'!S12</f>
        <v>2357</v>
      </c>
      <c r="U14" s="321">
        <f>'IS 2026'!T12</f>
        <v>2357</v>
      </c>
      <c r="V14" s="321">
        <f t="shared" ref="V14:V17" si="1">AVERAGE(G14:U14)</f>
        <v>3063.6666666666665</v>
      </c>
    </row>
    <row r="15" spans="1:22" x14ac:dyDescent="0.3">
      <c r="A15" s="9"/>
      <c r="B15" s="9"/>
      <c r="C15" s="136" t="s">
        <v>284</v>
      </c>
      <c r="D15" s="9"/>
      <c r="E15" s="9"/>
      <c r="G15" s="321">
        <f>'IS 2026'!F13</f>
        <v>3357</v>
      </c>
      <c r="H15" s="321">
        <f>'IS 2026'!G13</f>
        <v>3357</v>
      </c>
      <c r="I15" s="321">
        <f>'IS 2026'!H13</f>
        <v>3357</v>
      </c>
      <c r="J15" s="321">
        <f>'IS 2026'!I13</f>
        <v>4357</v>
      </c>
      <c r="K15" s="321">
        <f>'IS 2026'!J13</f>
        <v>4010</v>
      </c>
      <c r="L15" s="321">
        <f>'IS 2026'!K13</f>
        <v>4010</v>
      </c>
      <c r="M15" s="321">
        <f>'IS 2026'!L13</f>
        <v>4010</v>
      </c>
      <c r="N15" s="321">
        <f>'IS 2026'!M13</f>
        <v>4010</v>
      </c>
      <c r="O15" s="321">
        <f>'IS 2026'!N13</f>
        <v>4010</v>
      </c>
      <c r="P15" s="321">
        <f>'IS 2026'!O13</f>
        <v>4010</v>
      </c>
      <c r="Q15" s="321">
        <f>'IS 2026'!P13</f>
        <v>4010</v>
      </c>
      <c r="R15" s="321">
        <f>'IS 2026'!Q13</f>
        <v>4010</v>
      </c>
      <c r="S15" s="321">
        <f>'IS 2026'!R13</f>
        <v>3357</v>
      </c>
      <c r="T15" s="321">
        <f>'IS 2026'!S13</f>
        <v>3357</v>
      </c>
      <c r="U15" s="321">
        <f>'IS 2026'!T13</f>
        <v>3357</v>
      </c>
      <c r="V15" s="321">
        <f t="shared" si="1"/>
        <v>3771.9333333333334</v>
      </c>
    </row>
    <row r="16" spans="1:22" x14ac:dyDescent="0.3">
      <c r="A16" s="9"/>
      <c r="B16" s="9"/>
      <c r="C16" s="136" t="s">
        <v>274</v>
      </c>
      <c r="D16" s="9"/>
      <c r="E16" s="9"/>
      <c r="G16" s="321">
        <f t="shared" ref="G16:R16" si="2">SUM(G13:G15)</f>
        <v>9905</v>
      </c>
      <c r="H16" s="321">
        <f t="shared" si="2"/>
        <v>9905</v>
      </c>
      <c r="I16" s="321">
        <f t="shared" si="2"/>
        <v>9905</v>
      </c>
      <c r="J16" s="321">
        <f t="shared" si="2"/>
        <v>12605</v>
      </c>
      <c r="K16" s="321">
        <f t="shared" si="2"/>
        <v>12758</v>
      </c>
      <c r="L16" s="321">
        <f t="shared" si="2"/>
        <v>12758</v>
      </c>
      <c r="M16" s="321">
        <f t="shared" si="2"/>
        <v>12789</v>
      </c>
      <c r="N16" s="321">
        <f t="shared" si="2"/>
        <v>12758</v>
      </c>
      <c r="O16" s="321">
        <f t="shared" si="2"/>
        <v>12770</v>
      </c>
      <c r="P16" s="321">
        <f t="shared" si="2"/>
        <v>12770</v>
      </c>
      <c r="Q16" s="321">
        <f t="shared" si="2"/>
        <v>12758</v>
      </c>
      <c r="R16" s="321">
        <f t="shared" si="2"/>
        <v>12754</v>
      </c>
      <c r="S16" s="321">
        <v>12655</v>
      </c>
      <c r="T16" s="321">
        <v>12655</v>
      </c>
      <c r="U16" s="321">
        <v>12655</v>
      </c>
      <c r="V16" s="321">
        <f t="shared" si="1"/>
        <v>12160</v>
      </c>
    </row>
    <row r="17" spans="1:22" x14ac:dyDescent="0.3">
      <c r="A17" s="9"/>
      <c r="B17" s="9"/>
      <c r="C17" s="404" t="s">
        <v>295</v>
      </c>
      <c r="D17" s="367"/>
      <c r="E17" s="367"/>
      <c r="F17" s="366"/>
      <c r="G17" s="333">
        <v>15000</v>
      </c>
      <c r="H17" s="333">
        <v>15000</v>
      </c>
      <c r="I17" s="333">
        <v>15000</v>
      </c>
      <c r="J17" s="333">
        <v>15000</v>
      </c>
      <c r="K17" s="333">
        <v>15000</v>
      </c>
      <c r="L17" s="333">
        <v>15000</v>
      </c>
      <c r="M17" s="333">
        <v>15000</v>
      </c>
      <c r="N17" s="333">
        <v>15000</v>
      </c>
      <c r="O17" s="333">
        <v>15000</v>
      </c>
      <c r="P17" s="333">
        <v>15000</v>
      </c>
      <c r="Q17" s="333">
        <v>15000</v>
      </c>
      <c r="R17" s="333">
        <v>15000</v>
      </c>
      <c r="S17" s="333">
        <v>15000</v>
      </c>
      <c r="T17" s="333">
        <v>15000</v>
      </c>
      <c r="U17" s="333">
        <v>15000</v>
      </c>
      <c r="V17" s="333">
        <f t="shared" si="1"/>
        <v>15000</v>
      </c>
    </row>
    <row r="18" spans="1:22" x14ac:dyDescent="0.3">
      <c r="A18" s="9"/>
      <c r="B18" s="9"/>
      <c r="C18" s="136" t="s">
        <v>273</v>
      </c>
      <c r="D18" s="9"/>
      <c r="E18" s="9"/>
      <c r="G18" s="322">
        <f t="shared" ref="G18:U18" si="3">G16/G$16</f>
        <v>1</v>
      </c>
      <c r="H18" s="322">
        <f t="shared" si="3"/>
        <v>1</v>
      </c>
      <c r="I18" s="322">
        <f t="shared" si="3"/>
        <v>1</v>
      </c>
      <c r="J18" s="322">
        <f t="shared" si="3"/>
        <v>1</v>
      </c>
      <c r="K18" s="322">
        <f t="shared" si="3"/>
        <v>1</v>
      </c>
      <c r="L18" s="322">
        <f t="shared" si="3"/>
        <v>1</v>
      </c>
      <c r="M18" s="322">
        <f t="shared" si="3"/>
        <v>1</v>
      </c>
      <c r="N18" s="322">
        <f t="shared" si="3"/>
        <v>1</v>
      </c>
      <c r="O18" s="322">
        <f t="shared" si="3"/>
        <v>1</v>
      </c>
      <c r="P18" s="322">
        <f t="shared" si="3"/>
        <v>1</v>
      </c>
      <c r="Q18" s="322">
        <f t="shared" si="3"/>
        <v>1</v>
      </c>
      <c r="R18" s="322">
        <f t="shared" si="3"/>
        <v>1</v>
      </c>
      <c r="S18" s="322">
        <f t="shared" si="3"/>
        <v>1</v>
      </c>
      <c r="T18" s="322">
        <f t="shared" si="3"/>
        <v>1</v>
      </c>
      <c r="U18" s="322">
        <f t="shared" si="3"/>
        <v>1</v>
      </c>
      <c r="V18" s="332">
        <f>AVERAGE(G18:U18)</f>
        <v>1</v>
      </c>
    </row>
    <row r="19" spans="1:22" x14ac:dyDescent="0.3">
      <c r="A19" s="9"/>
      <c r="B19" s="9"/>
      <c r="C19" s="136"/>
      <c r="D19" s="9"/>
      <c r="E19" s="9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9"/>
    </row>
    <row r="20" spans="1:22" x14ac:dyDescent="0.3">
      <c r="A20" s="9"/>
      <c r="B20" s="9"/>
      <c r="C20" s="135" t="s">
        <v>287</v>
      </c>
      <c r="D20" s="9"/>
      <c r="E20" s="9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9"/>
    </row>
    <row r="21" spans="1:22" x14ac:dyDescent="0.3">
      <c r="A21" s="9"/>
      <c r="B21" s="9"/>
      <c r="C21" s="136" t="s">
        <v>282</v>
      </c>
      <c r="D21" s="9"/>
      <c r="E21" s="9"/>
      <c r="G21" s="321">
        <f>'IS 2026'!F19</f>
        <v>4357</v>
      </c>
      <c r="H21" s="321">
        <f>'IS 2026'!G19</f>
        <v>4357</v>
      </c>
      <c r="I21" s="321">
        <f>'IS 2026'!H19</f>
        <v>6489</v>
      </c>
      <c r="J21" s="321">
        <f>'IS 2026'!I19</f>
        <v>6653</v>
      </c>
      <c r="K21" s="321">
        <f>'IS 2026'!J19</f>
        <v>6802</v>
      </c>
      <c r="L21" s="321">
        <f>'IS 2026'!K19</f>
        <v>7130</v>
      </c>
      <c r="M21" s="321">
        <f>'IS 2026'!L19</f>
        <v>8322</v>
      </c>
      <c r="N21" s="321">
        <f>'IS 2026'!M19</f>
        <v>8322</v>
      </c>
      <c r="O21" s="321">
        <f>'IS 2026'!N19</f>
        <v>8322</v>
      </c>
      <c r="P21" s="321">
        <f>'IS 2026'!O19</f>
        <v>6311</v>
      </c>
      <c r="Q21" s="321">
        <f>'IS 2026'!P19</f>
        <v>6271</v>
      </c>
      <c r="R21" s="321">
        <f>'IS 2026'!Q19</f>
        <v>6100</v>
      </c>
      <c r="S21" s="321">
        <f>'IS 2026'!R19</f>
        <v>4357</v>
      </c>
      <c r="T21" s="321">
        <f>'IS 2026'!S19</f>
        <v>4357</v>
      </c>
      <c r="U21" s="321">
        <f>'IS 2026'!T19</f>
        <v>6489</v>
      </c>
      <c r="V21" s="321">
        <f>AVERAGE(G21:U21)</f>
        <v>6309.2666666666664</v>
      </c>
    </row>
    <row r="22" spans="1:22" x14ac:dyDescent="0.3">
      <c r="A22" s="9"/>
      <c r="B22" s="9"/>
      <c r="C22" s="136" t="s">
        <v>283</v>
      </c>
      <c r="D22" s="9"/>
      <c r="E22" s="9"/>
      <c r="G22" s="321">
        <f>'IS 2026'!F20</f>
        <v>2357</v>
      </c>
      <c r="H22" s="321">
        <f>'IS 2026'!G20</f>
        <v>2357</v>
      </c>
      <c r="I22" s="321">
        <f>'IS 2026'!H20</f>
        <v>6489</v>
      </c>
      <c r="J22" s="321">
        <f>'IS 2026'!I20</f>
        <v>6653</v>
      </c>
      <c r="K22" s="321">
        <f>'IS 2026'!J20</f>
        <v>6802</v>
      </c>
      <c r="L22" s="321">
        <f>'IS 2026'!K20</f>
        <v>7130</v>
      </c>
      <c r="M22" s="321">
        <f>'IS 2026'!L20</f>
        <v>8322</v>
      </c>
      <c r="N22" s="321">
        <f>'IS 2026'!M20</f>
        <v>8322</v>
      </c>
      <c r="O22" s="321">
        <f>'IS 2026'!N20</f>
        <v>8322</v>
      </c>
      <c r="P22" s="321">
        <f>'IS 2026'!O20</f>
        <v>6411</v>
      </c>
      <c r="Q22" s="321">
        <f>'IS 2026'!P20</f>
        <v>6334</v>
      </c>
      <c r="R22" s="321">
        <f>'IS 2026'!Q20</f>
        <v>6232</v>
      </c>
      <c r="S22" s="321">
        <f>'IS 2026'!R20</f>
        <v>2357</v>
      </c>
      <c r="T22" s="321">
        <f>'IS 2026'!S20</f>
        <v>2357</v>
      </c>
      <c r="U22" s="321">
        <f>'IS 2026'!T20</f>
        <v>6489</v>
      </c>
      <c r="V22" s="321">
        <f t="shared" ref="V22:V25" si="4">AVERAGE(G22:U22)</f>
        <v>5795.6</v>
      </c>
    </row>
    <row r="23" spans="1:22" x14ac:dyDescent="0.3">
      <c r="A23" s="9"/>
      <c r="B23" s="9"/>
      <c r="C23" s="136" t="s">
        <v>284</v>
      </c>
      <c r="D23" s="9"/>
      <c r="E23" s="9"/>
      <c r="G23" s="321">
        <f>'IS 2026'!F21</f>
        <v>4357</v>
      </c>
      <c r="H23" s="321">
        <f>'IS 2026'!G21</f>
        <v>4357</v>
      </c>
      <c r="I23" s="321">
        <f>'IS 2026'!H21</f>
        <v>6489</v>
      </c>
      <c r="J23" s="321">
        <f>'IS 2026'!I21</f>
        <v>6653</v>
      </c>
      <c r="K23" s="321">
        <f>'IS 2026'!J21</f>
        <v>6802</v>
      </c>
      <c r="L23" s="321">
        <f>'IS 2026'!K21</f>
        <v>7130</v>
      </c>
      <c r="M23" s="321">
        <f>'IS 2026'!L21</f>
        <v>8322</v>
      </c>
      <c r="N23" s="321">
        <f>'IS 2026'!M21</f>
        <v>8322</v>
      </c>
      <c r="O23" s="321">
        <f>'IS 2026'!N21</f>
        <v>7322</v>
      </c>
      <c r="P23" s="321">
        <f>'IS 2026'!O21</f>
        <v>6411</v>
      </c>
      <c r="Q23" s="321">
        <f>'IS 2026'!P21</f>
        <v>6443</v>
      </c>
      <c r="R23" s="321">
        <f>'IS 2026'!Q21</f>
        <v>6211</v>
      </c>
      <c r="S23" s="321">
        <f>'IS 2026'!R21</f>
        <v>4357</v>
      </c>
      <c r="T23" s="321">
        <f>'IS 2026'!S21</f>
        <v>4357</v>
      </c>
      <c r="U23" s="321">
        <f>'IS 2026'!T21</f>
        <v>6489</v>
      </c>
      <c r="V23" s="321">
        <f t="shared" si="4"/>
        <v>6268.1333333333332</v>
      </c>
    </row>
    <row r="24" spans="1:22" x14ac:dyDescent="0.3">
      <c r="A24" s="9"/>
      <c r="B24" s="9"/>
      <c r="C24" s="136" t="s">
        <v>274</v>
      </c>
      <c r="D24" s="9"/>
      <c r="E24" s="9"/>
      <c r="G24" s="321">
        <f t="shared" ref="G24:U24" si="5">SUM(G21:G23)</f>
        <v>11071</v>
      </c>
      <c r="H24" s="321">
        <f t="shared" si="5"/>
        <v>11071</v>
      </c>
      <c r="I24" s="321">
        <f t="shared" si="5"/>
        <v>19467</v>
      </c>
      <c r="J24" s="321">
        <f t="shared" si="5"/>
        <v>19959</v>
      </c>
      <c r="K24" s="321">
        <f t="shared" si="5"/>
        <v>20406</v>
      </c>
      <c r="L24" s="321">
        <f t="shared" si="5"/>
        <v>21390</v>
      </c>
      <c r="M24" s="321">
        <f t="shared" si="5"/>
        <v>24966</v>
      </c>
      <c r="N24" s="321">
        <f t="shared" si="5"/>
        <v>24966</v>
      </c>
      <c r="O24" s="321">
        <f t="shared" si="5"/>
        <v>23966</v>
      </c>
      <c r="P24" s="321">
        <f t="shared" si="5"/>
        <v>19133</v>
      </c>
      <c r="Q24" s="321">
        <f t="shared" si="5"/>
        <v>19048</v>
      </c>
      <c r="R24" s="321">
        <f t="shared" si="5"/>
        <v>18543</v>
      </c>
      <c r="S24" s="321">
        <f t="shared" si="5"/>
        <v>11071</v>
      </c>
      <c r="T24" s="321">
        <f t="shared" si="5"/>
        <v>11071</v>
      </c>
      <c r="U24" s="321">
        <f t="shared" si="5"/>
        <v>19467</v>
      </c>
      <c r="V24" s="321">
        <f t="shared" si="4"/>
        <v>18373</v>
      </c>
    </row>
    <row r="25" spans="1:22" x14ac:dyDescent="0.3">
      <c r="A25" s="9"/>
      <c r="B25" s="9"/>
      <c r="C25" s="404" t="s">
        <v>295</v>
      </c>
      <c r="D25" s="367"/>
      <c r="E25" s="367"/>
      <c r="F25" s="366"/>
      <c r="G25" s="333">
        <v>15000</v>
      </c>
      <c r="H25" s="333">
        <v>15000</v>
      </c>
      <c r="I25" s="333">
        <v>21000</v>
      </c>
      <c r="J25" s="333">
        <v>21000</v>
      </c>
      <c r="K25" s="333">
        <v>22000</v>
      </c>
      <c r="L25" s="333">
        <v>22000</v>
      </c>
      <c r="M25" s="333">
        <v>24000</v>
      </c>
      <c r="N25" s="333">
        <v>24000</v>
      </c>
      <c r="O25" s="333">
        <v>23000</v>
      </c>
      <c r="P25" s="333">
        <v>22000</v>
      </c>
      <c r="Q25" s="333">
        <v>21000</v>
      </c>
      <c r="R25" s="333">
        <v>21000</v>
      </c>
      <c r="S25" s="333">
        <v>16000</v>
      </c>
      <c r="T25" s="333">
        <v>16000</v>
      </c>
      <c r="U25" s="333">
        <v>21000</v>
      </c>
      <c r="V25" s="333">
        <f t="shared" si="4"/>
        <v>20266.666666666668</v>
      </c>
    </row>
    <row r="26" spans="1:22" x14ac:dyDescent="0.3">
      <c r="A26" s="9"/>
      <c r="B26" s="9"/>
      <c r="C26" s="136" t="s">
        <v>273</v>
      </c>
      <c r="D26" s="9"/>
      <c r="E26" s="9"/>
      <c r="G26" s="322">
        <f t="shared" ref="G26:U26" si="6">G24/G$24</f>
        <v>1</v>
      </c>
      <c r="H26" s="322">
        <f t="shared" si="6"/>
        <v>1</v>
      </c>
      <c r="I26" s="322">
        <f t="shared" si="6"/>
        <v>1</v>
      </c>
      <c r="J26" s="322">
        <f t="shared" si="6"/>
        <v>1</v>
      </c>
      <c r="K26" s="322">
        <f t="shared" si="6"/>
        <v>1</v>
      </c>
      <c r="L26" s="322">
        <f t="shared" si="6"/>
        <v>1</v>
      </c>
      <c r="M26" s="322">
        <f t="shared" si="6"/>
        <v>1</v>
      </c>
      <c r="N26" s="322">
        <f t="shared" si="6"/>
        <v>1</v>
      </c>
      <c r="O26" s="322">
        <f t="shared" si="6"/>
        <v>1</v>
      </c>
      <c r="P26" s="322">
        <f t="shared" si="6"/>
        <v>1</v>
      </c>
      <c r="Q26" s="322">
        <f t="shared" si="6"/>
        <v>1</v>
      </c>
      <c r="R26" s="322">
        <f t="shared" si="6"/>
        <v>1</v>
      </c>
      <c r="S26" s="322">
        <f t="shared" si="6"/>
        <v>1</v>
      </c>
      <c r="T26" s="322">
        <f t="shared" si="6"/>
        <v>1</v>
      </c>
      <c r="U26" s="322">
        <f t="shared" si="6"/>
        <v>1</v>
      </c>
      <c r="V26" s="322">
        <f>AVERAGE(G26:U26)</f>
        <v>1</v>
      </c>
    </row>
    <row r="27" spans="1:22" x14ac:dyDescent="0.3">
      <c r="A27" s="9"/>
      <c r="B27" s="9"/>
      <c r="C27" s="136"/>
      <c r="D27" s="9"/>
      <c r="E27" s="9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</row>
    <row r="28" spans="1:22" x14ac:dyDescent="0.3">
      <c r="A28" s="9"/>
      <c r="B28" s="9"/>
      <c r="C28" s="135" t="s">
        <v>286</v>
      </c>
      <c r="D28" s="9"/>
      <c r="E28" s="9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9"/>
    </row>
    <row r="29" spans="1:22" x14ac:dyDescent="0.3">
      <c r="A29" s="9"/>
      <c r="B29" s="9"/>
      <c r="C29" s="136" t="s">
        <v>282</v>
      </c>
      <c r="D29" s="9"/>
      <c r="E29" s="9"/>
      <c r="G29" s="321">
        <v>4357</v>
      </c>
      <c r="H29" s="321">
        <v>4357</v>
      </c>
      <c r="I29" s="321">
        <v>6489</v>
      </c>
      <c r="J29" s="321">
        <v>6653</v>
      </c>
      <c r="K29" s="321">
        <v>6802</v>
      </c>
      <c r="L29" s="321">
        <v>7130</v>
      </c>
      <c r="M29" s="321">
        <v>8322</v>
      </c>
      <c r="N29" s="321">
        <v>8322</v>
      </c>
      <c r="O29" s="321">
        <v>8322</v>
      </c>
      <c r="P29" s="321">
        <v>7411</v>
      </c>
      <c r="Q29" s="321">
        <v>7411</v>
      </c>
      <c r="R29" s="321">
        <v>7704</v>
      </c>
      <c r="S29" s="321">
        <v>7704</v>
      </c>
      <c r="T29" s="321">
        <v>7704</v>
      </c>
      <c r="U29" s="321">
        <v>7699</v>
      </c>
      <c r="V29" s="321">
        <f>AVERAGE(G29:U29)</f>
        <v>7092.4666666666662</v>
      </c>
    </row>
    <row r="30" spans="1:22" x14ac:dyDescent="0.3">
      <c r="A30" s="9"/>
      <c r="B30" s="9"/>
      <c r="C30" s="136" t="s">
        <v>283</v>
      </c>
      <c r="D30" s="9"/>
      <c r="E30" s="9"/>
      <c r="G30" s="321">
        <v>2357</v>
      </c>
      <c r="H30" s="321">
        <v>2357</v>
      </c>
      <c r="I30" s="321">
        <v>6489</v>
      </c>
      <c r="J30" s="321">
        <v>6653</v>
      </c>
      <c r="K30" s="321">
        <v>6802</v>
      </c>
      <c r="L30" s="321">
        <v>7130</v>
      </c>
      <c r="M30" s="321">
        <v>8322</v>
      </c>
      <c r="N30" s="321">
        <v>8322</v>
      </c>
      <c r="O30" s="321">
        <v>8322</v>
      </c>
      <c r="P30" s="321">
        <v>7411</v>
      </c>
      <c r="Q30" s="321">
        <v>7411</v>
      </c>
      <c r="R30" s="321">
        <v>7704</v>
      </c>
      <c r="S30" s="321">
        <v>7704</v>
      </c>
      <c r="T30" s="321">
        <v>7666</v>
      </c>
      <c r="U30" s="321">
        <v>7443</v>
      </c>
      <c r="V30" s="321">
        <f t="shared" ref="V30:V33" si="7">AVERAGE(G30:U30)</f>
        <v>6806.2</v>
      </c>
    </row>
    <row r="31" spans="1:22" x14ac:dyDescent="0.3">
      <c r="A31" s="9"/>
      <c r="B31" s="9"/>
      <c r="C31" s="136" t="s">
        <v>284</v>
      </c>
      <c r="D31" s="9"/>
      <c r="E31" s="9"/>
      <c r="G31" s="321">
        <v>3357</v>
      </c>
      <c r="H31" s="321">
        <v>3357</v>
      </c>
      <c r="I31" s="321">
        <v>6489</v>
      </c>
      <c r="J31" s="321">
        <v>6653</v>
      </c>
      <c r="K31" s="321">
        <v>6802</v>
      </c>
      <c r="L31" s="321">
        <v>7130</v>
      </c>
      <c r="M31" s="321">
        <v>8322</v>
      </c>
      <c r="N31" s="321">
        <v>8322</v>
      </c>
      <c r="O31" s="321">
        <v>8322</v>
      </c>
      <c r="P31" s="321">
        <v>7411</v>
      </c>
      <c r="Q31" s="321">
        <v>7411</v>
      </c>
      <c r="R31" s="321">
        <v>7704</v>
      </c>
      <c r="S31" s="321">
        <v>7704</v>
      </c>
      <c r="T31" s="321">
        <v>7704</v>
      </c>
      <c r="U31" s="321">
        <v>7669</v>
      </c>
      <c r="V31" s="321">
        <f t="shared" si="7"/>
        <v>6957.1333333333332</v>
      </c>
    </row>
    <row r="32" spans="1:22" x14ac:dyDescent="0.3">
      <c r="A32" s="9"/>
      <c r="B32" s="9"/>
      <c r="C32" s="136" t="s">
        <v>274</v>
      </c>
      <c r="D32" s="9"/>
      <c r="E32" s="9"/>
      <c r="G32" s="321">
        <f t="shared" ref="G32:U32" si="8">SUM(G29:G31)</f>
        <v>10071</v>
      </c>
      <c r="H32" s="321">
        <f t="shared" si="8"/>
        <v>10071</v>
      </c>
      <c r="I32" s="321">
        <f t="shared" si="8"/>
        <v>19467</v>
      </c>
      <c r="J32" s="321">
        <f t="shared" si="8"/>
        <v>19959</v>
      </c>
      <c r="K32" s="321">
        <f t="shared" si="8"/>
        <v>20406</v>
      </c>
      <c r="L32" s="321">
        <f t="shared" si="8"/>
        <v>21390</v>
      </c>
      <c r="M32" s="321">
        <f t="shared" si="8"/>
        <v>24966</v>
      </c>
      <c r="N32" s="321">
        <f t="shared" si="8"/>
        <v>24966</v>
      </c>
      <c r="O32" s="321">
        <f t="shared" si="8"/>
        <v>24966</v>
      </c>
      <c r="P32" s="321">
        <f t="shared" si="8"/>
        <v>22233</v>
      </c>
      <c r="Q32" s="321">
        <f t="shared" si="8"/>
        <v>22233</v>
      </c>
      <c r="R32" s="321">
        <f>SUM(R29:R31)</f>
        <v>23112</v>
      </c>
      <c r="S32" s="321">
        <f t="shared" si="8"/>
        <v>23112</v>
      </c>
      <c r="T32" s="321">
        <f t="shared" si="8"/>
        <v>23074</v>
      </c>
      <c r="U32" s="321">
        <f t="shared" si="8"/>
        <v>22811</v>
      </c>
      <c r="V32" s="321">
        <f t="shared" si="7"/>
        <v>20855.8</v>
      </c>
    </row>
    <row r="33" spans="1:22" x14ac:dyDescent="0.3">
      <c r="A33" s="9"/>
      <c r="B33" s="9"/>
      <c r="C33" s="404" t="s">
        <v>295</v>
      </c>
      <c r="D33" s="367"/>
      <c r="E33" s="367"/>
      <c r="F33" s="366"/>
      <c r="G33" s="333">
        <v>15000</v>
      </c>
      <c r="H33" s="333">
        <v>15000</v>
      </c>
      <c r="I33" s="333">
        <v>25000</v>
      </c>
      <c r="J33" s="333">
        <v>25000</v>
      </c>
      <c r="K33" s="333">
        <v>25000</v>
      </c>
      <c r="L33" s="333">
        <v>25000</v>
      </c>
      <c r="M33" s="333">
        <v>25000</v>
      </c>
      <c r="N33" s="333">
        <v>25000</v>
      </c>
      <c r="O33" s="333">
        <v>25000</v>
      </c>
      <c r="P33" s="333">
        <v>25000</v>
      </c>
      <c r="Q33" s="333">
        <v>25000</v>
      </c>
      <c r="R33" s="333">
        <v>25000</v>
      </c>
      <c r="S33" s="333">
        <v>25000</v>
      </c>
      <c r="T33" s="333">
        <v>25000</v>
      </c>
      <c r="U33" s="333">
        <v>25000</v>
      </c>
      <c r="V33" s="333">
        <f t="shared" si="7"/>
        <v>23666.666666666668</v>
      </c>
    </row>
    <row r="34" spans="1:22" x14ac:dyDescent="0.3">
      <c r="A34" s="9"/>
      <c r="B34" s="9"/>
      <c r="C34" s="136" t="s">
        <v>273</v>
      </c>
      <c r="D34" s="9"/>
      <c r="E34" s="9"/>
      <c r="G34" s="322">
        <f t="shared" ref="G34:U34" si="9">G32/G$32</f>
        <v>1</v>
      </c>
      <c r="H34" s="322">
        <f t="shared" si="9"/>
        <v>1</v>
      </c>
      <c r="I34" s="322">
        <f t="shared" si="9"/>
        <v>1</v>
      </c>
      <c r="J34" s="322">
        <f t="shared" si="9"/>
        <v>1</v>
      </c>
      <c r="K34" s="322">
        <f t="shared" si="9"/>
        <v>1</v>
      </c>
      <c r="L34" s="322">
        <f t="shared" si="9"/>
        <v>1</v>
      </c>
      <c r="M34" s="322">
        <f t="shared" si="9"/>
        <v>1</v>
      </c>
      <c r="N34" s="322">
        <f t="shared" si="9"/>
        <v>1</v>
      </c>
      <c r="O34" s="322">
        <f t="shared" si="9"/>
        <v>1</v>
      </c>
      <c r="P34" s="322">
        <f t="shared" si="9"/>
        <v>1</v>
      </c>
      <c r="Q34" s="322">
        <f t="shared" si="9"/>
        <v>1</v>
      </c>
      <c r="R34" s="322">
        <f t="shared" si="9"/>
        <v>1</v>
      </c>
      <c r="S34" s="322">
        <f t="shared" si="9"/>
        <v>1</v>
      </c>
      <c r="T34" s="322">
        <f t="shared" si="9"/>
        <v>1</v>
      </c>
      <c r="U34" s="322">
        <f t="shared" si="9"/>
        <v>1</v>
      </c>
      <c r="V34" s="322">
        <f>AVERAGE(G34:U34)</f>
        <v>1</v>
      </c>
    </row>
    <row r="35" spans="1:22" x14ac:dyDescent="0.3">
      <c r="A35" s="9"/>
      <c r="B35" s="9"/>
      <c r="C35" s="136"/>
      <c r="D35" s="9"/>
      <c r="E35" s="9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</row>
    <row r="36" spans="1:22" x14ac:dyDescent="0.3">
      <c r="B36" s="341" t="s">
        <v>38</v>
      </c>
      <c r="C36" s="340"/>
      <c r="D36" s="340"/>
      <c r="E36" s="340"/>
      <c r="F36" s="340"/>
      <c r="G36" s="369">
        <v>-250</v>
      </c>
      <c r="H36" s="369">
        <v>-250</v>
      </c>
      <c r="I36" s="369">
        <v>-250</v>
      </c>
      <c r="J36" s="369">
        <v>-250</v>
      </c>
      <c r="K36" s="369">
        <v>-250</v>
      </c>
      <c r="L36" s="369">
        <v>-250</v>
      </c>
      <c r="M36" s="369">
        <v>-250</v>
      </c>
      <c r="N36" s="369">
        <v>-250</v>
      </c>
      <c r="O36" s="369">
        <v>-250</v>
      </c>
      <c r="P36" s="369">
        <v>-250</v>
      </c>
      <c r="Q36" s="369">
        <v>-250</v>
      </c>
      <c r="R36" s="369">
        <v>-250</v>
      </c>
      <c r="S36" s="369">
        <v>-250</v>
      </c>
      <c r="T36" s="369">
        <v>-250</v>
      </c>
      <c r="U36" s="369">
        <v>-250</v>
      </c>
      <c r="V36" s="373">
        <f>SUM(G36:R36)</f>
        <v>-3000</v>
      </c>
    </row>
    <row r="37" spans="1:22" x14ac:dyDescent="0.3">
      <c r="B37" s="341" t="s">
        <v>146</v>
      </c>
      <c r="C37" s="340"/>
      <c r="D37" s="340"/>
      <c r="E37" s="340"/>
      <c r="F37" s="340"/>
      <c r="G37" s="351">
        <f>'IS 2025'!F79</f>
        <v>-3870</v>
      </c>
      <c r="H37" s="351">
        <f>'IS 2025'!G79</f>
        <v>-3705</v>
      </c>
      <c r="I37" s="351">
        <f>'IS 2025'!H79</f>
        <v>-3540</v>
      </c>
      <c r="J37" s="351">
        <f>'IS 2025'!I79</f>
        <v>-3375</v>
      </c>
      <c r="K37" s="351">
        <f>'IS 2025'!J79</f>
        <v>-3210</v>
      </c>
      <c r="L37" s="351">
        <f>'IS 2025'!K79</f>
        <v>-3045</v>
      </c>
      <c r="M37" s="351">
        <f>'IS 2025'!L79</f>
        <v>-2880</v>
      </c>
      <c r="N37" s="351">
        <f>'IS 2025'!M79</f>
        <v>-2715</v>
      </c>
      <c r="O37" s="351">
        <f>'IS 2025'!N79</f>
        <v>-2550</v>
      </c>
      <c r="P37" s="351">
        <f>'IS 2025'!O79</f>
        <v>-2385</v>
      </c>
      <c r="Q37" s="351">
        <f>'IS 2025'!P79</f>
        <v>-2220</v>
      </c>
      <c r="R37" s="351">
        <f>'IS 2025'!Q79</f>
        <v>-2055</v>
      </c>
      <c r="S37" s="351">
        <f>'IS 2025'!R79</f>
        <v>-1890</v>
      </c>
      <c r="T37" s="351">
        <f>'IS 2025'!S79</f>
        <v>-1725</v>
      </c>
      <c r="U37" s="351">
        <f>'IS 2025'!T79</f>
        <v>-1560</v>
      </c>
      <c r="V37" s="340"/>
    </row>
    <row r="38" spans="1:22" x14ac:dyDescent="0.3">
      <c r="B38" s="341" t="s">
        <v>147</v>
      </c>
      <c r="C38" s="340"/>
      <c r="D38" s="340"/>
      <c r="E38" s="340"/>
      <c r="F38" s="340"/>
      <c r="G38" s="369">
        <f>'IS 2026'!F82</f>
        <v>-2758.4</v>
      </c>
      <c r="H38" s="369">
        <f>'IS 2026'!G82</f>
        <v>-2758.4</v>
      </c>
      <c r="I38" s="369">
        <f>'IS 2026'!H82</f>
        <v>-6316.8</v>
      </c>
      <c r="J38" s="369">
        <f>'IS 2026'!I82</f>
        <v>-7084.6</v>
      </c>
      <c r="K38" s="369">
        <f>'IS 2026'!J82</f>
        <v>-7294</v>
      </c>
      <c r="L38" s="369">
        <f>'IS 2026'!K82</f>
        <v>-7687.6</v>
      </c>
      <c r="M38" s="369">
        <f>'IS 2026'!L82</f>
        <v>-9124.2000000000007</v>
      </c>
      <c r="N38" s="369">
        <f>'IS 2026'!M82</f>
        <v>-9118</v>
      </c>
      <c r="O38" s="369">
        <f>'IS 2026'!N82</f>
        <v>-8920.4</v>
      </c>
      <c r="P38" s="369">
        <f>'IS 2026'!O82</f>
        <v>-7407.2000000000007</v>
      </c>
      <c r="Q38" s="369">
        <f>'IS 2026'!P82</f>
        <v>-7387.8</v>
      </c>
      <c r="R38" s="369">
        <f>'IS 2026'!Q82</f>
        <v>-7461.8</v>
      </c>
      <c r="S38" s="369">
        <f>'IS 2026'!R82</f>
        <v>-3339.4</v>
      </c>
      <c r="T38" s="369">
        <f>'IS 2026'!S82</f>
        <v>-3339.4</v>
      </c>
      <c r="U38" s="369">
        <f>'IS 2026'!T82</f>
        <v>-6897.8</v>
      </c>
      <c r="V38" s="340"/>
    </row>
    <row r="39" spans="1:22" x14ac:dyDescent="0.3">
      <c r="B39" s="8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2" x14ac:dyDescent="0.3">
      <c r="A40" s="147"/>
      <c r="B40" s="176" t="s">
        <v>148</v>
      </c>
      <c r="C40" s="147"/>
      <c r="D40" s="147"/>
      <c r="E40" s="147"/>
      <c r="F40" s="147"/>
      <c r="G40" s="154">
        <f>G11</f>
        <v>31047</v>
      </c>
      <c r="H40" s="154">
        <f t="shared" ref="H40:V40" si="10">H11</f>
        <v>31047</v>
      </c>
      <c r="I40" s="154">
        <f t="shared" si="10"/>
        <v>48839</v>
      </c>
      <c r="J40" s="154">
        <f t="shared" si="10"/>
        <v>52523</v>
      </c>
      <c r="K40" s="154">
        <f t="shared" si="10"/>
        <v>53570</v>
      </c>
      <c r="L40" s="154">
        <f t="shared" si="10"/>
        <v>55538</v>
      </c>
      <c r="M40" s="154">
        <f t="shared" si="10"/>
        <v>62721</v>
      </c>
      <c r="N40" s="154">
        <f t="shared" si="10"/>
        <v>62690</v>
      </c>
      <c r="O40" s="154">
        <f t="shared" si="10"/>
        <v>61702</v>
      </c>
      <c r="P40" s="154">
        <f t="shared" si="10"/>
        <v>54136</v>
      </c>
      <c r="Q40" s="154">
        <f t="shared" si="10"/>
        <v>54039</v>
      </c>
      <c r="R40" s="154">
        <f t="shared" si="10"/>
        <v>54409</v>
      </c>
      <c r="S40" s="154">
        <f t="shared" si="10"/>
        <v>46838</v>
      </c>
      <c r="T40" s="154">
        <f t="shared" si="10"/>
        <v>46800</v>
      </c>
      <c r="U40" s="154">
        <f t="shared" si="10"/>
        <v>54933</v>
      </c>
      <c r="V40" s="154">
        <f t="shared" si="10"/>
        <v>622261</v>
      </c>
    </row>
    <row r="41" spans="1:22" x14ac:dyDescent="0.3">
      <c r="A41" s="148"/>
      <c r="B41" s="193" t="s">
        <v>149</v>
      </c>
      <c r="C41" s="148"/>
      <c r="D41" s="148"/>
      <c r="E41" s="148"/>
      <c r="F41" s="148"/>
      <c r="G41" s="149">
        <f>SUM(G36:G38)</f>
        <v>-6878.4</v>
      </c>
      <c r="H41" s="149">
        <f t="shared" ref="H41:U41" si="11">SUM(H36:H38)</f>
        <v>-6713.4</v>
      </c>
      <c r="I41" s="149">
        <f t="shared" si="11"/>
        <v>-10106.799999999999</v>
      </c>
      <c r="J41" s="149">
        <f t="shared" si="11"/>
        <v>-10709.6</v>
      </c>
      <c r="K41" s="149">
        <f t="shared" si="11"/>
        <v>-10754</v>
      </c>
      <c r="L41" s="149">
        <f t="shared" si="11"/>
        <v>-10982.6</v>
      </c>
      <c r="M41" s="149">
        <f t="shared" si="11"/>
        <v>-12254.2</v>
      </c>
      <c r="N41" s="149">
        <f t="shared" si="11"/>
        <v>-12083</v>
      </c>
      <c r="O41" s="149">
        <f t="shared" si="11"/>
        <v>-11720.4</v>
      </c>
      <c r="P41" s="149">
        <f t="shared" si="11"/>
        <v>-10042.200000000001</v>
      </c>
      <c r="Q41" s="149">
        <f t="shared" si="11"/>
        <v>-9857.7999999999993</v>
      </c>
      <c r="R41" s="149">
        <f t="shared" si="11"/>
        <v>-9766.7999999999993</v>
      </c>
      <c r="S41" s="149">
        <f t="shared" si="11"/>
        <v>-5479.4</v>
      </c>
      <c r="T41" s="149">
        <f t="shared" si="11"/>
        <v>-5314.4</v>
      </c>
      <c r="U41" s="149">
        <f t="shared" si="11"/>
        <v>-8707.7999999999993</v>
      </c>
      <c r="V41" s="149">
        <f>SUM(G41:R41)</f>
        <v>-121869.2</v>
      </c>
    </row>
    <row r="42" spans="1:22" x14ac:dyDescent="0.3">
      <c r="B42" s="357" t="s">
        <v>150</v>
      </c>
      <c r="C42" s="357"/>
      <c r="D42" s="357"/>
      <c r="E42" s="357"/>
      <c r="F42" s="357"/>
      <c r="G42" s="150">
        <f>SUM(G40:G41)</f>
        <v>24168.6</v>
      </c>
      <c r="H42" s="150">
        <f>SUM(H40:H41)</f>
        <v>24333.599999999999</v>
      </c>
      <c r="I42" s="150">
        <f t="shared" ref="I42:R42" si="12">SUM(I40:I41)</f>
        <v>38732.199999999997</v>
      </c>
      <c r="J42" s="150">
        <f>SUM(J40:J41)</f>
        <v>41813.4</v>
      </c>
      <c r="K42" s="150">
        <f t="shared" si="12"/>
        <v>42816</v>
      </c>
      <c r="L42" s="150">
        <f t="shared" si="12"/>
        <v>44555.4</v>
      </c>
      <c r="M42" s="150">
        <f t="shared" si="12"/>
        <v>50466.8</v>
      </c>
      <c r="N42" s="150">
        <f t="shared" si="12"/>
        <v>50607</v>
      </c>
      <c r="O42" s="150">
        <f t="shared" si="12"/>
        <v>49981.599999999999</v>
      </c>
      <c r="P42" s="150">
        <f t="shared" si="12"/>
        <v>44093.8</v>
      </c>
      <c r="Q42" s="150">
        <f t="shared" si="12"/>
        <v>44181.2</v>
      </c>
      <c r="R42" s="150">
        <f t="shared" si="12"/>
        <v>44642.2</v>
      </c>
      <c r="S42" s="150">
        <f>'CF 2027'!G43</f>
        <v>24137.599999999999</v>
      </c>
      <c r="T42" s="150">
        <f>'CF 2027'!H43</f>
        <v>24302.6</v>
      </c>
      <c r="U42" s="150">
        <f>'CF 2027'!I43</f>
        <v>38701.199999999997</v>
      </c>
      <c r="V42" s="150">
        <f>SUM(G42:R42)</f>
        <v>500391.8</v>
      </c>
    </row>
    <row r="43" spans="1:22" x14ac:dyDescent="0.3">
      <c r="B43" s="357" t="s">
        <v>194</v>
      </c>
      <c r="C43" s="357"/>
      <c r="D43" s="357"/>
      <c r="E43" s="357"/>
      <c r="F43" s="357"/>
      <c r="G43" s="150">
        <f>G42-'IS 2026'!F78</f>
        <v>26079.599999999999</v>
      </c>
      <c r="H43" s="150">
        <f>H42-'IS 2026'!G78</f>
        <v>26244.6</v>
      </c>
      <c r="I43" s="150">
        <f>I42-'IS 2026'!H78</f>
        <v>40643.199999999997</v>
      </c>
      <c r="J43" s="150">
        <f>J42-'IS 2026'!I78</f>
        <v>43569.4</v>
      </c>
      <c r="K43" s="150">
        <f>K42-'IS 2026'!J78</f>
        <v>44572</v>
      </c>
      <c r="L43" s="150">
        <f>L42-'IS 2026'!K78</f>
        <v>46311.4</v>
      </c>
      <c r="M43" s="150">
        <f>M42-'IS 2026'!L78</f>
        <v>52222.8</v>
      </c>
      <c r="N43" s="150">
        <f>N42-'IS 2026'!M78</f>
        <v>52363</v>
      </c>
      <c r="O43" s="150">
        <f>O42-'IS 2026'!N78</f>
        <v>51737.599999999999</v>
      </c>
      <c r="P43" s="150">
        <f>P42-'IS 2026'!O78</f>
        <v>45849.8</v>
      </c>
      <c r="Q43" s="150">
        <f>Q42-'IS 2026'!P78</f>
        <v>45937.2</v>
      </c>
      <c r="R43" s="150">
        <f>R42-'IS 2026'!Q78</f>
        <v>46398.2</v>
      </c>
      <c r="S43" s="150">
        <f>'CF 2027'!G44</f>
        <v>22287.599999999999</v>
      </c>
      <c r="T43" s="150">
        <f>'CF 2027'!H44</f>
        <v>22852.6</v>
      </c>
      <c r="U43" s="150">
        <f>'CF 2027'!I44</f>
        <v>37251.199999999997</v>
      </c>
      <c r="V43" s="150"/>
    </row>
    <row r="44" spans="1:22" x14ac:dyDescent="0.3">
      <c r="B44" s="358" t="s">
        <v>151</v>
      </c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150">
        <f>'CF 2027'!G45</f>
        <v>0</v>
      </c>
      <c r="T44" s="150">
        <f>'CF 2027'!H45</f>
        <v>0</v>
      </c>
      <c r="U44" s="150">
        <f>'CF 2027'!I45</f>
        <v>0</v>
      </c>
      <c r="V44" s="340"/>
    </row>
    <row r="45" spans="1:22" x14ac:dyDescent="0.3">
      <c r="B45" s="359" t="s">
        <v>152</v>
      </c>
      <c r="C45" s="357"/>
      <c r="D45" s="357"/>
      <c r="E45" s="357"/>
      <c r="F45" s="357"/>
      <c r="G45" s="150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150">
        <f>'CF 2027'!G46</f>
        <v>0</v>
      </c>
      <c r="T45" s="150">
        <f>'CF 2027'!H46</f>
        <v>0</v>
      </c>
      <c r="U45" s="150">
        <f>'CF 2027'!I46</f>
        <v>0</v>
      </c>
      <c r="V45" s="340"/>
    </row>
    <row r="46" spans="1:22" x14ac:dyDescent="0.3">
      <c r="B46" s="360" t="s">
        <v>116</v>
      </c>
      <c r="C46" s="357"/>
      <c r="D46" s="357"/>
      <c r="E46" s="357"/>
      <c r="F46" s="357"/>
      <c r="G46" s="150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61">
        <f>'CF 2027'!G47</f>
        <v>0</v>
      </c>
      <c r="T46" s="150">
        <f>'CF 2027'!H47</f>
        <v>0</v>
      </c>
      <c r="U46" s="150">
        <f>'CF 2027'!I47</f>
        <v>0</v>
      </c>
      <c r="V46" s="340"/>
    </row>
    <row r="47" spans="1:22" x14ac:dyDescent="0.3">
      <c r="B47" s="359" t="s">
        <v>153</v>
      </c>
      <c r="C47" s="357"/>
      <c r="D47" s="357"/>
      <c r="E47" s="357"/>
      <c r="F47" s="357"/>
      <c r="G47" s="150">
        <f>SUM(G45:G46)</f>
        <v>0</v>
      </c>
      <c r="H47" s="150">
        <f t="shared" ref="H47:R47" si="13">SUM(H45:H46)</f>
        <v>0</v>
      </c>
      <c r="I47" s="150">
        <f t="shared" si="13"/>
        <v>0</v>
      </c>
      <c r="J47" s="150">
        <f t="shared" si="13"/>
        <v>0</v>
      </c>
      <c r="K47" s="150">
        <f t="shared" si="13"/>
        <v>0</v>
      </c>
      <c r="L47" s="150">
        <f t="shared" si="13"/>
        <v>0</v>
      </c>
      <c r="M47" s="150">
        <f t="shared" si="13"/>
        <v>0</v>
      </c>
      <c r="N47" s="150">
        <f t="shared" si="13"/>
        <v>0</v>
      </c>
      <c r="O47" s="150">
        <f t="shared" si="13"/>
        <v>0</v>
      </c>
      <c r="P47" s="150">
        <f t="shared" si="13"/>
        <v>0</v>
      </c>
      <c r="Q47" s="150">
        <f t="shared" si="13"/>
        <v>0</v>
      </c>
      <c r="R47" s="150">
        <f t="shared" si="13"/>
        <v>0</v>
      </c>
      <c r="S47" s="150">
        <f>'CF 2027'!G48</f>
        <v>0</v>
      </c>
      <c r="T47" s="150">
        <f>'CF 2027'!H48</f>
        <v>0</v>
      </c>
      <c r="U47" s="150">
        <f>'CF 2027'!I48</f>
        <v>0</v>
      </c>
      <c r="V47" s="340"/>
    </row>
    <row r="48" spans="1:22" x14ac:dyDescent="0.3">
      <c r="B48" s="362" t="s">
        <v>154</v>
      </c>
      <c r="C48" s="357"/>
      <c r="D48" s="357"/>
      <c r="E48" s="357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7"/>
      <c r="S48" s="150">
        <f>'CF 2027'!G49</f>
        <v>0</v>
      </c>
      <c r="T48" s="150">
        <f>'CF 2027'!H49</f>
        <v>0</v>
      </c>
      <c r="U48" s="150">
        <f>'CF 2027'!I49</f>
        <v>0</v>
      </c>
      <c r="V48" s="340"/>
    </row>
    <row r="49" spans="2:22" x14ac:dyDescent="0.3">
      <c r="B49" s="341" t="s">
        <v>155</v>
      </c>
      <c r="C49" s="340"/>
      <c r="D49" s="340"/>
      <c r="E49" s="340"/>
      <c r="F49" s="340"/>
      <c r="G49" s="209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209">
        <f>'CF 2027'!G50</f>
        <v>0</v>
      </c>
      <c r="T49" s="209">
        <f>'CF 2027'!H50</f>
        <v>0</v>
      </c>
      <c r="U49" s="209">
        <f>'CF 2027'!I50</f>
        <v>0</v>
      </c>
      <c r="V49" s="340"/>
    </row>
    <row r="50" spans="2:22" x14ac:dyDescent="0.3">
      <c r="B50" s="363" t="s">
        <v>116</v>
      </c>
      <c r="C50" s="340"/>
      <c r="D50" s="340"/>
      <c r="E50" s="340"/>
      <c r="F50" s="340"/>
      <c r="G50" s="209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209">
        <f>'CF 2027'!G51</f>
        <v>0</v>
      </c>
      <c r="T50" s="209">
        <f>'CF 2027'!H51</f>
        <v>0</v>
      </c>
      <c r="U50" s="209">
        <f>'CF 2027'!I51</f>
        <v>0</v>
      </c>
      <c r="V50" s="340"/>
    </row>
    <row r="51" spans="2:22" x14ac:dyDescent="0.3">
      <c r="B51" s="363" t="s">
        <v>117</v>
      </c>
      <c r="C51" s="340"/>
      <c r="D51" s="340"/>
      <c r="E51" s="340"/>
      <c r="F51" s="340"/>
      <c r="G51" s="209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209">
        <f>'CF 2027'!G52</f>
        <v>0</v>
      </c>
      <c r="T51" s="209">
        <f>'CF 2027'!H52</f>
        <v>0</v>
      </c>
      <c r="U51" s="209">
        <f>'CF 2027'!I52</f>
        <v>0</v>
      </c>
      <c r="V51" s="340"/>
    </row>
    <row r="52" spans="2:22" x14ac:dyDescent="0.3">
      <c r="B52" s="363" t="s">
        <v>118</v>
      </c>
      <c r="C52" s="340"/>
      <c r="D52" s="340"/>
      <c r="E52" s="340"/>
      <c r="F52" s="340"/>
      <c r="G52" s="209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209">
        <f>'CF 2027'!G53</f>
        <v>0</v>
      </c>
      <c r="T52" s="209">
        <f>'CF 2027'!H53</f>
        <v>0</v>
      </c>
      <c r="U52" s="209">
        <f>'CF 2027'!I53</f>
        <v>0</v>
      </c>
      <c r="V52" s="340"/>
    </row>
    <row r="53" spans="2:22" x14ac:dyDescent="0.3">
      <c r="B53" s="341" t="s">
        <v>156</v>
      </c>
      <c r="C53" s="340"/>
      <c r="D53" s="340"/>
      <c r="E53" s="340"/>
      <c r="F53" s="340"/>
      <c r="G53" s="373">
        <v>-3300</v>
      </c>
      <c r="H53" s="373">
        <v>-3300</v>
      </c>
      <c r="I53" s="373">
        <v>-3300</v>
      </c>
      <c r="J53" s="373">
        <v>-3300</v>
      </c>
      <c r="K53" s="373">
        <v>-3300</v>
      </c>
      <c r="L53" s="373">
        <v>-3300</v>
      </c>
      <c r="M53" s="373">
        <v>-3300</v>
      </c>
      <c r="N53" s="373">
        <v>-3300</v>
      </c>
      <c r="O53" s="373">
        <v>-3300</v>
      </c>
      <c r="P53" s="373">
        <v>-3300</v>
      </c>
      <c r="Q53" s="373">
        <v>-3300</v>
      </c>
      <c r="R53" s="373">
        <v>-3300</v>
      </c>
      <c r="S53" s="373">
        <v>-1500</v>
      </c>
      <c r="T53" s="373"/>
      <c r="U53" s="373"/>
      <c r="V53" s="209">
        <f>SUM(G49:R53)</f>
        <v>-39600</v>
      </c>
    </row>
    <row r="54" spans="2:22" x14ac:dyDescent="0.3">
      <c r="B54" s="363" t="s">
        <v>116</v>
      </c>
      <c r="C54" s="340"/>
      <c r="D54" s="340"/>
      <c r="E54" s="340"/>
      <c r="F54" s="340"/>
      <c r="G54" s="340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>
        <f>'CF 2027'!G55</f>
        <v>0</v>
      </c>
      <c r="T54" s="209">
        <f>'CF 2027'!H55</f>
        <v>0</v>
      </c>
      <c r="U54" s="209">
        <f>'CF 2027'!I55</f>
        <v>0</v>
      </c>
      <c r="V54" s="340"/>
    </row>
    <row r="55" spans="2:22" x14ac:dyDescent="0.3">
      <c r="B55" s="341" t="s">
        <v>157</v>
      </c>
      <c r="C55" s="340"/>
      <c r="D55" s="340"/>
      <c r="E55" s="340"/>
      <c r="F55" s="340"/>
      <c r="G55" s="209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209">
        <f>'CF 2027'!G56</f>
        <v>0</v>
      </c>
      <c r="T55" s="209">
        <f>'CF 2027'!H56</f>
        <v>0</v>
      </c>
      <c r="U55" s="209">
        <f>'CF 2027'!I56</f>
        <v>0</v>
      </c>
      <c r="V55" s="340"/>
    </row>
    <row r="56" spans="2:22" x14ac:dyDescent="0.3">
      <c r="B56" s="363" t="s">
        <v>116</v>
      </c>
      <c r="C56" s="340"/>
      <c r="D56" s="340"/>
      <c r="E56" s="340"/>
      <c r="F56" s="340"/>
      <c r="G56" s="209"/>
      <c r="H56" s="340"/>
      <c r="I56" s="340"/>
      <c r="J56" s="340"/>
      <c r="K56" s="340"/>
      <c r="L56" s="340"/>
      <c r="M56" s="340"/>
      <c r="N56" s="340"/>
      <c r="O56" s="340"/>
      <c r="P56" s="340"/>
      <c r="Q56" s="340"/>
      <c r="R56" s="340"/>
      <c r="S56" s="209">
        <f>'CF 2027'!G57</f>
        <v>0</v>
      </c>
      <c r="T56" s="209">
        <f>'CF 2027'!H57</f>
        <v>0</v>
      </c>
      <c r="U56" s="209">
        <f>'CF 2027'!I57</f>
        <v>0</v>
      </c>
      <c r="V56" s="340"/>
    </row>
    <row r="57" spans="2:22" x14ac:dyDescent="0.3">
      <c r="B57" s="341" t="s">
        <v>158</v>
      </c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209">
        <f>'CF 2027'!G58</f>
        <v>0</v>
      </c>
      <c r="T57" s="209">
        <f>'CF 2027'!H58</f>
        <v>0</v>
      </c>
      <c r="U57" s="209">
        <f>'CF 2027'!I58</f>
        <v>0</v>
      </c>
      <c r="V57" s="340"/>
    </row>
    <row r="58" spans="2:22" x14ac:dyDescent="0.3">
      <c r="B58" s="363" t="s">
        <v>116</v>
      </c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/>
      <c r="Q58" s="340"/>
      <c r="R58" s="340"/>
      <c r="S58" s="209">
        <f>'CF 2027'!G59</f>
        <v>0</v>
      </c>
      <c r="T58" s="209">
        <f>'CF 2027'!H59</f>
        <v>0</v>
      </c>
      <c r="U58" s="209">
        <f>'CF 2027'!I59</f>
        <v>0</v>
      </c>
      <c r="V58" s="340"/>
    </row>
    <row r="59" spans="2:22" x14ac:dyDescent="0.3">
      <c r="B59" s="341" t="s">
        <v>159</v>
      </c>
      <c r="C59" s="340"/>
      <c r="D59" s="340"/>
      <c r="E59" s="340"/>
      <c r="F59" s="340"/>
      <c r="G59" s="340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209">
        <f>'CF 2027'!G60</f>
        <v>0</v>
      </c>
      <c r="T59" s="209">
        <f>'CF 2027'!H60</f>
        <v>0</v>
      </c>
      <c r="U59" s="209">
        <f>'CF 2027'!I60</f>
        <v>0</v>
      </c>
      <c r="V59" s="340"/>
    </row>
    <row r="60" spans="2:22" x14ac:dyDescent="0.3">
      <c r="B60" s="363" t="s">
        <v>116</v>
      </c>
      <c r="C60" s="340"/>
      <c r="D60" s="340"/>
      <c r="E60" s="340"/>
      <c r="F60" s="340"/>
      <c r="G60" s="340"/>
      <c r="H60" s="340"/>
      <c r="I60" s="340"/>
      <c r="J60" s="340"/>
      <c r="K60" s="340"/>
      <c r="L60" s="340"/>
      <c r="M60" s="340"/>
      <c r="N60" s="340"/>
      <c r="O60" s="340"/>
      <c r="P60" s="340"/>
      <c r="Q60" s="340"/>
      <c r="R60" s="340"/>
      <c r="S60" s="209">
        <f>'CF 2027'!G61</f>
        <v>0</v>
      </c>
      <c r="T60" s="209">
        <f>'CF 2027'!H61</f>
        <v>0</v>
      </c>
      <c r="U60" s="209">
        <f>'CF 2027'!I61</f>
        <v>0</v>
      </c>
      <c r="V60" s="340"/>
    </row>
    <row r="61" spans="2:22" x14ac:dyDescent="0.3">
      <c r="B61" s="341" t="s">
        <v>45</v>
      </c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340"/>
      <c r="P61" s="340"/>
      <c r="Q61" s="340"/>
      <c r="R61" s="340"/>
      <c r="S61" s="209">
        <f>'CF 2027'!G62</f>
        <v>0</v>
      </c>
      <c r="T61" s="209">
        <f>'CF 2027'!H62</f>
        <v>0</v>
      </c>
      <c r="U61" s="209">
        <f>'CF 2027'!I62</f>
        <v>0</v>
      </c>
      <c r="V61" s="340"/>
    </row>
    <row r="62" spans="2:22" x14ac:dyDescent="0.3">
      <c r="B62" s="341" t="s">
        <v>160</v>
      </c>
      <c r="C62" s="340"/>
      <c r="D62" s="340"/>
      <c r="E62" s="340"/>
      <c r="F62" s="340"/>
      <c r="G62" s="209">
        <f>SUM(G49:G61)</f>
        <v>-3300</v>
      </c>
      <c r="H62" s="209">
        <f t="shared" ref="H62:R62" si="14">SUM(H49:H61)</f>
        <v>-3300</v>
      </c>
      <c r="I62" s="209">
        <f t="shared" si="14"/>
        <v>-3300</v>
      </c>
      <c r="J62" s="209">
        <f t="shared" si="14"/>
        <v>-3300</v>
      </c>
      <c r="K62" s="209">
        <f t="shared" si="14"/>
        <v>-3300</v>
      </c>
      <c r="L62" s="209">
        <f t="shared" si="14"/>
        <v>-3300</v>
      </c>
      <c r="M62" s="209">
        <f t="shared" si="14"/>
        <v>-3300</v>
      </c>
      <c r="N62" s="209">
        <f t="shared" si="14"/>
        <v>-3300</v>
      </c>
      <c r="O62" s="209">
        <f t="shared" si="14"/>
        <v>-3300</v>
      </c>
      <c r="P62" s="209">
        <f t="shared" si="14"/>
        <v>-3300</v>
      </c>
      <c r="Q62" s="209">
        <f t="shared" si="14"/>
        <v>-3300</v>
      </c>
      <c r="R62" s="209">
        <f t="shared" si="14"/>
        <v>-3300</v>
      </c>
      <c r="S62" s="209">
        <f>'CF 2027'!G63</f>
        <v>0</v>
      </c>
      <c r="T62" s="209">
        <f>'CF 2027'!H63</f>
        <v>0</v>
      </c>
      <c r="U62" s="209">
        <f>'CF 2027'!I63</f>
        <v>0</v>
      </c>
      <c r="V62" s="340"/>
    </row>
    <row r="63" spans="2:22" x14ac:dyDescent="0.3">
      <c r="B63" s="359" t="s">
        <v>161</v>
      </c>
      <c r="C63" s="357"/>
      <c r="D63" s="357"/>
      <c r="E63" s="357"/>
      <c r="F63" s="357"/>
      <c r="G63" s="400">
        <f>G42+G62</f>
        <v>20868.599999999999</v>
      </c>
      <c r="H63" s="400">
        <f>H42+H62</f>
        <v>21033.599999999999</v>
      </c>
      <c r="I63" s="400">
        <f>I42+I62</f>
        <v>35432.199999999997</v>
      </c>
      <c r="J63" s="400">
        <f>J42+J62</f>
        <v>38513.4</v>
      </c>
      <c r="K63" s="400">
        <f t="shared" ref="K63:U63" si="15">K42+K62</f>
        <v>39516</v>
      </c>
      <c r="L63" s="400">
        <f t="shared" si="15"/>
        <v>41255.4</v>
      </c>
      <c r="M63" s="400">
        <f t="shared" si="15"/>
        <v>47166.8</v>
      </c>
      <c r="N63" s="400">
        <f t="shared" si="15"/>
        <v>47307</v>
      </c>
      <c r="O63" s="400">
        <f t="shared" si="15"/>
        <v>46681.599999999999</v>
      </c>
      <c r="P63" s="400">
        <f t="shared" si="15"/>
        <v>40793.800000000003</v>
      </c>
      <c r="Q63" s="400">
        <f t="shared" si="15"/>
        <v>40881.199999999997</v>
      </c>
      <c r="R63" s="400">
        <f t="shared" si="15"/>
        <v>41342.199999999997</v>
      </c>
      <c r="S63" s="400">
        <f t="shared" si="15"/>
        <v>24137.599999999999</v>
      </c>
      <c r="T63" s="400">
        <f t="shared" si="15"/>
        <v>24302.6</v>
      </c>
      <c r="U63" s="400">
        <f t="shared" si="15"/>
        <v>38701.199999999997</v>
      </c>
      <c r="V63" s="150">
        <f>SUM(G63:R63)</f>
        <v>460791.8</v>
      </c>
    </row>
    <row r="64" spans="2:22" x14ac:dyDescent="0.3">
      <c r="B64" s="359"/>
      <c r="C64" s="357"/>
      <c r="D64" s="357"/>
      <c r="E64" s="357"/>
      <c r="F64" s="357"/>
      <c r="G64" s="400"/>
      <c r="H64" s="400"/>
      <c r="I64" s="400"/>
      <c r="J64" s="400"/>
      <c r="K64" s="400"/>
      <c r="L64" s="400"/>
      <c r="M64" s="400"/>
      <c r="N64" s="400"/>
      <c r="O64" s="400"/>
      <c r="P64" s="400"/>
      <c r="Q64" s="400"/>
      <c r="R64" s="400"/>
      <c r="S64" s="400"/>
      <c r="T64" s="400"/>
      <c r="U64" s="400"/>
      <c r="V64" s="150"/>
    </row>
    <row r="65" spans="1:22" x14ac:dyDescent="0.3">
      <c r="A65" s="147"/>
      <c r="B65" s="173" t="s">
        <v>162</v>
      </c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</row>
    <row r="66" spans="1:22" s="9" customFormat="1" x14ac:dyDescent="0.3">
      <c r="A66" s="344"/>
      <c r="B66" s="345"/>
      <c r="C66" s="344"/>
      <c r="D66" s="344"/>
      <c r="E66" s="344"/>
      <c r="F66" s="344"/>
      <c r="G66" s="344"/>
      <c r="H66" s="344"/>
      <c r="I66" s="344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</row>
    <row r="67" spans="1:22" x14ac:dyDescent="0.3">
      <c r="B67" s="357" t="s">
        <v>153</v>
      </c>
      <c r="C67" s="357"/>
      <c r="D67" s="357"/>
      <c r="E67" s="357"/>
      <c r="F67" s="357"/>
      <c r="G67" s="150">
        <f>G47</f>
        <v>0</v>
      </c>
      <c r="H67" s="150">
        <f t="shared" ref="H67:U67" si="16">H47</f>
        <v>0</v>
      </c>
      <c r="I67" s="150">
        <f t="shared" si="16"/>
        <v>0</v>
      </c>
      <c r="J67" s="150">
        <f t="shared" si="16"/>
        <v>0</v>
      </c>
      <c r="K67" s="150">
        <f t="shared" si="16"/>
        <v>0</v>
      </c>
      <c r="L67" s="150">
        <f t="shared" si="16"/>
        <v>0</v>
      </c>
      <c r="M67" s="150">
        <f t="shared" si="16"/>
        <v>0</v>
      </c>
      <c r="N67" s="150">
        <f t="shared" si="16"/>
        <v>0</v>
      </c>
      <c r="O67" s="150">
        <f t="shared" si="16"/>
        <v>0</v>
      </c>
      <c r="P67" s="150">
        <f t="shared" si="16"/>
        <v>0</v>
      </c>
      <c r="Q67" s="150">
        <f t="shared" si="16"/>
        <v>0</v>
      </c>
      <c r="R67" s="150">
        <f t="shared" si="16"/>
        <v>0</v>
      </c>
      <c r="S67" s="150">
        <f t="shared" si="16"/>
        <v>0</v>
      </c>
      <c r="T67" s="150">
        <f t="shared" si="16"/>
        <v>0</v>
      </c>
      <c r="U67" s="150">
        <f t="shared" si="16"/>
        <v>0</v>
      </c>
    </row>
    <row r="68" spans="1:22" x14ac:dyDescent="0.3">
      <c r="B68" s="357" t="s">
        <v>160</v>
      </c>
      <c r="C68" s="357"/>
      <c r="D68" s="357"/>
      <c r="E68" s="357"/>
      <c r="F68" s="357"/>
      <c r="G68" s="150">
        <f>G62</f>
        <v>-3300</v>
      </c>
      <c r="H68" s="150">
        <f t="shared" ref="H68:U68" si="17">H62</f>
        <v>-3300</v>
      </c>
      <c r="I68" s="150">
        <f t="shared" si="17"/>
        <v>-3300</v>
      </c>
      <c r="J68" s="150">
        <f t="shared" si="17"/>
        <v>-3300</v>
      </c>
      <c r="K68" s="150">
        <f t="shared" si="17"/>
        <v>-3300</v>
      </c>
      <c r="L68" s="150">
        <f t="shared" si="17"/>
        <v>-3300</v>
      </c>
      <c r="M68" s="150">
        <f t="shared" si="17"/>
        <v>-3300</v>
      </c>
      <c r="N68" s="150">
        <f t="shared" si="17"/>
        <v>-3300</v>
      </c>
      <c r="O68" s="150">
        <f t="shared" si="17"/>
        <v>-3300</v>
      </c>
      <c r="P68" s="150">
        <f t="shared" si="17"/>
        <v>-3300</v>
      </c>
      <c r="Q68" s="150">
        <f t="shared" si="17"/>
        <v>-3300</v>
      </c>
      <c r="R68" s="150">
        <f t="shared" si="17"/>
        <v>-3300</v>
      </c>
      <c r="S68" s="150">
        <f t="shared" si="17"/>
        <v>0</v>
      </c>
      <c r="T68" s="150">
        <f t="shared" si="17"/>
        <v>0</v>
      </c>
      <c r="U68" s="150">
        <f t="shared" si="17"/>
        <v>0</v>
      </c>
    </row>
    <row r="69" spans="1:22" x14ac:dyDescent="0.3">
      <c r="B69" s="357" t="s">
        <v>37</v>
      </c>
      <c r="C69" s="357"/>
      <c r="D69" s="357"/>
      <c r="E69" s="357"/>
      <c r="F69" s="357"/>
      <c r="G69" s="150">
        <f>G11</f>
        <v>31047</v>
      </c>
      <c r="H69" s="150">
        <f t="shared" ref="H69:U69" si="18">H11</f>
        <v>31047</v>
      </c>
      <c r="I69" s="150">
        <f t="shared" si="18"/>
        <v>48839</v>
      </c>
      <c r="J69" s="150">
        <f t="shared" si="18"/>
        <v>52523</v>
      </c>
      <c r="K69" s="150">
        <f t="shared" si="18"/>
        <v>53570</v>
      </c>
      <c r="L69" s="150">
        <f t="shared" si="18"/>
        <v>55538</v>
      </c>
      <c r="M69" s="150">
        <f t="shared" si="18"/>
        <v>62721</v>
      </c>
      <c r="N69" s="150">
        <f t="shared" si="18"/>
        <v>62690</v>
      </c>
      <c r="O69" s="150">
        <f t="shared" si="18"/>
        <v>61702</v>
      </c>
      <c r="P69" s="150">
        <f t="shared" si="18"/>
        <v>54136</v>
      </c>
      <c r="Q69" s="150">
        <f t="shared" si="18"/>
        <v>54039</v>
      </c>
      <c r="R69" s="150">
        <f t="shared" si="18"/>
        <v>54409</v>
      </c>
      <c r="S69" s="150">
        <f t="shared" si="18"/>
        <v>46838</v>
      </c>
      <c r="T69" s="150">
        <f t="shared" si="18"/>
        <v>46800</v>
      </c>
      <c r="U69" s="150">
        <f t="shared" si="18"/>
        <v>54933</v>
      </c>
    </row>
    <row r="70" spans="1:22" x14ac:dyDescent="0.3">
      <c r="B70" s="357" t="s">
        <v>38</v>
      </c>
      <c r="C70" s="357"/>
      <c r="D70" s="357"/>
      <c r="E70" s="357"/>
      <c r="F70" s="357"/>
      <c r="G70" s="375">
        <f>G36</f>
        <v>-250</v>
      </c>
      <c r="H70" s="375">
        <f t="shared" ref="H70:U70" si="19">H36</f>
        <v>-250</v>
      </c>
      <c r="I70" s="375">
        <f t="shared" si="19"/>
        <v>-250</v>
      </c>
      <c r="J70" s="375">
        <f t="shared" si="19"/>
        <v>-250</v>
      </c>
      <c r="K70" s="375">
        <f t="shared" si="19"/>
        <v>-250</v>
      </c>
      <c r="L70" s="375">
        <f t="shared" si="19"/>
        <v>-250</v>
      </c>
      <c r="M70" s="375">
        <f t="shared" si="19"/>
        <v>-250</v>
      </c>
      <c r="N70" s="375">
        <f t="shared" si="19"/>
        <v>-250</v>
      </c>
      <c r="O70" s="375">
        <f t="shared" si="19"/>
        <v>-250</v>
      </c>
      <c r="P70" s="375">
        <f t="shared" si="19"/>
        <v>-250</v>
      </c>
      <c r="Q70" s="375">
        <f t="shared" si="19"/>
        <v>-250</v>
      </c>
      <c r="R70" s="375">
        <f t="shared" si="19"/>
        <v>-250</v>
      </c>
      <c r="S70" s="375">
        <f t="shared" si="19"/>
        <v>-250</v>
      </c>
      <c r="T70" s="375">
        <f t="shared" si="19"/>
        <v>-250</v>
      </c>
      <c r="U70" s="375">
        <f t="shared" si="19"/>
        <v>-250</v>
      </c>
    </row>
    <row r="71" spans="1:22" x14ac:dyDescent="0.3">
      <c r="B71" s="357" t="s">
        <v>163</v>
      </c>
      <c r="C71" s="357"/>
      <c r="D71" s="357"/>
      <c r="E71" s="357"/>
      <c r="F71" s="357"/>
      <c r="G71" s="150">
        <f>SUM(G67:G70)</f>
        <v>27497</v>
      </c>
      <c r="H71" s="150">
        <f t="shared" ref="H71:U71" si="20">SUM(H67:H70)</f>
        <v>27497</v>
      </c>
      <c r="I71" s="150">
        <f t="shared" si="20"/>
        <v>45289</v>
      </c>
      <c r="J71" s="150">
        <f t="shared" si="20"/>
        <v>48973</v>
      </c>
      <c r="K71" s="150">
        <f t="shared" si="20"/>
        <v>50020</v>
      </c>
      <c r="L71" s="150">
        <f t="shared" si="20"/>
        <v>51988</v>
      </c>
      <c r="M71" s="150">
        <f t="shared" si="20"/>
        <v>59171</v>
      </c>
      <c r="N71" s="150">
        <f t="shared" si="20"/>
        <v>59140</v>
      </c>
      <c r="O71" s="150">
        <f t="shared" si="20"/>
        <v>58152</v>
      </c>
      <c r="P71" s="150">
        <f t="shared" si="20"/>
        <v>50586</v>
      </c>
      <c r="Q71" s="150">
        <f t="shared" si="20"/>
        <v>50489</v>
      </c>
      <c r="R71" s="150">
        <f t="shared" si="20"/>
        <v>50859</v>
      </c>
      <c r="S71" s="150">
        <f t="shared" si="20"/>
        <v>46588</v>
      </c>
      <c r="T71" s="150">
        <f t="shared" si="20"/>
        <v>46550</v>
      </c>
      <c r="U71" s="150">
        <f t="shared" si="20"/>
        <v>54683</v>
      </c>
    </row>
    <row r="72" spans="1:22" x14ac:dyDescent="0.3">
      <c r="B72" s="357" t="s">
        <v>146</v>
      </c>
      <c r="C72" s="357"/>
      <c r="D72" s="357"/>
      <c r="E72" s="357"/>
      <c r="F72" s="357"/>
      <c r="G72" s="150">
        <f>G37</f>
        <v>-3870</v>
      </c>
      <c r="H72" s="150">
        <f t="shared" ref="H72:U72" si="21">H37</f>
        <v>-3705</v>
      </c>
      <c r="I72" s="150">
        <f t="shared" si="21"/>
        <v>-3540</v>
      </c>
      <c r="J72" s="150">
        <f t="shared" si="21"/>
        <v>-3375</v>
      </c>
      <c r="K72" s="150">
        <f t="shared" si="21"/>
        <v>-3210</v>
      </c>
      <c r="L72" s="150">
        <f t="shared" si="21"/>
        <v>-3045</v>
      </c>
      <c r="M72" s="150">
        <f t="shared" si="21"/>
        <v>-2880</v>
      </c>
      <c r="N72" s="150">
        <f t="shared" si="21"/>
        <v>-2715</v>
      </c>
      <c r="O72" s="150">
        <f t="shared" si="21"/>
        <v>-2550</v>
      </c>
      <c r="P72" s="150">
        <f t="shared" si="21"/>
        <v>-2385</v>
      </c>
      <c r="Q72" s="150">
        <f t="shared" si="21"/>
        <v>-2220</v>
      </c>
      <c r="R72" s="150">
        <f t="shared" si="21"/>
        <v>-2055</v>
      </c>
      <c r="S72" s="150">
        <f t="shared" si="21"/>
        <v>-1890</v>
      </c>
      <c r="T72" s="150">
        <f t="shared" si="21"/>
        <v>-1725</v>
      </c>
      <c r="U72" s="150">
        <f t="shared" si="21"/>
        <v>-1560</v>
      </c>
    </row>
    <row r="73" spans="1:22" x14ac:dyDescent="0.3">
      <c r="B73" s="390" t="s">
        <v>147</v>
      </c>
      <c r="C73" s="390"/>
      <c r="D73" s="390"/>
      <c r="E73" s="390"/>
      <c r="F73" s="390"/>
      <c r="G73" s="401">
        <f>'IS 2026'!F82</f>
        <v>-2758.4</v>
      </c>
      <c r="H73" s="401">
        <f>'IS 2026'!G82</f>
        <v>-2758.4</v>
      </c>
      <c r="I73" s="401">
        <f>'IS 2026'!H82</f>
        <v>-6316.8</v>
      </c>
      <c r="J73" s="401">
        <f>'IS 2026'!I82</f>
        <v>-7084.6</v>
      </c>
      <c r="K73" s="401">
        <f>'IS 2026'!J82</f>
        <v>-7294</v>
      </c>
      <c r="L73" s="401">
        <f>'IS 2026'!K82</f>
        <v>-7687.6</v>
      </c>
      <c r="M73" s="401">
        <f>'IS 2026'!L82</f>
        <v>-9124.2000000000007</v>
      </c>
      <c r="N73" s="401">
        <f>'IS 2026'!M82</f>
        <v>-9118</v>
      </c>
      <c r="O73" s="401">
        <f>'IS 2026'!N82</f>
        <v>-8920.4</v>
      </c>
      <c r="P73" s="401">
        <f>'IS 2026'!O82</f>
        <v>-7407.2000000000007</v>
      </c>
      <c r="Q73" s="401">
        <f>'IS 2026'!P82</f>
        <v>-7387.8</v>
      </c>
      <c r="R73" s="401">
        <f>'IS 2026'!Q82</f>
        <v>-7461.8</v>
      </c>
      <c r="S73" s="401">
        <f>'IS 2026'!R82</f>
        <v>-3339.4</v>
      </c>
      <c r="T73" s="401">
        <f>'IS 2026'!S82</f>
        <v>-3339.4</v>
      </c>
      <c r="U73" s="401">
        <f>'IS 2026'!T82</f>
        <v>-6897.8</v>
      </c>
    </row>
    <row r="74" spans="1:22" x14ac:dyDescent="0.3">
      <c r="B74" s="357" t="s">
        <v>161</v>
      </c>
      <c r="C74" s="357"/>
      <c r="D74" s="357"/>
      <c r="E74" s="357"/>
      <c r="F74" s="357"/>
      <c r="G74" s="150">
        <f>SUM(G71:G73)</f>
        <v>20868.599999999999</v>
      </c>
      <c r="H74" s="150">
        <f>SUM(H71:H73)</f>
        <v>21033.599999999999</v>
      </c>
      <c r="I74" s="150">
        <f t="shared" ref="I74:U74" si="22">SUM(I71:I73)</f>
        <v>35432.199999999997</v>
      </c>
      <c r="J74" s="150">
        <f t="shared" si="22"/>
        <v>38513.4</v>
      </c>
      <c r="K74" s="150">
        <f t="shared" si="22"/>
        <v>39516</v>
      </c>
      <c r="L74" s="150">
        <f t="shared" si="22"/>
        <v>41255.4</v>
      </c>
      <c r="M74" s="150">
        <f t="shared" si="22"/>
        <v>47166.8</v>
      </c>
      <c r="N74" s="150">
        <f t="shared" si="22"/>
        <v>47307</v>
      </c>
      <c r="O74" s="150">
        <f t="shared" si="22"/>
        <v>46681.599999999999</v>
      </c>
      <c r="P74" s="150">
        <f t="shared" si="22"/>
        <v>40793.800000000003</v>
      </c>
      <c r="Q74" s="150">
        <f t="shared" si="22"/>
        <v>40881.199999999997</v>
      </c>
      <c r="R74" s="150">
        <f t="shared" si="22"/>
        <v>41342.199999999997</v>
      </c>
      <c r="S74" s="150">
        <f t="shared" si="22"/>
        <v>41358.6</v>
      </c>
      <c r="T74" s="150">
        <f t="shared" si="22"/>
        <v>41485.599999999999</v>
      </c>
      <c r="U74" s="150">
        <f t="shared" si="22"/>
        <v>46225.2</v>
      </c>
    </row>
    <row r="75" spans="1:22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2" x14ac:dyDescent="0.3">
      <c r="A76" s="147"/>
      <c r="B76" s="173" t="s">
        <v>164</v>
      </c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</row>
    <row r="77" spans="1:22" s="9" customFormat="1" x14ac:dyDescent="0.3">
      <c r="A77" s="344"/>
      <c r="B77" s="345"/>
      <c r="C77" s="344"/>
      <c r="D77" s="344"/>
      <c r="E77" s="344"/>
      <c r="F77" s="344"/>
      <c r="G77" s="344"/>
      <c r="H77" s="344"/>
      <c r="I77" s="344"/>
      <c r="J77" s="344"/>
      <c r="K77" s="344"/>
      <c r="L77" s="344"/>
      <c r="M77" s="344"/>
      <c r="N77" s="344"/>
      <c r="O77" s="344"/>
      <c r="P77" s="344"/>
      <c r="Q77" s="344"/>
      <c r="R77" s="344"/>
      <c r="S77" s="344"/>
      <c r="T77" s="344"/>
      <c r="U77" s="344"/>
      <c r="V77" s="344"/>
    </row>
    <row r="78" spans="1:22" x14ac:dyDescent="0.3">
      <c r="B78" s="340" t="s">
        <v>165</v>
      </c>
      <c r="C78" s="340"/>
      <c r="D78" s="340"/>
      <c r="E78" s="340"/>
      <c r="F78" s="340"/>
      <c r="G78" s="209">
        <f>SUM(G42+G47)</f>
        <v>24168.6</v>
      </c>
      <c r="H78" s="209">
        <f t="shared" ref="H78:U78" si="23">SUM(H42+H47)</f>
        <v>24333.599999999999</v>
      </c>
      <c r="I78" s="209">
        <f t="shared" si="23"/>
        <v>38732.199999999997</v>
      </c>
      <c r="J78" s="209">
        <f t="shared" si="23"/>
        <v>41813.4</v>
      </c>
      <c r="K78" s="209">
        <f t="shared" si="23"/>
        <v>42816</v>
      </c>
      <c r="L78" s="209">
        <f t="shared" si="23"/>
        <v>44555.4</v>
      </c>
      <c r="M78" s="209">
        <f t="shared" si="23"/>
        <v>50466.8</v>
      </c>
      <c r="N78" s="209">
        <f t="shared" si="23"/>
        <v>50607</v>
      </c>
      <c r="O78" s="209">
        <f t="shared" si="23"/>
        <v>49981.599999999999</v>
      </c>
      <c r="P78" s="209">
        <f t="shared" si="23"/>
        <v>44093.8</v>
      </c>
      <c r="Q78" s="209">
        <f t="shared" si="23"/>
        <v>44181.2</v>
      </c>
      <c r="R78" s="209">
        <f t="shared" si="23"/>
        <v>44642.2</v>
      </c>
      <c r="S78" s="209">
        <f t="shared" si="23"/>
        <v>24137.599999999999</v>
      </c>
      <c r="T78" s="209">
        <f t="shared" si="23"/>
        <v>24302.6</v>
      </c>
      <c r="U78" s="209">
        <f t="shared" si="23"/>
        <v>38701.199999999997</v>
      </c>
      <c r="V78" s="209">
        <f>SUM(G78:R78)</f>
        <v>500391.8</v>
      </c>
    </row>
    <row r="79" spans="1:22" x14ac:dyDescent="0.3">
      <c r="B79" s="340" t="s">
        <v>166</v>
      </c>
      <c r="C79" s="340"/>
      <c r="D79" s="340"/>
      <c r="E79" s="340"/>
      <c r="F79" s="340"/>
      <c r="G79" s="209">
        <f>G74</f>
        <v>20868.599999999999</v>
      </c>
      <c r="H79" s="209">
        <f t="shared" ref="H79:U79" si="24">H74</f>
        <v>21033.599999999999</v>
      </c>
      <c r="I79" s="209">
        <f t="shared" si="24"/>
        <v>35432.199999999997</v>
      </c>
      <c r="J79" s="209">
        <f t="shared" si="24"/>
        <v>38513.4</v>
      </c>
      <c r="K79" s="209">
        <f t="shared" si="24"/>
        <v>39516</v>
      </c>
      <c r="L79" s="209">
        <f t="shared" si="24"/>
        <v>41255.4</v>
      </c>
      <c r="M79" s="209">
        <f t="shared" si="24"/>
        <v>47166.8</v>
      </c>
      <c r="N79" s="209">
        <f t="shared" si="24"/>
        <v>47307</v>
      </c>
      <c r="O79" s="209">
        <f t="shared" si="24"/>
        <v>46681.599999999999</v>
      </c>
      <c r="P79" s="209">
        <f t="shared" si="24"/>
        <v>40793.800000000003</v>
      </c>
      <c r="Q79" s="209">
        <f t="shared" si="24"/>
        <v>40881.199999999997</v>
      </c>
      <c r="R79" s="209">
        <f t="shared" si="24"/>
        <v>41342.199999999997</v>
      </c>
      <c r="S79" s="209">
        <f t="shared" si="24"/>
        <v>41358.6</v>
      </c>
      <c r="T79" s="209">
        <f t="shared" si="24"/>
        <v>41485.599999999999</v>
      </c>
      <c r="U79" s="209">
        <f t="shared" si="24"/>
        <v>46225.2</v>
      </c>
      <c r="V79" s="209">
        <f>SUM(G79:R79)</f>
        <v>460791.8</v>
      </c>
    </row>
    <row r="80" spans="1:22" x14ac:dyDescent="0.3">
      <c r="B80" s="340" t="s">
        <v>167</v>
      </c>
      <c r="C80" s="340"/>
      <c r="D80" s="340"/>
      <c r="E80" s="340"/>
      <c r="F80" s="340"/>
      <c r="G80" s="209">
        <f>G74</f>
        <v>20868.599999999999</v>
      </c>
      <c r="H80" s="209">
        <f t="shared" ref="H80:T80" si="25">H74</f>
        <v>21033.599999999999</v>
      </c>
      <c r="I80" s="209">
        <f t="shared" si="25"/>
        <v>35432.199999999997</v>
      </c>
      <c r="J80" s="209">
        <f t="shared" si="25"/>
        <v>38513.4</v>
      </c>
      <c r="K80" s="209">
        <f t="shared" si="25"/>
        <v>39516</v>
      </c>
      <c r="L80" s="209">
        <f t="shared" si="25"/>
        <v>41255.4</v>
      </c>
      <c r="M80" s="209">
        <f t="shared" si="25"/>
        <v>47166.8</v>
      </c>
      <c r="N80" s="209">
        <f t="shared" si="25"/>
        <v>47307</v>
      </c>
      <c r="O80" s="209">
        <f t="shared" si="25"/>
        <v>46681.599999999999</v>
      </c>
      <c r="P80" s="209">
        <f t="shared" si="25"/>
        <v>40793.800000000003</v>
      </c>
      <c r="Q80" s="209">
        <f t="shared" si="25"/>
        <v>40881.199999999997</v>
      </c>
      <c r="R80" s="209">
        <f t="shared" si="25"/>
        <v>41342.199999999997</v>
      </c>
      <c r="S80" s="209">
        <f t="shared" si="25"/>
        <v>41358.6</v>
      </c>
      <c r="T80" s="209">
        <f t="shared" si="25"/>
        <v>41485.599999999999</v>
      </c>
      <c r="U80" s="209">
        <f>U74</f>
        <v>46225.2</v>
      </c>
    </row>
    <row r="81" spans="2:21" x14ac:dyDescent="0.3">
      <c r="B81" s="340" t="s">
        <v>159</v>
      </c>
      <c r="C81" s="340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  <c r="U81" s="340"/>
    </row>
    <row r="82" spans="2:21" x14ac:dyDescent="0.3">
      <c r="B82" s="340" t="s">
        <v>161</v>
      </c>
      <c r="C82" s="340"/>
      <c r="D82" s="340"/>
      <c r="E82" s="340"/>
      <c r="F82" s="340"/>
      <c r="G82" s="209">
        <f>G74</f>
        <v>20868.599999999999</v>
      </c>
      <c r="H82" s="209">
        <f t="shared" ref="H82:U82" si="26">H74</f>
        <v>21033.599999999999</v>
      </c>
      <c r="I82" s="209">
        <f t="shared" si="26"/>
        <v>35432.199999999997</v>
      </c>
      <c r="J82" s="209">
        <f t="shared" si="26"/>
        <v>38513.4</v>
      </c>
      <c r="K82" s="209">
        <f t="shared" si="26"/>
        <v>39516</v>
      </c>
      <c r="L82" s="209">
        <f t="shared" si="26"/>
        <v>41255.4</v>
      </c>
      <c r="M82" s="209">
        <f t="shared" si="26"/>
        <v>47166.8</v>
      </c>
      <c r="N82" s="209">
        <f t="shared" si="26"/>
        <v>47307</v>
      </c>
      <c r="O82" s="209">
        <f t="shared" si="26"/>
        <v>46681.599999999999</v>
      </c>
      <c r="P82" s="209">
        <f t="shared" si="26"/>
        <v>40793.800000000003</v>
      </c>
      <c r="Q82" s="209">
        <f t="shared" si="26"/>
        <v>40881.199999999997</v>
      </c>
      <c r="R82" s="209">
        <f t="shared" si="26"/>
        <v>41342.199999999997</v>
      </c>
      <c r="S82" s="209">
        <f t="shared" si="26"/>
        <v>41358.6</v>
      </c>
      <c r="T82" s="209">
        <f t="shared" si="26"/>
        <v>41485.599999999999</v>
      </c>
      <c r="U82" s="209">
        <f t="shared" si="26"/>
        <v>46225.2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84A24-3A83-4632-9DE4-F4465BA5D8E1}">
  <sheetPr codeName="Sheet31"/>
  <dimension ref="A1:Y620"/>
  <sheetViews>
    <sheetView showGridLines="0" topLeftCell="A10" workbookViewId="0">
      <selection activeCell="Q27" sqref="Q27:S27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25" bestFit="1" customWidth="1"/>
    <col min="7" max="7" width="9.88671875" bestFit="1" customWidth="1"/>
    <col min="8" max="8" width="10.21875" customWidth="1"/>
    <col min="9" max="9" width="10.44140625" customWidth="1"/>
    <col min="10" max="10" width="9.6640625" customWidth="1"/>
    <col min="11" max="11" width="10" customWidth="1"/>
    <col min="12" max="12" width="9.88671875" customWidth="1"/>
    <col min="13" max="14" width="10" customWidth="1"/>
    <col min="15" max="15" width="10.109375" customWidth="1"/>
    <col min="16" max="16" width="9.77734375" customWidth="1"/>
    <col min="17" max="17" width="10.44140625" customWidth="1"/>
    <col min="18" max="18" width="9.88671875" bestFit="1" customWidth="1"/>
    <col min="19" max="19" width="10" customWidth="1"/>
    <col min="20" max="20" width="9.88671875" customWidth="1"/>
    <col min="21" max="21" width="11.218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169</v>
      </c>
      <c r="F2"/>
    </row>
    <row r="3" spans="1:25" x14ac:dyDescent="0.3">
      <c r="B3" t="s">
        <v>140</v>
      </c>
      <c r="F3"/>
    </row>
    <row r="4" spans="1:25" x14ac:dyDescent="0.3">
      <c r="F4"/>
    </row>
    <row r="5" spans="1:25" x14ac:dyDescent="0.3">
      <c r="A5" s="147"/>
      <c r="B5" s="173" t="s">
        <v>170</v>
      </c>
      <c r="C5" s="147"/>
      <c r="D5" s="147"/>
      <c r="E5" s="147"/>
      <c r="F5" s="196">
        <v>2026</v>
      </c>
      <c r="G5" s="196">
        <v>2026</v>
      </c>
      <c r="H5" s="196">
        <v>2026</v>
      </c>
      <c r="I5" s="196">
        <v>2026</v>
      </c>
      <c r="J5" s="196">
        <v>2026</v>
      </c>
      <c r="K5" s="196">
        <v>2026</v>
      </c>
      <c r="L5" s="196">
        <v>2026</v>
      </c>
      <c r="M5" s="196">
        <v>2026</v>
      </c>
      <c r="N5" s="196">
        <v>2026</v>
      </c>
      <c r="O5" s="196">
        <v>2026</v>
      </c>
      <c r="P5" s="196">
        <v>2026</v>
      </c>
      <c r="Q5" s="196">
        <v>2026</v>
      </c>
      <c r="R5" s="196">
        <v>2027</v>
      </c>
      <c r="S5" s="196">
        <v>2027</v>
      </c>
      <c r="T5" s="196">
        <v>2027</v>
      </c>
      <c r="U5" s="147"/>
    </row>
    <row r="6" spans="1:25" ht="15" thickBot="1" x14ac:dyDescent="0.35">
      <c r="A6" s="158"/>
      <c r="B6" s="159" t="s">
        <v>64</v>
      </c>
      <c r="C6" s="148"/>
      <c r="D6" s="148"/>
      <c r="E6" s="148"/>
      <c r="F6" s="195" t="s">
        <v>25</v>
      </c>
      <c r="G6" s="195" t="s">
        <v>26</v>
      </c>
      <c r="H6" s="195" t="s">
        <v>27</v>
      </c>
      <c r="I6" s="195" t="s">
        <v>28</v>
      </c>
      <c r="J6" s="195" t="s">
        <v>29</v>
      </c>
      <c r="K6" s="195" t="s">
        <v>30</v>
      </c>
      <c r="L6" s="195" t="s">
        <v>31</v>
      </c>
      <c r="M6" s="195" t="s">
        <v>32</v>
      </c>
      <c r="N6" s="195" t="s">
        <v>33</v>
      </c>
      <c r="O6" s="195" t="s">
        <v>34</v>
      </c>
      <c r="P6" s="195" t="s">
        <v>35</v>
      </c>
      <c r="Q6" s="195" t="s">
        <v>36</v>
      </c>
      <c r="R6" s="195" t="s">
        <v>25</v>
      </c>
      <c r="S6" s="195" t="s">
        <v>26</v>
      </c>
      <c r="T6" s="195" t="s">
        <v>27</v>
      </c>
      <c r="U6" s="192" t="s">
        <v>72</v>
      </c>
    </row>
    <row r="7" spans="1:25" s="124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68" t="s">
        <v>171</v>
      </c>
      <c r="F8"/>
    </row>
    <row r="9" spans="1:25" x14ac:dyDescent="0.3">
      <c r="C9" s="169"/>
      <c r="F9"/>
    </row>
    <row r="10" spans="1:25" x14ac:dyDescent="0.3">
      <c r="C10" s="168" t="s">
        <v>48</v>
      </c>
      <c r="F10"/>
      <c r="G10" s="170"/>
      <c r="H10" s="170"/>
      <c r="I10" s="170"/>
      <c r="J10" s="170"/>
      <c r="K10" s="170"/>
      <c r="L10" s="169"/>
      <c r="M10" s="170"/>
      <c r="N10" s="170"/>
      <c r="O10" s="170"/>
      <c r="P10" s="170"/>
      <c r="Q10" s="170"/>
      <c r="R10" s="170"/>
      <c r="S10" s="170"/>
      <c r="T10" s="170"/>
      <c r="V10" s="1"/>
    </row>
    <row r="11" spans="1:25" x14ac:dyDescent="0.3">
      <c r="C11" s="169" t="s">
        <v>172</v>
      </c>
      <c r="F11" s="170">
        <f>'BS 2025'!Q14+'CF 2026'!G63</f>
        <v>871051.40000000014</v>
      </c>
      <c r="G11" s="170">
        <f>F14+'CF 2026'!H63</f>
        <v>892085.00000000012</v>
      </c>
      <c r="H11" s="170">
        <f>G14+'CF 2026'!I63</f>
        <v>927517.20000000007</v>
      </c>
      <c r="I11" s="170">
        <f>H14+'CF 2026'!J63</f>
        <v>966030.60000000009</v>
      </c>
      <c r="J11" s="170">
        <f>I14+'CF 2026'!K63</f>
        <v>1005546.6000000001</v>
      </c>
      <c r="K11" s="170">
        <f>J14+'CF 2026'!L63</f>
        <v>1046802.0000000001</v>
      </c>
      <c r="L11" s="170">
        <f>K14+'CF 2026'!M63</f>
        <v>1093968.8</v>
      </c>
      <c r="M11" s="170">
        <f>L14+'CF 2026'!N63</f>
        <v>1141275.8</v>
      </c>
      <c r="N11" s="170">
        <f>M14+'CF 2026'!O63</f>
        <v>1187957.4000000001</v>
      </c>
      <c r="O11" s="170">
        <f>N14+'CF 2026'!P63</f>
        <v>1228751.2000000002</v>
      </c>
      <c r="P11" s="170">
        <f>O14+'CF 2026'!Q63</f>
        <v>1269632.4000000001</v>
      </c>
      <c r="Q11" s="170">
        <f>P14+'CF 2026'!R63</f>
        <v>1310974.6000000001</v>
      </c>
      <c r="R11" s="170">
        <f>'BS 2027'!F11</f>
        <v>1335112.2000000002</v>
      </c>
      <c r="S11" s="170">
        <f>'BS 2027'!G11</f>
        <v>1359414.8000000003</v>
      </c>
      <c r="T11" s="170">
        <f>'BS 2027'!H11</f>
        <v>1398116.0000000002</v>
      </c>
      <c r="V11" s="1"/>
    </row>
    <row r="12" spans="1:25" x14ac:dyDescent="0.3">
      <c r="C12" s="169" t="s">
        <v>173</v>
      </c>
      <c r="F12" s="170"/>
      <c r="G12" s="169"/>
      <c r="H12" s="169"/>
      <c r="I12" s="169" t="s">
        <v>190</v>
      </c>
      <c r="J12" s="169"/>
      <c r="K12" s="169" t="s">
        <v>190</v>
      </c>
      <c r="L12" s="169"/>
      <c r="M12" s="169"/>
      <c r="N12" s="169"/>
      <c r="O12" s="169"/>
      <c r="P12" s="169"/>
      <c r="Q12" s="169"/>
      <c r="R12" s="169"/>
      <c r="S12" s="169" t="s">
        <v>190</v>
      </c>
      <c r="T12" s="169" t="s">
        <v>190</v>
      </c>
      <c r="V12" s="1"/>
    </row>
    <row r="13" spans="1:25" x14ac:dyDescent="0.3">
      <c r="C13" s="169" t="s">
        <v>174</v>
      </c>
      <c r="F13"/>
      <c r="I13" s="170"/>
      <c r="K13" s="170"/>
      <c r="S13" s="170"/>
      <c r="T13" s="170"/>
      <c r="V13" s="1"/>
    </row>
    <row r="14" spans="1:25" x14ac:dyDescent="0.3">
      <c r="C14" s="169" t="s">
        <v>175</v>
      </c>
      <c r="F14" s="170">
        <f>SUM(F11:F13)</f>
        <v>871051.40000000014</v>
      </c>
      <c r="G14" s="170">
        <f t="shared" ref="G14:Q14" si="0">SUM(G11:G13)</f>
        <v>892085.00000000012</v>
      </c>
      <c r="H14" s="170">
        <f t="shared" si="0"/>
        <v>927517.20000000007</v>
      </c>
      <c r="I14" s="170">
        <f t="shared" si="0"/>
        <v>966030.60000000009</v>
      </c>
      <c r="J14" s="170">
        <f t="shared" si="0"/>
        <v>1005546.6000000001</v>
      </c>
      <c r="K14" s="170">
        <f t="shared" si="0"/>
        <v>1046802.0000000001</v>
      </c>
      <c r="L14" s="170">
        <f t="shared" si="0"/>
        <v>1093968.8</v>
      </c>
      <c r="M14" s="170">
        <f t="shared" si="0"/>
        <v>1141275.8</v>
      </c>
      <c r="N14" s="170">
        <f t="shared" si="0"/>
        <v>1187957.4000000001</v>
      </c>
      <c r="O14" s="170">
        <f t="shared" si="0"/>
        <v>1228751.2000000002</v>
      </c>
      <c r="P14" s="170">
        <f t="shared" si="0"/>
        <v>1269632.4000000001</v>
      </c>
      <c r="Q14" s="170">
        <f t="shared" si="0"/>
        <v>1310974.6000000001</v>
      </c>
      <c r="R14" s="170">
        <f t="shared" ref="R14" si="1">SUM(R11:R13)</f>
        <v>1335112.2000000002</v>
      </c>
      <c r="S14" s="170">
        <f t="shared" ref="S14" si="2">SUM(S11:S13)</f>
        <v>1359414.8000000003</v>
      </c>
      <c r="T14" s="170">
        <f t="shared" ref="T14" si="3">SUM(T11:T13)</f>
        <v>1398116.0000000002</v>
      </c>
      <c r="U14" s="1">
        <f>SUM(F14:Q14)</f>
        <v>12941593</v>
      </c>
      <c r="V14" s="1"/>
    </row>
    <row r="15" spans="1:25" x14ac:dyDescent="0.3">
      <c r="C15" s="168" t="s">
        <v>49</v>
      </c>
      <c r="F15"/>
      <c r="G15" s="169"/>
      <c r="H15" s="169"/>
      <c r="I15" s="169"/>
      <c r="J15" s="172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V15" s="1"/>
    </row>
    <row r="16" spans="1:25" x14ac:dyDescent="0.3">
      <c r="C16" s="171" t="s">
        <v>176</v>
      </c>
      <c r="F16" s="170">
        <f>'BS 2025'!Q16-'IS 2026'!F78</f>
        <v>211392</v>
      </c>
      <c r="G16" s="170">
        <f>F16-'IS 2026'!G78</f>
        <v>213303</v>
      </c>
      <c r="H16" s="170">
        <f>G16-'IS 2026'!H78</f>
        <v>215214</v>
      </c>
      <c r="I16" s="170">
        <f>H16-'IS 2026'!I78</f>
        <v>216970</v>
      </c>
      <c r="J16" s="170">
        <f>I16-'IS 2026'!J78</f>
        <v>218726</v>
      </c>
      <c r="K16" s="170">
        <f>J16-'IS 2026'!K78</f>
        <v>220482</v>
      </c>
      <c r="L16" s="170">
        <f>K16-'IS 2026'!L78</f>
        <v>222238</v>
      </c>
      <c r="M16" s="170">
        <f>L16-'IS 2026'!M78</f>
        <v>223994</v>
      </c>
      <c r="N16" s="170">
        <f>M16-'IS 2026'!N78</f>
        <v>225750</v>
      </c>
      <c r="O16" s="170">
        <f>N16-'IS 2026'!O78</f>
        <v>227506</v>
      </c>
      <c r="P16" s="170">
        <f>O16-'IS 2026'!P78</f>
        <v>229262</v>
      </c>
      <c r="Q16" s="170">
        <f>P16-'IS 2026'!Q78</f>
        <v>231018</v>
      </c>
      <c r="R16" s="170">
        <f>'BS 2027'!F16</f>
        <v>232774</v>
      </c>
      <c r="S16" s="177">
        <f>R16-'IS 2025'!G77</f>
        <v>234624</v>
      </c>
      <c r="T16" s="177">
        <f>S16-'IS 2025'!H77</f>
        <v>236474</v>
      </c>
      <c r="V16" s="1"/>
    </row>
    <row r="17" spans="1:22" x14ac:dyDescent="0.3">
      <c r="C17" s="171" t="s">
        <v>177</v>
      </c>
      <c r="F17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V17" s="1"/>
    </row>
    <row r="18" spans="1:22" x14ac:dyDescent="0.3">
      <c r="C18" s="171" t="s">
        <v>178</v>
      </c>
      <c r="F18" s="177">
        <f>SUM(F16:F17)</f>
        <v>211392</v>
      </c>
      <c r="G18" s="177">
        <f t="shared" ref="G18:T19" si="4">SUM(G16:G17)</f>
        <v>213303</v>
      </c>
      <c r="H18" s="177">
        <f t="shared" si="4"/>
        <v>215214</v>
      </c>
      <c r="I18" s="177">
        <f t="shared" si="4"/>
        <v>216970</v>
      </c>
      <c r="J18" s="177">
        <f t="shared" si="4"/>
        <v>218726</v>
      </c>
      <c r="K18" s="177">
        <f t="shared" si="4"/>
        <v>220482</v>
      </c>
      <c r="L18" s="177">
        <f t="shared" si="4"/>
        <v>222238</v>
      </c>
      <c r="M18" s="177">
        <f t="shared" si="4"/>
        <v>223994</v>
      </c>
      <c r="N18" s="177">
        <f t="shared" si="4"/>
        <v>225750</v>
      </c>
      <c r="O18" s="177">
        <f t="shared" si="4"/>
        <v>227506</v>
      </c>
      <c r="P18" s="177">
        <f t="shared" si="4"/>
        <v>229262</v>
      </c>
      <c r="Q18" s="177">
        <f t="shared" si="4"/>
        <v>231018</v>
      </c>
      <c r="R18" s="177">
        <f t="shared" si="4"/>
        <v>232774</v>
      </c>
      <c r="S18" s="177">
        <f t="shared" si="4"/>
        <v>234624</v>
      </c>
      <c r="T18" s="177">
        <f t="shared" si="4"/>
        <v>236474</v>
      </c>
      <c r="V18" s="1"/>
    </row>
    <row r="19" spans="1:22" x14ac:dyDescent="0.3">
      <c r="A19" s="142"/>
      <c r="B19" s="147"/>
      <c r="C19" s="180" t="s">
        <v>179</v>
      </c>
      <c r="D19" s="147"/>
      <c r="E19" s="147"/>
      <c r="F19" s="181">
        <f>SUM(F17:F18)</f>
        <v>211392</v>
      </c>
      <c r="G19" s="181">
        <f t="shared" si="4"/>
        <v>213303</v>
      </c>
      <c r="H19" s="181">
        <f t="shared" si="4"/>
        <v>215214</v>
      </c>
      <c r="I19" s="181">
        <f t="shared" si="4"/>
        <v>216970</v>
      </c>
      <c r="J19" s="181">
        <f t="shared" si="4"/>
        <v>218726</v>
      </c>
      <c r="K19" s="181">
        <f t="shared" si="4"/>
        <v>220482</v>
      </c>
      <c r="L19" s="181">
        <f t="shared" si="4"/>
        <v>222238</v>
      </c>
      <c r="M19" s="181">
        <f t="shared" si="4"/>
        <v>223994</v>
      </c>
      <c r="N19" s="181">
        <f t="shared" si="4"/>
        <v>225750</v>
      </c>
      <c r="O19" s="181">
        <f t="shared" si="4"/>
        <v>227506</v>
      </c>
      <c r="P19" s="181">
        <f t="shared" si="4"/>
        <v>229262</v>
      </c>
      <c r="Q19" s="181">
        <f t="shared" si="4"/>
        <v>231018</v>
      </c>
      <c r="R19" s="181">
        <f t="shared" si="4"/>
        <v>232774</v>
      </c>
      <c r="S19" s="181">
        <f t="shared" si="4"/>
        <v>234624</v>
      </c>
      <c r="T19" s="181">
        <f t="shared" si="4"/>
        <v>236474</v>
      </c>
      <c r="U19" s="154">
        <f>SUM(F19:Q19)</f>
        <v>2655855</v>
      </c>
      <c r="V19" s="1"/>
    </row>
    <row r="20" spans="1:22" x14ac:dyDescent="0.3">
      <c r="A20" s="158"/>
      <c r="B20" s="148"/>
      <c r="C20" s="182" t="s">
        <v>50</v>
      </c>
      <c r="D20" s="148"/>
      <c r="E20" s="148"/>
      <c r="F20" s="183">
        <f>F14+F19</f>
        <v>1082443.4000000001</v>
      </c>
      <c r="G20" s="183">
        <f>G14+G19</f>
        <v>1105388</v>
      </c>
      <c r="H20" s="183">
        <f t="shared" ref="H20:T20" si="5">H14+H19</f>
        <v>1142731.2000000002</v>
      </c>
      <c r="I20" s="183">
        <f t="shared" si="5"/>
        <v>1183000.6000000001</v>
      </c>
      <c r="J20" s="183">
        <f t="shared" si="5"/>
        <v>1224272.6000000001</v>
      </c>
      <c r="K20" s="183">
        <f t="shared" si="5"/>
        <v>1267284</v>
      </c>
      <c r="L20" s="183">
        <f t="shared" si="5"/>
        <v>1316206.8</v>
      </c>
      <c r="M20" s="183">
        <f t="shared" si="5"/>
        <v>1365269.8</v>
      </c>
      <c r="N20" s="183">
        <f t="shared" si="5"/>
        <v>1413707.4000000001</v>
      </c>
      <c r="O20" s="183">
        <f t="shared" si="5"/>
        <v>1456257.2000000002</v>
      </c>
      <c r="P20" s="183">
        <f t="shared" si="5"/>
        <v>1498894.4000000001</v>
      </c>
      <c r="Q20" s="183">
        <f t="shared" si="5"/>
        <v>1541992.6</v>
      </c>
      <c r="R20" s="183">
        <f t="shared" si="5"/>
        <v>1567886.2000000002</v>
      </c>
      <c r="S20" s="183">
        <f t="shared" si="5"/>
        <v>1594038.8000000003</v>
      </c>
      <c r="T20" s="183">
        <f t="shared" si="5"/>
        <v>1634590.0000000002</v>
      </c>
      <c r="U20" s="149">
        <f>SUM(F20:Q20)</f>
        <v>15597448</v>
      </c>
      <c r="V20" s="1"/>
    </row>
    <row r="21" spans="1:22" x14ac:dyDescent="0.3">
      <c r="C21" s="179" t="s">
        <v>51</v>
      </c>
      <c r="F21"/>
      <c r="I21" s="172"/>
      <c r="K21" s="172"/>
      <c r="S21" s="172"/>
      <c r="T21" s="172"/>
      <c r="V21" s="1"/>
    </row>
    <row r="22" spans="1:22" x14ac:dyDescent="0.3">
      <c r="C22" s="171" t="s">
        <v>180</v>
      </c>
      <c r="F22" s="172"/>
      <c r="G22" s="172"/>
      <c r="Q22" s="172"/>
      <c r="V22" s="1"/>
    </row>
    <row r="23" spans="1:22" x14ac:dyDescent="0.3">
      <c r="C23" s="171" t="s">
        <v>181</v>
      </c>
      <c r="F23"/>
      <c r="H23" s="172"/>
      <c r="J23" s="172"/>
      <c r="V23" s="1"/>
    </row>
    <row r="24" spans="1:22" x14ac:dyDescent="0.3">
      <c r="C24" s="169" t="s">
        <v>182</v>
      </c>
      <c r="F24" s="209">
        <f>'CF 2026'!G73</f>
        <v>-2758.4</v>
      </c>
      <c r="G24" s="209">
        <f>'CF 2026'!H73</f>
        <v>-2758.4</v>
      </c>
      <c r="H24" s="209">
        <f>'CF 2026'!I73</f>
        <v>-6316.8</v>
      </c>
      <c r="I24" s="209">
        <f>'CF 2026'!J73</f>
        <v>-7084.6</v>
      </c>
      <c r="J24" s="209">
        <f>'CF 2026'!K73</f>
        <v>-7294</v>
      </c>
      <c r="K24" s="209">
        <f>'CF 2026'!L73</f>
        <v>-7687.6</v>
      </c>
      <c r="L24" s="209">
        <f>'CF 2026'!M73</f>
        <v>-9124.2000000000007</v>
      </c>
      <c r="M24" s="209">
        <f>'CF 2026'!N73</f>
        <v>-9118</v>
      </c>
      <c r="N24" s="209">
        <f>'CF 2026'!O73</f>
        <v>-8920.4</v>
      </c>
      <c r="O24" s="209">
        <f>'CF 2026'!P73</f>
        <v>-7407.2000000000007</v>
      </c>
      <c r="P24" s="209">
        <f>'CF 2026'!Q73</f>
        <v>-7387.8</v>
      </c>
      <c r="Q24" s="209">
        <f>'CF 2026'!R73</f>
        <v>-7461.8</v>
      </c>
      <c r="R24" s="209">
        <f>'CF 2026'!S73</f>
        <v>-3339.4</v>
      </c>
      <c r="S24" s="209">
        <f>'CF 2026'!T73</f>
        <v>-3339.4</v>
      </c>
      <c r="T24" s="209">
        <f>'CF 2026'!U73</f>
        <v>-6897.8</v>
      </c>
      <c r="V24" s="1"/>
    </row>
    <row r="25" spans="1:22" x14ac:dyDescent="0.3">
      <c r="A25" s="147"/>
      <c r="B25" s="147"/>
      <c r="C25" s="173" t="s">
        <v>183</v>
      </c>
      <c r="D25" s="147"/>
      <c r="E25" s="147"/>
      <c r="F25" s="154">
        <f>SUM(F22:F24)</f>
        <v>-2758.4</v>
      </c>
      <c r="G25" s="154">
        <f t="shared" ref="G25:T25" si="6">SUM(G22:G24)</f>
        <v>-2758.4</v>
      </c>
      <c r="H25" s="154">
        <f t="shared" si="6"/>
        <v>-6316.8</v>
      </c>
      <c r="I25" s="154">
        <f t="shared" si="6"/>
        <v>-7084.6</v>
      </c>
      <c r="J25" s="154">
        <f t="shared" si="6"/>
        <v>-7294</v>
      </c>
      <c r="K25" s="154">
        <f t="shared" si="6"/>
        <v>-7687.6</v>
      </c>
      <c r="L25" s="154">
        <f t="shared" si="6"/>
        <v>-9124.2000000000007</v>
      </c>
      <c r="M25" s="154">
        <f t="shared" si="6"/>
        <v>-9118</v>
      </c>
      <c r="N25" s="154">
        <f t="shared" si="6"/>
        <v>-8920.4</v>
      </c>
      <c r="O25" s="154">
        <f t="shared" si="6"/>
        <v>-7407.2000000000007</v>
      </c>
      <c r="P25" s="154">
        <f t="shared" si="6"/>
        <v>-7387.8</v>
      </c>
      <c r="Q25" s="154">
        <f t="shared" si="6"/>
        <v>-7461.8</v>
      </c>
      <c r="R25" s="154">
        <f t="shared" si="6"/>
        <v>-3339.4</v>
      </c>
      <c r="S25" s="154">
        <f t="shared" si="6"/>
        <v>-3339.4</v>
      </c>
      <c r="T25" s="154">
        <f t="shared" si="6"/>
        <v>-6897.8</v>
      </c>
      <c r="U25" s="154">
        <f>SUM(F25:Q25)</f>
        <v>-83319.200000000012</v>
      </c>
      <c r="V25" s="1"/>
    </row>
    <row r="26" spans="1:22" x14ac:dyDescent="0.3">
      <c r="A26" s="148"/>
      <c r="B26" s="148"/>
      <c r="C26" s="184" t="s">
        <v>52</v>
      </c>
      <c r="D26" s="148"/>
      <c r="E26" s="148"/>
      <c r="F26" s="149"/>
      <c r="G26" s="148"/>
      <c r="H26" s="148"/>
      <c r="I26" s="149"/>
      <c r="J26" s="148"/>
      <c r="K26" s="149"/>
      <c r="L26" s="185"/>
      <c r="M26" s="185"/>
      <c r="N26" s="185"/>
      <c r="O26" s="185"/>
      <c r="P26" s="185"/>
      <c r="Q26" s="148"/>
      <c r="R26" s="185"/>
      <c r="S26" s="149"/>
      <c r="T26" s="149"/>
      <c r="U26" s="148"/>
      <c r="V26" s="1"/>
    </row>
    <row r="27" spans="1:22" x14ac:dyDescent="0.3">
      <c r="C27" s="168" t="s">
        <v>184</v>
      </c>
      <c r="F27" s="177">
        <f>'BS 2025'!Q27-'CF 2026'!G53</f>
        <v>-37800</v>
      </c>
      <c r="G27" s="177">
        <f>F27-'CF 2026'!H53</f>
        <v>-34500</v>
      </c>
      <c r="H27" s="177">
        <f>G27-'CF 2026'!I53</f>
        <v>-31200</v>
      </c>
      <c r="I27" s="177">
        <f>H27-'CF 2026'!J53</f>
        <v>-27900</v>
      </c>
      <c r="J27" s="177">
        <f>I27-'CF 2026'!K53</f>
        <v>-24600</v>
      </c>
      <c r="K27" s="177">
        <f>J27-'CF 2026'!L53</f>
        <v>-21300</v>
      </c>
      <c r="L27" s="177">
        <f>K27-'CF 2026'!M53</f>
        <v>-18000</v>
      </c>
      <c r="M27" s="177">
        <f>L27-'CF 2026'!N53</f>
        <v>-14700</v>
      </c>
      <c r="N27" s="177">
        <f>M27-'CF 2026'!O53</f>
        <v>-11400</v>
      </c>
      <c r="O27" s="177">
        <f>N27-'CF 2026'!P53</f>
        <v>-8100</v>
      </c>
      <c r="P27" s="177">
        <f>O27-'CF 2026'!Q53</f>
        <v>-4800</v>
      </c>
      <c r="Q27" s="177">
        <f>P27-'CF 2026'!R53</f>
        <v>-1500</v>
      </c>
      <c r="R27" s="177">
        <f>Q27-'CF 2026'!S53</f>
        <v>0</v>
      </c>
      <c r="S27" s="177">
        <f>R27-'CF 2026'!T53</f>
        <v>0</v>
      </c>
      <c r="T27" s="177"/>
      <c r="U27" s="1">
        <f>SUM(F27:Q27)</f>
        <v>-235800</v>
      </c>
      <c r="V27" s="1"/>
    </row>
    <row r="28" spans="1:22" ht="12.6" customHeight="1" x14ac:dyDescent="0.3">
      <c r="C28" s="169"/>
      <c r="F28"/>
      <c r="J28" s="170" t="s">
        <v>190</v>
      </c>
      <c r="V28" s="1"/>
    </row>
    <row r="29" spans="1:22" x14ac:dyDescent="0.3">
      <c r="C29" s="168" t="s">
        <v>185</v>
      </c>
      <c r="F29" s="170"/>
      <c r="G29" s="170"/>
      <c r="H29" s="170"/>
      <c r="Q29" s="170"/>
      <c r="V29" s="1"/>
    </row>
    <row r="30" spans="1:22" x14ac:dyDescent="0.3">
      <c r="C30" s="171" t="s">
        <v>193</v>
      </c>
      <c r="F30" s="170"/>
      <c r="G30" s="170"/>
      <c r="H30" s="170"/>
      <c r="Q30" s="170"/>
      <c r="V30" s="1"/>
    </row>
    <row r="31" spans="1:22" x14ac:dyDescent="0.3">
      <c r="C31" s="168" t="s">
        <v>186</v>
      </c>
      <c r="F31" s="177">
        <f>SUM(F27:F29)</f>
        <v>-37800</v>
      </c>
      <c r="G31" s="177">
        <f t="shared" ref="G31:T31" si="7">SUM(G27:G29)</f>
        <v>-34500</v>
      </c>
      <c r="H31" s="177">
        <f t="shared" si="7"/>
        <v>-31200</v>
      </c>
      <c r="I31" s="177">
        <f t="shared" si="7"/>
        <v>-27900</v>
      </c>
      <c r="J31" s="177">
        <f t="shared" si="7"/>
        <v>-24600</v>
      </c>
      <c r="K31" s="177">
        <f t="shared" si="7"/>
        <v>-21300</v>
      </c>
      <c r="L31" s="177">
        <f t="shared" si="7"/>
        <v>-18000</v>
      </c>
      <c r="M31" s="177">
        <f t="shared" si="7"/>
        <v>-14700</v>
      </c>
      <c r="N31" s="177">
        <f t="shared" si="7"/>
        <v>-11400</v>
      </c>
      <c r="O31" s="177">
        <f t="shared" si="7"/>
        <v>-8100</v>
      </c>
      <c r="P31" s="177">
        <f t="shared" si="7"/>
        <v>-4800</v>
      </c>
      <c r="Q31" s="177">
        <f t="shared" si="7"/>
        <v>-1500</v>
      </c>
      <c r="R31" s="177">
        <f t="shared" si="7"/>
        <v>0</v>
      </c>
      <c r="S31" s="177">
        <f t="shared" si="7"/>
        <v>0</v>
      </c>
      <c r="T31" s="177">
        <f t="shared" si="7"/>
        <v>0</v>
      </c>
      <c r="V31" s="1"/>
    </row>
    <row r="32" spans="1:22" x14ac:dyDescent="0.3">
      <c r="C32" s="168" t="s">
        <v>53</v>
      </c>
      <c r="F32" s="177">
        <f>F31+F24</f>
        <v>-40558.400000000001</v>
      </c>
      <c r="G32" s="177">
        <f t="shared" ref="G32:T32" si="8">G31+G24</f>
        <v>-37258.400000000001</v>
      </c>
      <c r="H32" s="177">
        <f t="shared" si="8"/>
        <v>-37516.800000000003</v>
      </c>
      <c r="I32" s="177">
        <f t="shared" si="8"/>
        <v>-34984.6</v>
      </c>
      <c r="J32" s="177">
        <f t="shared" si="8"/>
        <v>-31894</v>
      </c>
      <c r="K32" s="177">
        <f t="shared" si="8"/>
        <v>-28987.599999999999</v>
      </c>
      <c r="L32" s="177">
        <f t="shared" si="8"/>
        <v>-27124.2</v>
      </c>
      <c r="M32" s="177">
        <f t="shared" si="8"/>
        <v>-23818</v>
      </c>
      <c r="N32" s="177">
        <f t="shared" si="8"/>
        <v>-20320.400000000001</v>
      </c>
      <c r="O32" s="177">
        <f t="shared" si="8"/>
        <v>-15507.2</v>
      </c>
      <c r="P32" s="177">
        <f t="shared" si="8"/>
        <v>-12187.8</v>
      </c>
      <c r="Q32" s="177">
        <f t="shared" si="8"/>
        <v>-8961.7999999999993</v>
      </c>
      <c r="R32" s="177">
        <f t="shared" si="8"/>
        <v>-3339.4</v>
      </c>
      <c r="S32" s="177">
        <f t="shared" si="8"/>
        <v>-3339.4</v>
      </c>
      <c r="T32" s="177">
        <f t="shared" si="8"/>
        <v>-6897.8</v>
      </c>
      <c r="V32" s="1"/>
    </row>
    <row r="33" spans="3:22" x14ac:dyDescent="0.3">
      <c r="C33" s="168" t="s">
        <v>54</v>
      </c>
      <c r="F33" s="207">
        <f>F20+F32</f>
        <v>1041885.0000000001</v>
      </c>
      <c r="G33" s="207">
        <f>G20+G32</f>
        <v>1068129.6000000001</v>
      </c>
      <c r="H33" s="207">
        <f t="shared" ref="H33:T33" si="9">H20+H32</f>
        <v>1105214.4000000001</v>
      </c>
      <c r="I33" s="207">
        <f t="shared" si="9"/>
        <v>1148016</v>
      </c>
      <c r="J33" s="207">
        <f t="shared" si="9"/>
        <v>1192378.6000000001</v>
      </c>
      <c r="K33" s="207">
        <f t="shared" si="9"/>
        <v>1238296.3999999999</v>
      </c>
      <c r="L33" s="207">
        <f t="shared" si="9"/>
        <v>1289082.6000000001</v>
      </c>
      <c r="M33" s="207">
        <f t="shared" si="9"/>
        <v>1341451.8</v>
      </c>
      <c r="N33" s="207">
        <f t="shared" si="9"/>
        <v>1393387.0000000002</v>
      </c>
      <c r="O33" s="207">
        <f t="shared" si="9"/>
        <v>1440750.0000000002</v>
      </c>
      <c r="P33" s="207">
        <f t="shared" si="9"/>
        <v>1486706.6</v>
      </c>
      <c r="Q33" s="207">
        <f t="shared" si="9"/>
        <v>1533030.8</v>
      </c>
      <c r="R33" s="207">
        <f t="shared" si="9"/>
        <v>1564546.8000000003</v>
      </c>
      <c r="S33" s="207">
        <f t="shared" si="9"/>
        <v>1590699.4000000004</v>
      </c>
      <c r="T33" s="207">
        <f t="shared" si="9"/>
        <v>1627692.2000000002</v>
      </c>
      <c r="U33" s="208">
        <f>SUM(F33:Q33)</f>
        <v>15278328.800000001</v>
      </c>
      <c r="V33" s="1"/>
    </row>
    <row r="34" spans="3:22" x14ac:dyDescent="0.3">
      <c r="C34" s="171" t="s">
        <v>56</v>
      </c>
      <c r="F34" s="169"/>
      <c r="G34" s="169"/>
      <c r="H34" s="169"/>
      <c r="I34" s="169"/>
      <c r="J34" s="170"/>
      <c r="K34" s="170"/>
      <c r="L34" s="170"/>
      <c r="M34" s="170"/>
      <c r="N34" s="170"/>
      <c r="O34" s="170"/>
      <c r="P34" s="170"/>
      <c r="Q34" s="169"/>
      <c r="R34" s="170"/>
      <c r="S34" s="170"/>
      <c r="T34" s="170"/>
      <c r="V34" s="1"/>
    </row>
    <row r="35" spans="3:22" x14ac:dyDescent="0.3">
      <c r="C35" s="171" t="s">
        <v>58</v>
      </c>
      <c r="F35" s="170">
        <f>SUM(F33:F34)</f>
        <v>1041885.0000000001</v>
      </c>
      <c r="G35" s="170">
        <f t="shared" ref="G35:T35" si="10">SUM(G33:G34)</f>
        <v>1068129.6000000001</v>
      </c>
      <c r="H35" s="170">
        <f t="shared" si="10"/>
        <v>1105214.4000000001</v>
      </c>
      <c r="I35" s="170">
        <f t="shared" si="10"/>
        <v>1148016</v>
      </c>
      <c r="J35" s="170">
        <f t="shared" si="10"/>
        <v>1192378.6000000001</v>
      </c>
      <c r="K35" s="170">
        <f t="shared" si="10"/>
        <v>1238296.3999999999</v>
      </c>
      <c r="L35" s="170">
        <f t="shared" si="10"/>
        <v>1289082.6000000001</v>
      </c>
      <c r="M35" s="170">
        <f t="shared" si="10"/>
        <v>1341451.8</v>
      </c>
      <c r="N35" s="170">
        <f t="shared" si="10"/>
        <v>1393387.0000000002</v>
      </c>
      <c r="O35" s="170">
        <f t="shared" si="10"/>
        <v>1440750.0000000002</v>
      </c>
      <c r="P35" s="170">
        <f t="shared" si="10"/>
        <v>1486706.6</v>
      </c>
      <c r="Q35" s="170">
        <f t="shared" si="10"/>
        <v>1533030.8</v>
      </c>
      <c r="R35" s="170">
        <f t="shared" si="10"/>
        <v>1564546.8000000003</v>
      </c>
      <c r="S35" s="170">
        <f t="shared" si="10"/>
        <v>1590699.4000000004</v>
      </c>
      <c r="T35" s="170">
        <f t="shared" si="10"/>
        <v>1627692.2000000002</v>
      </c>
      <c r="V35" s="1"/>
    </row>
    <row r="36" spans="3:22" x14ac:dyDescent="0.3">
      <c r="C36" s="178" t="s">
        <v>59</v>
      </c>
      <c r="F36" s="170">
        <f>F34+F35</f>
        <v>1041885.0000000001</v>
      </c>
      <c r="G36" s="170">
        <f t="shared" ref="G36:T36" si="11">G34+G35</f>
        <v>1068129.6000000001</v>
      </c>
      <c r="H36" s="170">
        <f t="shared" si="11"/>
        <v>1105214.4000000001</v>
      </c>
      <c r="I36" s="170">
        <f t="shared" si="11"/>
        <v>1148016</v>
      </c>
      <c r="J36" s="170">
        <f t="shared" si="11"/>
        <v>1192378.6000000001</v>
      </c>
      <c r="K36" s="170">
        <f t="shared" si="11"/>
        <v>1238296.3999999999</v>
      </c>
      <c r="L36" s="170">
        <f t="shared" si="11"/>
        <v>1289082.6000000001</v>
      </c>
      <c r="M36" s="170">
        <f t="shared" si="11"/>
        <v>1341451.8</v>
      </c>
      <c r="N36" s="170">
        <f t="shared" si="11"/>
        <v>1393387.0000000002</v>
      </c>
      <c r="O36" s="170">
        <f t="shared" si="11"/>
        <v>1440750.0000000002</v>
      </c>
      <c r="P36" s="170">
        <f t="shared" si="11"/>
        <v>1486706.6</v>
      </c>
      <c r="Q36" s="170">
        <f t="shared" si="11"/>
        <v>1533030.8</v>
      </c>
      <c r="R36" s="170">
        <f t="shared" si="11"/>
        <v>1564546.8000000003</v>
      </c>
      <c r="S36" s="170">
        <f t="shared" si="11"/>
        <v>1590699.4000000004</v>
      </c>
      <c r="T36" s="170">
        <f t="shared" si="11"/>
        <v>1627692.2000000002</v>
      </c>
      <c r="V36" s="1"/>
    </row>
    <row r="37" spans="3:22" x14ac:dyDescent="0.3">
      <c r="C37" s="171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V37" s="1"/>
    </row>
    <row r="38" spans="3:22" x14ac:dyDescent="0.3">
      <c r="C38" s="171" t="s">
        <v>187</v>
      </c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V38" s="1"/>
    </row>
    <row r="39" spans="3:22" x14ac:dyDescent="0.3">
      <c r="C39" s="171" t="s">
        <v>188</v>
      </c>
      <c r="F3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V39" s="1"/>
    </row>
    <row r="40" spans="3:22" x14ac:dyDescent="0.3">
      <c r="C40" s="171" t="s">
        <v>189</v>
      </c>
      <c r="F40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V40" s="1"/>
    </row>
    <row r="41" spans="3:22" x14ac:dyDescent="0.3">
      <c r="C41" s="171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730D-B4C0-4EB7-B0AE-D7039DAD3DD5}">
  <sheetPr codeName="Sheet37"/>
  <dimension ref="B2:V101"/>
  <sheetViews>
    <sheetView showGridLines="0" topLeftCell="B1" zoomScale="97" zoomScaleNormal="97" workbookViewId="0">
      <selection activeCell="L18" sqref="L18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10937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73" t="s">
        <v>220</v>
      </c>
      <c r="C2" s="173"/>
      <c r="D2" s="173"/>
      <c r="E2" s="173"/>
      <c r="F2" s="147"/>
      <c r="G2" s="147"/>
      <c r="H2" s="147"/>
      <c r="I2" s="147"/>
      <c r="J2" s="147"/>
      <c r="K2" s="428" t="s">
        <v>228</v>
      </c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</row>
    <row r="4" spans="2:22" x14ac:dyDescent="0.3">
      <c r="B4" s="186" t="s">
        <v>20</v>
      </c>
      <c r="C4" s="186"/>
      <c r="D4" s="186"/>
      <c r="E4" s="187">
        <v>2023</v>
      </c>
      <c r="F4" s="187">
        <v>2024</v>
      </c>
      <c r="G4" s="187">
        <v>2025</v>
      </c>
      <c r="H4" s="187">
        <v>2026</v>
      </c>
      <c r="I4" s="187">
        <v>2027</v>
      </c>
      <c r="J4" s="186"/>
      <c r="K4" s="187" t="s">
        <v>25</v>
      </c>
      <c r="L4" s="187" t="s">
        <v>26</v>
      </c>
      <c r="M4" s="187" t="s">
        <v>27</v>
      </c>
      <c r="N4" s="187" t="s">
        <v>28</v>
      </c>
      <c r="O4" s="187" t="s">
        <v>29</v>
      </c>
      <c r="P4" s="187" t="s">
        <v>30</v>
      </c>
      <c r="Q4" s="187" t="s">
        <v>31</v>
      </c>
      <c r="R4" s="187" t="s">
        <v>32</v>
      </c>
      <c r="S4" s="187" t="s">
        <v>33</v>
      </c>
      <c r="T4" s="187" t="s">
        <v>34</v>
      </c>
      <c r="U4" s="187" t="s">
        <v>35</v>
      </c>
      <c r="V4" s="187" t="s">
        <v>36</v>
      </c>
    </row>
    <row r="5" spans="2:22" x14ac:dyDescent="0.3">
      <c r="B5" t="s">
        <v>37</v>
      </c>
      <c r="E5" s="194">
        <f>'Statements Summary 2023'!V5</f>
        <v>54409</v>
      </c>
      <c r="F5" s="194">
        <f>'Statements Summary 2024'!V5</f>
        <v>54409</v>
      </c>
      <c r="G5" s="194">
        <f>'Statements Summary 2025'!V5</f>
        <v>54409</v>
      </c>
      <c r="H5" s="194">
        <f t="shared" ref="H5:H17" si="0">V5</f>
        <v>54409</v>
      </c>
      <c r="I5" s="194">
        <f>'Statements Summary 2027'!V5</f>
        <v>54409</v>
      </c>
      <c r="K5" s="194">
        <f>'CF 2026'!G69</f>
        <v>31047</v>
      </c>
      <c r="L5" s="194">
        <f>'CF 2026'!H69</f>
        <v>31047</v>
      </c>
      <c r="M5" s="194">
        <f>'CF 2026'!I69</f>
        <v>48839</v>
      </c>
      <c r="N5" s="194">
        <f>'CF 2026'!J69</f>
        <v>52523</v>
      </c>
      <c r="O5" s="194">
        <f>'CF 2026'!K69</f>
        <v>53570</v>
      </c>
      <c r="P5" s="194">
        <f>'CF 2026'!L69</f>
        <v>55538</v>
      </c>
      <c r="Q5" s="194">
        <f>'CF 2026'!M69</f>
        <v>62721</v>
      </c>
      <c r="R5" s="194">
        <f>'CF 2026'!N69</f>
        <v>62690</v>
      </c>
      <c r="S5" s="194">
        <f>'CF 2026'!O69</f>
        <v>61702</v>
      </c>
      <c r="T5" s="194">
        <f>'CF 2026'!P69</f>
        <v>54136</v>
      </c>
      <c r="U5" s="194">
        <f>'CF 2026'!Q69</f>
        <v>54039</v>
      </c>
      <c r="V5" s="194">
        <f>'CF 2026'!R69</f>
        <v>54409</v>
      </c>
    </row>
    <row r="6" spans="2:22" x14ac:dyDescent="0.3">
      <c r="B6" t="s">
        <v>38</v>
      </c>
      <c r="E6" s="194">
        <f>'Statements Summary 2023'!V6</f>
        <v>-200</v>
      </c>
      <c r="F6" s="194">
        <f>'Statements Summary 2024'!V6</f>
        <v>-200</v>
      </c>
      <c r="G6" s="194">
        <f>'Statements Summary 2025'!V6</f>
        <v>-200</v>
      </c>
      <c r="H6" s="194">
        <f t="shared" si="0"/>
        <v>-250</v>
      </c>
      <c r="I6" s="194">
        <f>'Statements Summary 2027'!V6</f>
        <v>-250</v>
      </c>
      <c r="K6" s="194">
        <f>'CF 2026'!G70</f>
        <v>-250</v>
      </c>
      <c r="L6" s="194">
        <f>'CF 2026'!H70</f>
        <v>-250</v>
      </c>
      <c r="M6" s="194">
        <f>'CF 2026'!I70</f>
        <v>-250</v>
      </c>
      <c r="N6" s="194">
        <f>'CF 2026'!J70</f>
        <v>-250</v>
      </c>
      <c r="O6" s="194">
        <f>'CF 2026'!K70</f>
        <v>-250</v>
      </c>
      <c r="P6" s="194">
        <f>'CF 2026'!L70</f>
        <v>-250</v>
      </c>
      <c r="Q6" s="194">
        <f>'CF 2026'!M70</f>
        <v>-250</v>
      </c>
      <c r="R6" s="194">
        <f>'CF 2026'!N70</f>
        <v>-250</v>
      </c>
      <c r="S6" s="194">
        <f>'CF 2026'!O70</f>
        <v>-250</v>
      </c>
      <c r="T6" s="194">
        <f>'CF 2026'!P70</f>
        <v>-250</v>
      </c>
      <c r="U6" s="194">
        <f>'CF 2026'!Q70</f>
        <v>-250</v>
      </c>
      <c r="V6" s="194">
        <f>'CF 2026'!R70</f>
        <v>-250</v>
      </c>
    </row>
    <row r="7" spans="2:22" x14ac:dyDescent="0.3">
      <c r="B7" t="s">
        <v>39</v>
      </c>
      <c r="E7" s="194">
        <f>'Statements Summary 2023'!V7</f>
        <v>-3300</v>
      </c>
      <c r="F7" s="194">
        <f>'Statements Summary 2024'!V7</f>
        <v>-3300</v>
      </c>
      <c r="G7" s="194">
        <f>'Statements Summary 2025'!V7</f>
        <v>-3300</v>
      </c>
      <c r="H7" s="194">
        <f t="shared" si="0"/>
        <v>-3300</v>
      </c>
      <c r="I7" s="194">
        <f>'Statements Summary 2027'!V7</f>
        <v>0</v>
      </c>
      <c r="K7" s="194" t="s">
        <v>190</v>
      </c>
      <c r="L7" s="194">
        <f>'CF 2026'!H53</f>
        <v>-3300</v>
      </c>
      <c r="M7" s="194">
        <f>'CF 2026'!I53</f>
        <v>-3300</v>
      </c>
      <c r="N7" s="194">
        <f>'CF 2026'!J53</f>
        <v>-3300</v>
      </c>
      <c r="O7" s="194">
        <f>'CF 2026'!K53</f>
        <v>-3300</v>
      </c>
      <c r="P7" s="194">
        <f>'CF 2026'!L53</f>
        <v>-3300</v>
      </c>
      <c r="Q7" s="194">
        <f>'CF 2026'!M53</f>
        <v>-3300</v>
      </c>
      <c r="R7" s="194">
        <f>'CF 2026'!N53</f>
        <v>-3300</v>
      </c>
      <c r="S7" s="194">
        <f>'CF 2026'!O53</f>
        <v>-3300</v>
      </c>
      <c r="T7" s="194">
        <f>'CF 2026'!P53</f>
        <v>-3300</v>
      </c>
      <c r="U7" s="194">
        <f>'CF 2026'!Q53</f>
        <v>-3300</v>
      </c>
      <c r="V7" s="194">
        <f>'CF 2026'!R53</f>
        <v>-3300</v>
      </c>
    </row>
    <row r="8" spans="2:22" x14ac:dyDescent="0.3">
      <c r="B8" t="s">
        <v>14</v>
      </c>
      <c r="E8" s="194">
        <f>'Statements Summary 2023'!V8</f>
        <v>23102.6</v>
      </c>
      <c r="F8" s="194">
        <f>'Statements Summary 2024'!V8</f>
        <v>23102.6</v>
      </c>
      <c r="G8" s="194">
        <f>'Statements Summary 2025'!V8</f>
        <v>43959.8</v>
      </c>
      <c r="H8" s="194">
        <f t="shared" si="0"/>
        <v>44642.2</v>
      </c>
      <c r="I8" s="194">
        <f>'Statements Summary 2027'!V8</f>
        <v>44651</v>
      </c>
      <c r="K8" s="194">
        <f>'CF 2026'!G42</f>
        <v>24168.6</v>
      </c>
      <c r="L8" s="194">
        <f>'CF 2026'!H42</f>
        <v>24333.599999999999</v>
      </c>
      <c r="M8" s="194">
        <f>'CF 2026'!I42</f>
        <v>38732.199999999997</v>
      </c>
      <c r="N8" s="194">
        <f>'CF 2026'!J42</f>
        <v>41813.4</v>
      </c>
      <c r="O8" s="194">
        <f>'CF 2026'!K42</f>
        <v>42816</v>
      </c>
      <c r="P8" s="194">
        <f>'CF 2026'!L42</f>
        <v>44555.4</v>
      </c>
      <c r="Q8" s="194">
        <f>'CF 2026'!M42</f>
        <v>50466.8</v>
      </c>
      <c r="R8" s="194">
        <f>'CF 2026'!N42</f>
        <v>50607</v>
      </c>
      <c r="S8" s="194">
        <f>'CF 2026'!O42</f>
        <v>49981.599999999999</v>
      </c>
      <c r="T8" s="194">
        <f>'CF 2026'!P42</f>
        <v>44093.8</v>
      </c>
      <c r="U8" s="194">
        <f>'CF 2026'!Q42</f>
        <v>44181.2</v>
      </c>
      <c r="V8" s="194">
        <f>'CF 2026'!R42</f>
        <v>44642.2</v>
      </c>
    </row>
    <row r="9" spans="2:22" x14ac:dyDescent="0.3">
      <c r="B9" t="s">
        <v>40</v>
      </c>
      <c r="E9" s="194" t="str">
        <f>'Statements Summary 2023'!V9</f>
        <v>-</v>
      </c>
      <c r="F9" s="194" t="str">
        <f>'Statements Summary 2024'!V9</f>
        <v>-</v>
      </c>
      <c r="G9" s="194">
        <f>'Statements Summary 2025'!V9</f>
        <v>0</v>
      </c>
      <c r="H9" s="194">
        <f t="shared" si="0"/>
        <v>0</v>
      </c>
      <c r="I9" s="194">
        <f>'Statements Summary 2027'!V9</f>
        <v>0</v>
      </c>
      <c r="K9" s="194">
        <f>'CF 2026'!G47</f>
        <v>0</v>
      </c>
      <c r="L9" s="194">
        <f>'CF 2026'!H47</f>
        <v>0</v>
      </c>
      <c r="M9" s="194">
        <f>'CF 2026'!I47</f>
        <v>0</v>
      </c>
      <c r="N9" s="194">
        <f>'CF 2026'!J47</f>
        <v>0</v>
      </c>
      <c r="O9" s="194">
        <f>'CF 2026'!K47</f>
        <v>0</v>
      </c>
      <c r="P9" s="194">
        <f>'CF 2026'!L47</f>
        <v>0</v>
      </c>
      <c r="Q9" s="194">
        <f>'CF 2026'!M47</f>
        <v>0</v>
      </c>
      <c r="R9" s="194">
        <f>'CF 2026'!N47</f>
        <v>0</v>
      </c>
      <c r="S9" s="194">
        <f>'CF 2026'!O47</f>
        <v>0</v>
      </c>
      <c r="T9" s="194">
        <f>'CF 2026'!P47</f>
        <v>0</v>
      </c>
      <c r="U9" s="194">
        <f>'CF 2026'!Q47</f>
        <v>0</v>
      </c>
      <c r="V9" s="194">
        <f>'CF 2026'!R47</f>
        <v>0</v>
      </c>
    </row>
    <row r="10" spans="2:22" x14ac:dyDescent="0.3">
      <c r="B10" t="s">
        <v>41</v>
      </c>
      <c r="E10" s="194" t="str">
        <f>'Statements Summary 2023'!V10</f>
        <v>-</v>
      </c>
      <c r="F10" s="194" t="str">
        <f>'Statements Summary 2024'!V10</f>
        <v>-</v>
      </c>
      <c r="G10" s="194" t="str">
        <f>'Statements Summary 2025'!V10</f>
        <v>-</v>
      </c>
      <c r="H10" s="194" t="str">
        <f t="shared" si="0"/>
        <v>-</v>
      </c>
      <c r="I10" s="194" t="str">
        <f>'Statements Summary 2027'!V10</f>
        <v>-</v>
      </c>
      <c r="K10" s="194" t="s">
        <v>190</v>
      </c>
      <c r="L10" s="194" t="s">
        <v>190</v>
      </c>
      <c r="M10" s="194" t="s">
        <v>190</v>
      </c>
      <c r="N10" s="194" t="s">
        <v>190</v>
      </c>
      <c r="O10" s="194" t="s">
        <v>190</v>
      </c>
      <c r="P10" s="194" t="s">
        <v>190</v>
      </c>
      <c r="Q10" s="194" t="s">
        <v>190</v>
      </c>
      <c r="R10" s="194" t="s">
        <v>190</v>
      </c>
      <c r="S10" s="194" t="s">
        <v>190</v>
      </c>
      <c r="T10" s="194" t="s">
        <v>190</v>
      </c>
      <c r="U10" s="194" t="s">
        <v>190</v>
      </c>
      <c r="V10" s="194" t="s">
        <v>190</v>
      </c>
    </row>
    <row r="11" spans="2:22" x14ac:dyDescent="0.3">
      <c r="B11" t="s">
        <v>42</v>
      </c>
      <c r="E11" s="194" t="str">
        <f>'Statements Summary 2023'!V11</f>
        <v>-</v>
      </c>
      <c r="F11" s="194" t="str">
        <f>'Statements Summary 2024'!V11</f>
        <v>-</v>
      </c>
      <c r="G11" s="194" t="str">
        <f>'Statements Summary 2025'!V11</f>
        <v>-</v>
      </c>
      <c r="H11" s="194" t="str">
        <f t="shared" si="0"/>
        <v>-</v>
      </c>
      <c r="I11" s="194" t="str">
        <f>'Statements Summary 2027'!V11</f>
        <v>-</v>
      </c>
      <c r="K11" s="194">
        <f>'CF 2026'!G47</f>
        <v>0</v>
      </c>
      <c r="L11" s="194" t="s">
        <v>190</v>
      </c>
      <c r="M11" s="194" t="s">
        <v>190</v>
      </c>
      <c r="N11" s="194" t="s">
        <v>190</v>
      </c>
      <c r="O11" s="194" t="s">
        <v>190</v>
      </c>
      <c r="P11" s="194" t="s">
        <v>190</v>
      </c>
      <c r="Q11" s="194" t="s">
        <v>190</v>
      </c>
      <c r="R11" s="194" t="s">
        <v>190</v>
      </c>
      <c r="S11" s="194" t="s">
        <v>190</v>
      </c>
      <c r="T11" s="194" t="s">
        <v>190</v>
      </c>
      <c r="U11" s="194" t="s">
        <v>190</v>
      </c>
      <c r="V11" s="194" t="s">
        <v>190</v>
      </c>
    </row>
    <row r="12" spans="2:22" x14ac:dyDescent="0.3">
      <c r="B12" t="s">
        <v>43</v>
      </c>
      <c r="E12" s="194">
        <f>'Statements Summary 2023'!V12</f>
        <v>-3300</v>
      </c>
      <c r="F12" s="194">
        <f>'Statements Summary 2024'!V12</f>
        <v>-3300</v>
      </c>
      <c r="G12" s="194">
        <f>'Statements Summary 2025'!V12</f>
        <v>-3300</v>
      </c>
      <c r="H12" s="194">
        <f t="shared" si="0"/>
        <v>-3300</v>
      </c>
      <c r="I12" s="194">
        <f>'Statements Summary 2027'!V12</f>
        <v>0</v>
      </c>
      <c r="K12" s="194" t="s">
        <v>190</v>
      </c>
      <c r="L12" s="194">
        <f>'CF 2026'!H53</f>
        <v>-3300</v>
      </c>
      <c r="M12" s="194">
        <f>'CF 2026'!I53</f>
        <v>-3300</v>
      </c>
      <c r="N12" s="194">
        <f>'CF 2026'!J53</f>
        <v>-3300</v>
      </c>
      <c r="O12" s="194">
        <f>'CF 2026'!K53</f>
        <v>-3300</v>
      </c>
      <c r="P12" s="194">
        <f>'CF 2026'!L53</f>
        <v>-3300</v>
      </c>
      <c r="Q12" s="194">
        <f>'CF 2026'!M53</f>
        <v>-3300</v>
      </c>
      <c r="R12" s="194">
        <f>'CF 2026'!N53</f>
        <v>-3300</v>
      </c>
      <c r="S12" s="194">
        <f>'CF 2026'!O53</f>
        <v>-3300</v>
      </c>
      <c r="T12" s="194">
        <f>'CF 2026'!P53</f>
        <v>-3300</v>
      </c>
      <c r="U12" s="194">
        <f>'CF 2026'!Q53</f>
        <v>-3300</v>
      </c>
      <c r="V12" s="194">
        <f>'CF 2026'!R53</f>
        <v>-3300</v>
      </c>
    </row>
    <row r="13" spans="2:22" x14ac:dyDescent="0.3">
      <c r="B13" t="s">
        <v>44</v>
      </c>
      <c r="E13" s="194" t="str">
        <f>'Statements Summary 2023'!V13</f>
        <v>-</v>
      </c>
      <c r="F13" s="194" t="str">
        <f>'Statements Summary 2024'!V13</f>
        <v>-</v>
      </c>
      <c r="G13" s="194" t="str">
        <f>'Statements Summary 2025'!V13</f>
        <v>-</v>
      </c>
      <c r="H13" s="194" t="str">
        <f t="shared" si="0"/>
        <v>-</v>
      </c>
      <c r="I13" s="194" t="str">
        <f>'Statements Summary 2027'!V13</f>
        <v>-</v>
      </c>
      <c r="K13" s="194" t="s">
        <v>190</v>
      </c>
      <c r="L13" s="194" t="s">
        <v>190</v>
      </c>
      <c r="M13" s="194" t="s">
        <v>190</v>
      </c>
      <c r="N13" s="194" t="s">
        <v>190</v>
      </c>
      <c r="O13" s="194" t="s">
        <v>190</v>
      </c>
      <c r="P13" s="194" t="s">
        <v>190</v>
      </c>
      <c r="Q13" s="194" t="s">
        <v>190</v>
      </c>
      <c r="R13" s="194" t="s">
        <v>190</v>
      </c>
      <c r="S13" s="194" t="s">
        <v>190</v>
      </c>
      <c r="T13" s="194" t="s">
        <v>190</v>
      </c>
      <c r="U13" s="194" t="s">
        <v>190</v>
      </c>
      <c r="V13" s="194" t="s">
        <v>190</v>
      </c>
    </row>
    <row r="14" spans="2:22" x14ac:dyDescent="0.3">
      <c r="B14" t="s">
        <v>45</v>
      </c>
      <c r="E14" s="194" t="str">
        <f>'Statements Summary 2023'!V14</f>
        <v>-</v>
      </c>
      <c r="F14" s="194" t="str">
        <f>'Statements Summary 2024'!V14</f>
        <v>-</v>
      </c>
      <c r="G14" s="194" t="str">
        <f>'Statements Summary 2025'!V14</f>
        <v>-</v>
      </c>
      <c r="H14" s="194" t="str">
        <f t="shared" si="0"/>
        <v>-</v>
      </c>
      <c r="I14" s="194" t="str">
        <f>'Statements Summary 2027'!V14</f>
        <v>-</v>
      </c>
      <c r="K14" s="194" t="s">
        <v>190</v>
      </c>
      <c r="L14" s="194" t="s">
        <v>190</v>
      </c>
      <c r="M14" s="194" t="s">
        <v>190</v>
      </c>
      <c r="N14" s="194" t="s">
        <v>190</v>
      </c>
      <c r="O14" s="194" t="s">
        <v>190</v>
      </c>
      <c r="P14" s="194" t="s">
        <v>190</v>
      </c>
      <c r="Q14" s="194" t="s">
        <v>190</v>
      </c>
      <c r="R14" s="194" t="s">
        <v>190</v>
      </c>
      <c r="S14" s="194" t="s">
        <v>190</v>
      </c>
      <c r="T14" s="194" t="s">
        <v>190</v>
      </c>
      <c r="U14" s="194" t="s">
        <v>190</v>
      </c>
      <c r="V14" s="194" t="s">
        <v>190</v>
      </c>
    </row>
    <row r="15" spans="2:22" x14ac:dyDescent="0.3">
      <c r="B15" t="s">
        <v>46</v>
      </c>
      <c r="E15" s="194">
        <f>'Statements Summary 2023'!V15</f>
        <v>-3300</v>
      </c>
      <c r="F15" s="194">
        <f>'Statements Summary 2024'!V15</f>
        <v>-3300</v>
      </c>
      <c r="G15" s="194">
        <f>'Statements Summary 2025'!V15</f>
        <v>-3300</v>
      </c>
      <c r="H15" s="194">
        <f t="shared" si="0"/>
        <v>-3300</v>
      </c>
      <c r="I15" s="194">
        <f>'Statements Summary 2027'!V15</f>
        <v>0</v>
      </c>
      <c r="K15" s="194" t="s">
        <v>190</v>
      </c>
      <c r="L15" s="194">
        <f>'CF 2026'!H53</f>
        <v>-3300</v>
      </c>
      <c r="M15" s="194">
        <f>'CF 2026'!I53</f>
        <v>-3300</v>
      </c>
      <c r="N15" s="194">
        <f>'CF 2026'!J53</f>
        <v>-3300</v>
      </c>
      <c r="O15" s="194">
        <f>'CF 2026'!K53</f>
        <v>-3300</v>
      </c>
      <c r="P15" s="194">
        <f>'CF 2026'!L53</f>
        <v>-3300</v>
      </c>
      <c r="Q15" s="194">
        <f>'CF 2026'!M53</f>
        <v>-3300</v>
      </c>
      <c r="R15" s="194">
        <f>'CF 2026'!N53</f>
        <v>-3300</v>
      </c>
      <c r="S15" s="194">
        <f>'CF 2026'!O53</f>
        <v>-3300</v>
      </c>
      <c r="T15" s="194">
        <f>'CF 2026'!P53</f>
        <v>-3300</v>
      </c>
      <c r="U15" s="194">
        <f>'CF 2026'!Q53</f>
        <v>-3300</v>
      </c>
      <c r="V15" s="194">
        <f>'CF 2026'!R53</f>
        <v>-3300</v>
      </c>
    </row>
    <row r="16" spans="2:22" x14ac:dyDescent="0.3">
      <c r="B16" t="s">
        <v>195</v>
      </c>
      <c r="E16" s="194">
        <f>'Statements Summary 2023'!V16</f>
        <v>23102.6</v>
      </c>
      <c r="F16" s="194">
        <f>'Statements Summary 2024'!V16</f>
        <v>23102.6</v>
      </c>
      <c r="G16" s="194">
        <f>'Statements Summary 2025'!V16</f>
        <v>43959.8</v>
      </c>
      <c r="H16" s="194">
        <f t="shared" si="0"/>
        <v>44642.2</v>
      </c>
      <c r="I16" s="194">
        <f>'Statements Summary 2027'!V16</f>
        <v>44651</v>
      </c>
      <c r="K16" s="194">
        <f>'CF 2026'!G42</f>
        <v>24168.6</v>
      </c>
      <c r="L16" s="194">
        <f>'CF 2026'!H42</f>
        <v>24333.599999999999</v>
      </c>
      <c r="M16" s="194">
        <f>'CF 2026'!I42</f>
        <v>38732.199999999997</v>
      </c>
      <c r="N16" s="194">
        <f>'CF 2026'!J42</f>
        <v>41813.4</v>
      </c>
      <c r="O16" s="194">
        <f>'CF 2026'!K42</f>
        <v>42816</v>
      </c>
      <c r="P16" s="194">
        <f>'CF 2026'!L42</f>
        <v>44555.4</v>
      </c>
      <c r="Q16" s="194">
        <f>'CF 2026'!M42</f>
        <v>50466.8</v>
      </c>
      <c r="R16" s="194">
        <f>'CF 2026'!N42</f>
        <v>50607</v>
      </c>
      <c r="S16" s="194">
        <f>'CF 2026'!O42</f>
        <v>49981.599999999999</v>
      </c>
      <c r="T16" s="194">
        <f>'CF 2026'!P42</f>
        <v>44093.8</v>
      </c>
      <c r="U16" s="194">
        <f>'CF 2026'!Q42</f>
        <v>44181.2</v>
      </c>
      <c r="V16" s="194">
        <f>'CF 2026'!R42</f>
        <v>44642.2</v>
      </c>
    </row>
    <row r="17" spans="2:22" x14ac:dyDescent="0.3">
      <c r="B17" t="s">
        <v>47</v>
      </c>
      <c r="E17" s="194">
        <f>'Statements Summary 2023'!V17</f>
        <v>42905.200000000004</v>
      </c>
      <c r="F17" s="194">
        <f>'Statements Summary 2024'!V17</f>
        <v>42905.200000000004</v>
      </c>
      <c r="G17" s="194">
        <f>'Statements Summary 2025'!V17</f>
        <v>84619.6</v>
      </c>
      <c r="H17" s="194">
        <f t="shared" si="0"/>
        <v>85984.4</v>
      </c>
      <c r="I17" s="194">
        <f>'Statements Summary 2027'!V17</f>
        <v>89302</v>
      </c>
      <c r="K17" s="194">
        <f>'CF 2026'!G63+'CF 2026'!G40+'CF 2026'!G41</f>
        <v>45037.2</v>
      </c>
      <c r="L17" s="194">
        <f>'CF 2026'!H63+'CF 2026'!H40+'CF 2026'!H41</f>
        <v>45367.199999999997</v>
      </c>
      <c r="M17" s="194">
        <f>'CF 2026'!I63+'CF 2026'!I40+'CF 2026'!I41</f>
        <v>74164.399999999994</v>
      </c>
      <c r="N17" s="194">
        <f>'CF 2026'!J63+'CF 2026'!J40+'CF 2026'!J41</f>
        <v>80326.799999999988</v>
      </c>
      <c r="O17" s="194">
        <f>'CF 2026'!K63+'CF 2026'!K40+'CF 2026'!K41</f>
        <v>82332</v>
      </c>
      <c r="P17" s="194">
        <f>'CF 2026'!L63+'CF 2026'!L40+'CF 2026'!L41</f>
        <v>85810.799999999988</v>
      </c>
      <c r="Q17" s="194">
        <f>'CF 2026'!M63+'CF 2026'!M40+'CF 2026'!M41</f>
        <v>97633.600000000006</v>
      </c>
      <c r="R17" s="194">
        <f>'CF 2026'!N63+'CF 2026'!N40+'CF 2026'!N41</f>
        <v>97914</v>
      </c>
      <c r="S17" s="194">
        <f>'CF 2026'!O63+'CF 2026'!O40+'CF 2026'!O41</f>
        <v>96663.200000000012</v>
      </c>
      <c r="T17" s="194">
        <f>'CF 2026'!P63+'CF 2026'!P40+'CF 2026'!P41</f>
        <v>84887.6</v>
      </c>
      <c r="U17" s="194">
        <f>'CF 2026'!Q63+'CF 2026'!Q40+'CF 2026'!Q41</f>
        <v>85062.399999999994</v>
      </c>
      <c r="V17" s="194">
        <f>'CF 2026'!R63+'CF 2026'!R40+'CF 2026'!R41</f>
        <v>85984.4</v>
      </c>
    </row>
    <row r="19" spans="2:22" x14ac:dyDescent="0.3">
      <c r="B19" s="173" t="s">
        <v>220</v>
      </c>
      <c r="C19" s="147"/>
      <c r="D19" s="147"/>
      <c r="E19" s="147"/>
      <c r="F19" s="147"/>
      <c r="G19" s="147"/>
      <c r="H19" s="147"/>
      <c r="I19" s="147"/>
      <c r="K19" s="428" t="s">
        <v>228</v>
      </c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</row>
    <row r="42" spans="2:22" x14ac:dyDescent="0.3">
      <c r="B42" s="173" t="s">
        <v>221</v>
      </c>
      <c r="C42" s="173"/>
      <c r="D42" s="173"/>
      <c r="E42" s="173"/>
      <c r="F42" s="147"/>
      <c r="G42" s="147"/>
      <c r="H42" s="147"/>
      <c r="I42" s="147"/>
      <c r="J42" s="147"/>
      <c r="K42" s="428" t="s">
        <v>229</v>
      </c>
      <c r="L42" s="428"/>
      <c r="M42" s="428"/>
      <c r="N42" s="428"/>
      <c r="O42" s="428"/>
      <c r="P42" s="428"/>
      <c r="Q42" s="428"/>
      <c r="R42" s="428"/>
      <c r="S42" s="428"/>
      <c r="T42" s="428"/>
      <c r="U42" s="428"/>
      <c r="V42" s="428"/>
    </row>
    <row r="44" spans="2:22" x14ac:dyDescent="0.3">
      <c r="B44" s="186" t="s">
        <v>20</v>
      </c>
      <c r="C44" s="186"/>
      <c r="D44" s="186"/>
      <c r="E44" s="187">
        <v>2023</v>
      </c>
      <c r="F44" s="187">
        <v>2024</v>
      </c>
      <c r="G44" s="187">
        <v>2025</v>
      </c>
      <c r="H44" s="187">
        <v>2026</v>
      </c>
      <c r="I44" s="187">
        <v>2027</v>
      </c>
      <c r="J44" s="186"/>
      <c r="K44" s="186" t="s">
        <v>25</v>
      </c>
      <c r="L44" s="186" t="s">
        <v>26</v>
      </c>
      <c r="M44" s="186" t="s">
        <v>27</v>
      </c>
      <c r="N44" s="186" t="s">
        <v>28</v>
      </c>
      <c r="O44" s="186" t="s">
        <v>29</v>
      </c>
      <c r="P44" s="186" t="s">
        <v>30</v>
      </c>
      <c r="Q44" s="186" t="s">
        <v>31</v>
      </c>
      <c r="R44" s="186" t="s">
        <v>32</v>
      </c>
      <c r="S44" s="186" t="s">
        <v>33</v>
      </c>
      <c r="T44" s="186" t="s">
        <v>34</v>
      </c>
      <c r="U44" s="186" t="s">
        <v>35</v>
      </c>
      <c r="V44" s="186" t="s">
        <v>36</v>
      </c>
    </row>
    <row r="45" spans="2:22" x14ac:dyDescent="0.3">
      <c r="B45" s="14" t="s">
        <v>2</v>
      </c>
      <c r="C45" s="14"/>
      <c r="D45" s="14"/>
      <c r="E45" s="188">
        <f>'Statements Summary 2023'!V44</f>
        <v>54409</v>
      </c>
      <c r="F45" s="188">
        <f>'Statements Summary 2024'!V44</f>
        <v>54409</v>
      </c>
      <c r="G45" s="188">
        <f>'Statements Summary 2025'!V45</f>
        <v>54409</v>
      </c>
      <c r="H45" s="188">
        <f t="shared" ref="H45:H65" si="1">V45</f>
        <v>54409</v>
      </c>
      <c r="I45" s="188">
        <f>'Statements Summary 2027'!V45</f>
        <v>54409</v>
      </c>
      <c r="K45" s="188">
        <f>'IS 2026'!F34</f>
        <v>31047</v>
      </c>
      <c r="L45" s="188">
        <f>'IS 2026'!G34</f>
        <v>31047</v>
      </c>
      <c r="M45" s="188">
        <f>'IS 2026'!H34</f>
        <v>48839</v>
      </c>
      <c r="N45" s="188">
        <f>'IS 2026'!I34</f>
        <v>52523</v>
      </c>
      <c r="O45" s="188">
        <f>'IS 2026'!J34</f>
        <v>53570</v>
      </c>
      <c r="P45" s="188">
        <f>'IS 2026'!K34</f>
        <v>55538</v>
      </c>
      <c r="Q45" s="188">
        <f>'IS 2026'!L34</f>
        <v>62721</v>
      </c>
      <c r="R45" s="188">
        <f>'IS 2026'!M34</f>
        <v>62690</v>
      </c>
      <c r="S45" s="188">
        <f>'IS 2026'!N34</f>
        <v>61702</v>
      </c>
      <c r="T45" s="188">
        <f>'IS 2026'!O34</f>
        <v>54136</v>
      </c>
      <c r="U45" s="188">
        <f>'IS 2026'!P34</f>
        <v>54039</v>
      </c>
      <c r="V45" s="188">
        <f>'IS 2026'!Q34</f>
        <v>54409</v>
      </c>
    </row>
    <row r="46" spans="2:22" x14ac:dyDescent="0.3">
      <c r="B46" t="s">
        <v>21</v>
      </c>
      <c r="E46" s="1">
        <f>'Statements Summary 2023'!V45</f>
        <v>6.8469068635615016E-3</v>
      </c>
      <c r="F46" s="2">
        <f>'Statements Summary 2024'!V45</f>
        <v>6.8469068635615016E-3</v>
      </c>
      <c r="G46" s="2">
        <f>'Statements Summary 2025'!V46</f>
        <v>6.8469068635615016E-3</v>
      </c>
      <c r="H46" s="2">
        <f t="shared" si="1"/>
        <v>6.8469068635615016E-3</v>
      </c>
      <c r="I46" s="2">
        <f>'Statements Summary 2027'!V46</f>
        <v>6.8469068635615016E-3</v>
      </c>
      <c r="K46" s="2"/>
      <c r="L46" s="2">
        <f t="shared" ref="L46" si="2">(L45-K45)/K45</f>
        <v>0</v>
      </c>
      <c r="M46" s="2">
        <f>(M45-L45)/L45</f>
        <v>0.57306664089928172</v>
      </c>
      <c r="N46" s="2">
        <f>(N45-M45)/M45</f>
        <v>7.5431519891889676E-2</v>
      </c>
      <c r="O46" s="2">
        <f t="shared" ref="O46:T46" si="3">(O45-N45)/N45</f>
        <v>1.9934124098014202E-2</v>
      </c>
      <c r="P46" s="2">
        <f t="shared" si="3"/>
        <v>3.6736979652790741E-2</v>
      </c>
      <c r="Q46" s="2">
        <f t="shared" si="3"/>
        <v>0.12933486981886277</v>
      </c>
      <c r="R46" s="2">
        <f t="shared" si="3"/>
        <v>-4.9425232378310291E-4</v>
      </c>
      <c r="S46" s="2">
        <f t="shared" si="3"/>
        <v>-1.5760089328441539E-2</v>
      </c>
      <c r="T46" s="2">
        <f t="shared" si="3"/>
        <v>-0.12262163301027519</v>
      </c>
      <c r="U46" s="2">
        <f>(U45-T45)/T45</f>
        <v>-1.791783655977538E-3</v>
      </c>
      <c r="V46" s="2">
        <f t="shared" ref="V46" si="4">(V45-U45)/U45</f>
        <v>6.8469068635615016E-3</v>
      </c>
    </row>
    <row r="47" spans="2:22" x14ac:dyDescent="0.3">
      <c r="B47" t="s">
        <v>3</v>
      </c>
      <c r="E47" s="1">
        <f>'Statements Summary 2023'!V46</f>
        <v>-3334</v>
      </c>
      <c r="F47" s="1">
        <f>'Statements Summary 2024'!V46</f>
        <v>-3334</v>
      </c>
      <c r="G47" s="1">
        <f>'Statements Summary 2025'!V47</f>
        <v>-2545</v>
      </c>
      <c r="H47" s="1">
        <f t="shared" si="1"/>
        <v>-2545</v>
      </c>
      <c r="I47" s="1">
        <f>'Statements Summary 2027'!V47</f>
        <v>-2545</v>
      </c>
      <c r="K47" s="1">
        <f>'IS 2026'!F35</f>
        <v>-2545</v>
      </c>
      <c r="L47" s="1">
        <f>'IS 2026'!G35</f>
        <v>-2545</v>
      </c>
      <c r="M47" s="1">
        <f>'IS 2026'!H35</f>
        <v>-2545</v>
      </c>
      <c r="N47" s="1">
        <f>'IS 2026'!I35</f>
        <v>-2545</v>
      </c>
      <c r="O47" s="1">
        <f>'IS 2026'!J35</f>
        <v>-2545</v>
      </c>
      <c r="P47" s="1">
        <f>'IS 2026'!K35</f>
        <v>-2545</v>
      </c>
      <c r="Q47" s="1">
        <f>'IS 2026'!L35</f>
        <v>-2545</v>
      </c>
      <c r="R47" s="1">
        <f>'IS 2026'!M35</f>
        <v>-2545</v>
      </c>
      <c r="S47" s="1">
        <f>'IS 2026'!N35</f>
        <v>-2545</v>
      </c>
      <c r="T47" s="1">
        <f>'IS 2026'!O35</f>
        <v>-2545</v>
      </c>
      <c r="U47" s="1">
        <f>'IS 2026'!P35</f>
        <v>-2545</v>
      </c>
      <c r="V47" s="1">
        <f>'IS 2026'!Q35</f>
        <v>-2545</v>
      </c>
    </row>
    <row r="48" spans="2:22" x14ac:dyDescent="0.3">
      <c r="B48" t="s">
        <v>22</v>
      </c>
      <c r="E48" s="2">
        <f>'Statements Summary 2023'!V47</f>
        <v>-6.1276627028616588E-2</v>
      </c>
      <c r="F48" s="2">
        <f>'Statements Summary 2024'!V47</f>
        <v>-6.1276627028616588E-2</v>
      </c>
      <c r="G48" s="2">
        <f>'Statements Summary 2025'!V48</f>
        <v>-4.6775349666415486E-2</v>
      </c>
      <c r="H48" s="2">
        <f t="shared" si="1"/>
        <v>-4.6775349666415486E-2</v>
      </c>
      <c r="I48" s="2">
        <f>'Statements Summary 2027'!V48</f>
        <v>-4.6775349666415486E-2</v>
      </c>
      <c r="K48" s="2">
        <f>K47/K45</f>
        <v>-8.197249331658453E-2</v>
      </c>
      <c r="L48" s="2">
        <f t="shared" ref="L48:V48" si="5">L47/L45</f>
        <v>-8.197249331658453E-2</v>
      </c>
      <c r="M48" s="2">
        <f t="shared" si="5"/>
        <v>-5.2109994062122487E-2</v>
      </c>
      <c r="N48" s="2">
        <f t="shared" si="5"/>
        <v>-4.8454962587818673E-2</v>
      </c>
      <c r="O48" s="2">
        <f t="shared" si="5"/>
        <v>-4.7507933544894528E-2</v>
      </c>
      <c r="P48" s="2">
        <f t="shared" si="5"/>
        <v>-4.5824480535849331E-2</v>
      </c>
      <c r="Q48" s="2">
        <f t="shared" si="5"/>
        <v>-4.0576521420257965E-2</v>
      </c>
      <c r="R48" s="2">
        <f t="shared" si="5"/>
        <v>-4.0596586377412668E-2</v>
      </c>
      <c r="S48" s="2">
        <f t="shared" si="5"/>
        <v>-4.1246637062007714E-2</v>
      </c>
      <c r="T48" s="2">
        <f t="shared" si="5"/>
        <v>-4.7011230973843653E-2</v>
      </c>
      <c r="U48" s="2">
        <f t="shared" si="5"/>
        <v>-4.7095616129091952E-2</v>
      </c>
      <c r="V48" s="2">
        <f t="shared" si="5"/>
        <v>-4.6775349666415486E-2</v>
      </c>
    </row>
    <row r="49" spans="2:22" x14ac:dyDescent="0.3">
      <c r="B49" t="s">
        <v>4</v>
      </c>
      <c r="E49" s="1">
        <f>'Statements Summary 2023'!V48</f>
        <v>51075</v>
      </c>
      <c r="F49" s="1">
        <f>'Statements Summary 2024'!V48</f>
        <v>51075</v>
      </c>
      <c r="G49" s="1">
        <f>'Statements Summary 2025'!V49</f>
        <v>51864</v>
      </c>
      <c r="H49" s="1">
        <f t="shared" si="1"/>
        <v>51864</v>
      </c>
      <c r="I49" s="1">
        <f>'Statements Summary 2027'!V49</f>
        <v>51864</v>
      </c>
      <c r="K49" s="1">
        <f>'IS 2026'!F44</f>
        <v>28502</v>
      </c>
      <c r="L49" s="1">
        <f>'IS 2026'!G44</f>
        <v>28502</v>
      </c>
      <c r="M49" s="1">
        <f>'IS 2026'!H44</f>
        <v>46294</v>
      </c>
      <c r="N49" s="1">
        <f>'IS 2026'!I44</f>
        <v>49978</v>
      </c>
      <c r="O49" s="1">
        <f>'IS 2026'!J44</f>
        <v>51025</v>
      </c>
      <c r="P49" s="1">
        <f>'IS 2026'!K44</f>
        <v>52993</v>
      </c>
      <c r="Q49" s="1">
        <f>'IS 2026'!L44</f>
        <v>60176</v>
      </c>
      <c r="R49" s="1">
        <f>'IS 2026'!M44</f>
        <v>60145</v>
      </c>
      <c r="S49" s="1">
        <f>'IS 2026'!N44</f>
        <v>59157</v>
      </c>
      <c r="T49" s="1">
        <f>'IS 2026'!O44</f>
        <v>51591</v>
      </c>
      <c r="U49" s="1">
        <f>'IS 2026'!P44</f>
        <v>51494</v>
      </c>
      <c r="V49" s="1">
        <f>'IS 2026'!Q44</f>
        <v>51864</v>
      </c>
    </row>
    <row r="50" spans="2:22" x14ac:dyDescent="0.3">
      <c r="B50" t="s">
        <v>23</v>
      </c>
      <c r="E50" s="2">
        <f>'Statements Summary 2023'!V49</f>
        <v>0.93872337297138342</v>
      </c>
      <c r="F50" s="2">
        <f>'Statements Summary 2024'!V49</f>
        <v>0.93872337297138342</v>
      </c>
      <c r="G50" s="2">
        <f>'Statements Summary 2025'!V50</f>
        <v>0.9532246503335845</v>
      </c>
      <c r="H50" s="2">
        <f t="shared" si="1"/>
        <v>0.9532246503335845</v>
      </c>
      <c r="I50" s="2">
        <f>'Statements Summary 2027'!V50</f>
        <v>0.9532246503335845</v>
      </c>
      <c r="K50" s="2">
        <f>K49/K45</f>
        <v>0.91802750668341548</v>
      </c>
      <c r="L50" s="2">
        <f t="shared" ref="L50:V50" si="6">L49/L45</f>
        <v>0.91802750668341548</v>
      </c>
      <c r="M50" s="2">
        <f t="shared" si="6"/>
        <v>0.94789000593787753</v>
      </c>
      <c r="N50" s="2">
        <f t="shared" si="6"/>
        <v>0.95154503741218133</v>
      </c>
      <c r="O50" s="2">
        <f t="shared" si="6"/>
        <v>0.95249206645510542</v>
      </c>
      <c r="P50" s="2">
        <f t="shared" si="6"/>
        <v>0.95417551946415069</v>
      </c>
      <c r="Q50" s="2">
        <f t="shared" si="6"/>
        <v>0.95942347857974208</v>
      </c>
      <c r="R50" s="2">
        <f t="shared" si="6"/>
        <v>0.9594034136225873</v>
      </c>
      <c r="S50" s="2">
        <f t="shared" si="6"/>
        <v>0.95875336293799229</v>
      </c>
      <c r="T50" s="2">
        <f t="shared" si="6"/>
        <v>0.95298876902615637</v>
      </c>
      <c r="U50" s="2">
        <f t="shared" si="6"/>
        <v>0.95290438387090803</v>
      </c>
      <c r="V50" s="2">
        <f t="shared" si="6"/>
        <v>0.9532246503335845</v>
      </c>
    </row>
    <row r="51" spans="2:22" x14ac:dyDescent="0.3">
      <c r="B51" t="s">
        <v>5</v>
      </c>
      <c r="E51" s="1">
        <f>'Statements Summary 2023'!V50</f>
        <v>-1443</v>
      </c>
      <c r="F51" s="1">
        <f>'Statements Summary 2024'!V50</f>
        <v>-1443</v>
      </c>
      <c r="G51" s="1">
        <f>'Statements Summary 2025'!V51</f>
        <v>-5549</v>
      </c>
      <c r="H51" s="1">
        <f t="shared" si="1"/>
        <v>-5549</v>
      </c>
      <c r="I51" s="1">
        <f>'Statements Summary 2027'!V51</f>
        <v>-5549</v>
      </c>
      <c r="K51" s="1">
        <f>'IS 2026'!F56</f>
        <v>-5549</v>
      </c>
      <c r="L51" s="1">
        <f>'IS 2026'!G56</f>
        <v>-5549</v>
      </c>
      <c r="M51" s="1">
        <f>'IS 2026'!H56</f>
        <v>-5549</v>
      </c>
      <c r="N51" s="1">
        <f>'IS 2026'!I56</f>
        <v>-5549</v>
      </c>
      <c r="O51" s="1">
        <f>'IS 2026'!J56</f>
        <v>-5549</v>
      </c>
      <c r="P51" s="1">
        <f>'IS 2026'!K56</f>
        <v>-5549</v>
      </c>
      <c r="Q51" s="1">
        <f>'IS 2026'!L56</f>
        <v>-5549</v>
      </c>
      <c r="R51" s="1">
        <f>'IS 2026'!M56</f>
        <v>-5549</v>
      </c>
      <c r="S51" s="1">
        <f>'IS 2026'!N56</f>
        <v>-5549</v>
      </c>
      <c r="T51" s="1">
        <f>'IS 2026'!O56</f>
        <v>-5549</v>
      </c>
      <c r="U51" s="1">
        <f>'IS 2026'!P56</f>
        <v>-5549</v>
      </c>
      <c r="V51" s="1">
        <f>'IS 2026'!Q56</f>
        <v>-5549</v>
      </c>
    </row>
    <row r="52" spans="2:22" x14ac:dyDescent="0.3">
      <c r="B52" t="s">
        <v>22</v>
      </c>
      <c r="E52" s="2">
        <f>'Statements Summary 2023'!V51</f>
        <v>-2.6521347571173887E-2</v>
      </c>
      <c r="F52" s="2">
        <f>'Statements Summary 2024'!V51</f>
        <v>-2.6521347571173887E-2</v>
      </c>
      <c r="G52" s="2">
        <f>'Statements Summary 2025'!V52</f>
        <v>-0.10198680365380727</v>
      </c>
      <c r="H52" s="2">
        <f t="shared" si="1"/>
        <v>-0.10198680365380727</v>
      </c>
      <c r="I52" s="2">
        <f>'Statements Summary 2027'!V52</f>
        <v>-0.10198680365380727</v>
      </c>
      <c r="K52" s="2">
        <f>K51/K45</f>
        <v>-0.17872902373820337</v>
      </c>
      <c r="L52" s="2">
        <f t="shared" ref="L52:V52" si="7">L51/L45</f>
        <v>-0.17872902373820337</v>
      </c>
      <c r="M52" s="2">
        <f t="shared" si="7"/>
        <v>-0.11361821495116607</v>
      </c>
      <c r="N52" s="2">
        <f t="shared" si="7"/>
        <v>-0.10564895379167222</v>
      </c>
      <c r="O52" s="2">
        <f t="shared" si="7"/>
        <v>-0.10358409557588202</v>
      </c>
      <c r="P52" s="2">
        <f t="shared" si="7"/>
        <v>-9.9913572688969721E-2</v>
      </c>
      <c r="Q52" s="2">
        <f t="shared" si="7"/>
        <v>-8.8471165957175427E-2</v>
      </c>
      <c r="R52" s="2">
        <f t="shared" si="7"/>
        <v>-8.8514914659435312E-2</v>
      </c>
      <c r="S52" s="2">
        <f t="shared" si="7"/>
        <v>-8.9932255032251787E-2</v>
      </c>
      <c r="T52" s="2">
        <f t="shared" si="7"/>
        <v>-0.1025011083197872</v>
      </c>
      <c r="U52" s="2">
        <f t="shared" si="7"/>
        <v>-0.10268509779973722</v>
      </c>
      <c r="V52" s="2">
        <f t="shared" si="7"/>
        <v>-0.10198680365380727</v>
      </c>
    </row>
    <row r="53" spans="2:22" x14ac:dyDescent="0.3">
      <c r="B53" t="s">
        <v>191</v>
      </c>
      <c r="E53" s="1">
        <f>'Statements Summary 2023'!V52</f>
        <v>-5063</v>
      </c>
      <c r="F53" s="1">
        <f>'Statements Summary 2024'!V52</f>
        <v>-5063</v>
      </c>
      <c r="G53" s="1">
        <f>'Statements Summary 2025'!V53</f>
        <v>-5063</v>
      </c>
      <c r="H53" s="1">
        <f t="shared" si="1"/>
        <v>-5063</v>
      </c>
      <c r="I53" s="1">
        <f>'Statements Summary 2027'!V53</f>
        <v>-45063</v>
      </c>
      <c r="K53" s="1">
        <f>'IS 2026'!F57</f>
        <v>-5063</v>
      </c>
      <c r="L53" s="1">
        <f>'IS 2026'!G57</f>
        <v>-5063</v>
      </c>
      <c r="M53" s="1">
        <f>'IS 2026'!H57</f>
        <v>-5063</v>
      </c>
      <c r="N53" s="1">
        <f>'IS 2026'!I57</f>
        <v>-5063</v>
      </c>
      <c r="O53" s="1">
        <f>'IS 2026'!J57</f>
        <v>-5063</v>
      </c>
      <c r="P53" s="1">
        <f>'IS 2026'!K57</f>
        <v>-5063</v>
      </c>
      <c r="Q53" s="1">
        <f>'IS 2026'!L57</f>
        <v>-5063</v>
      </c>
      <c r="R53" s="1">
        <f>'IS 2026'!M57</f>
        <v>-5063</v>
      </c>
      <c r="S53" s="1">
        <f>'IS 2026'!N57</f>
        <v>-5063</v>
      </c>
      <c r="T53" s="1">
        <f>'IS 2026'!O57</f>
        <v>-5063</v>
      </c>
      <c r="U53" s="1">
        <f>'IS 2026'!P57</f>
        <v>-5063</v>
      </c>
      <c r="V53" s="1">
        <f>'IS 2026'!Q57</f>
        <v>-5063</v>
      </c>
    </row>
    <row r="54" spans="2:22" x14ac:dyDescent="0.3">
      <c r="B54" t="s">
        <v>22</v>
      </c>
      <c r="E54" s="2">
        <f>'Statements Summary 2023'!V53</f>
        <v>-9.3054457902185306E-2</v>
      </c>
      <c r="F54" s="2">
        <f>'Statements Summary 2024'!V53</f>
        <v>-9.3054457902185306E-2</v>
      </c>
      <c r="G54" s="2">
        <f>'Statements Summary 2025'!V54</f>
        <v>-9.3054457902185306E-2</v>
      </c>
      <c r="H54" s="2">
        <f t="shared" si="1"/>
        <v>-9.3054457902185306E-2</v>
      </c>
      <c r="I54" s="2">
        <f>'Statements Summary 2027'!V54</f>
        <v>-0.82822694774761529</v>
      </c>
      <c r="K54" s="2">
        <f>K53/K45</f>
        <v>-0.16307533739169647</v>
      </c>
      <c r="L54" s="2">
        <f t="shared" ref="L54:V54" si="8">L53/L45</f>
        <v>-0.16307533739169647</v>
      </c>
      <c r="M54" s="2">
        <f t="shared" si="8"/>
        <v>-0.10366715125207314</v>
      </c>
      <c r="N54" s="2">
        <f t="shared" si="8"/>
        <v>-9.6395864668811754E-2</v>
      </c>
      <c r="O54" s="2">
        <f t="shared" si="8"/>
        <v>-9.4511853649430655E-2</v>
      </c>
      <c r="P54" s="2">
        <f t="shared" si="8"/>
        <v>-9.1162807447153299E-2</v>
      </c>
      <c r="Q54" s="2">
        <f t="shared" si="8"/>
        <v>-8.0722565010124203E-2</v>
      </c>
      <c r="R54" s="2">
        <f t="shared" si="8"/>
        <v>-8.0762482054554149E-2</v>
      </c>
      <c r="S54" s="2">
        <f t="shared" si="8"/>
        <v>-8.2055687011766229E-2</v>
      </c>
      <c r="T54" s="2">
        <f t="shared" si="8"/>
        <v>-9.3523718043446141E-2</v>
      </c>
      <c r="U54" s="2">
        <f t="shared" si="8"/>
        <v>-9.3691593108680762E-2</v>
      </c>
      <c r="V54" s="2">
        <f t="shared" si="8"/>
        <v>-9.3054457902185306E-2</v>
      </c>
    </row>
    <row r="55" spans="2:22" x14ac:dyDescent="0.3">
      <c r="B55" t="s">
        <v>24</v>
      </c>
      <c r="E55" s="1">
        <f>'Statements Summary 2023'!V54</f>
        <v>-7800</v>
      </c>
      <c r="F55" s="1">
        <f>'Statements Summary 2024'!V54</f>
        <v>-7800</v>
      </c>
      <c r="G55" s="1">
        <f>'Statements Summary 2025'!V55</f>
        <v>-7250</v>
      </c>
      <c r="H55" s="1">
        <f t="shared" si="1"/>
        <v>-7250</v>
      </c>
      <c r="I55" s="1">
        <f>'Statements Summary 2027'!V55</f>
        <v>-7250</v>
      </c>
      <c r="K55" s="1">
        <f>'IS 2026'!F76</f>
        <v>-7250</v>
      </c>
      <c r="L55" s="1">
        <f>'IS 2026'!G76</f>
        <v>-7250</v>
      </c>
      <c r="M55" s="1">
        <f>'IS 2026'!H76</f>
        <v>-7250</v>
      </c>
      <c r="N55" s="1">
        <f>'IS 2026'!I76</f>
        <v>-7250</v>
      </c>
      <c r="O55" s="1">
        <f>'IS 2026'!J76</f>
        <v>-7250</v>
      </c>
      <c r="P55" s="1">
        <f>'IS 2026'!K76</f>
        <v>-7250</v>
      </c>
      <c r="Q55" s="1">
        <f>'IS 2026'!L76</f>
        <v>-7250</v>
      </c>
      <c r="R55" s="1">
        <f>'IS 2026'!M76</f>
        <v>-7250</v>
      </c>
      <c r="S55" s="1">
        <f>'IS 2026'!N76</f>
        <v>-7250</v>
      </c>
      <c r="T55" s="1">
        <f>'IS 2026'!O76</f>
        <v>-7250</v>
      </c>
      <c r="U55" s="1">
        <f>'IS 2026'!P76</f>
        <v>-7250</v>
      </c>
      <c r="V55" s="1">
        <f>'IS 2026'!Q76</f>
        <v>-7250</v>
      </c>
    </row>
    <row r="56" spans="2:22" x14ac:dyDescent="0.3">
      <c r="B56" t="s">
        <v>22</v>
      </c>
      <c r="E56" s="2">
        <f>'Statements Summary 2023'!V55</f>
        <v>-0.14335863551985883</v>
      </c>
      <c r="F56" s="2">
        <f>'Statements Summary 2024'!V55</f>
        <v>-0.14335863551985883</v>
      </c>
      <c r="G56" s="2">
        <f>'Statements Summary 2025'!V56</f>
        <v>-0.13325001378448417</v>
      </c>
      <c r="H56" s="2">
        <f t="shared" si="1"/>
        <v>-0.13325001378448417</v>
      </c>
      <c r="I56" s="2">
        <f>'Statements Summary 2027'!V56</f>
        <v>-0.13325001378448417</v>
      </c>
      <c r="K56" s="2">
        <f>K55/K45</f>
        <v>-0.23351692595097756</v>
      </c>
      <c r="L56" s="2">
        <f t="shared" ref="L56:V56" si="9">L55/L45</f>
        <v>-0.23351692595097756</v>
      </c>
      <c r="M56" s="2">
        <f t="shared" si="9"/>
        <v>-0.14844693789799135</v>
      </c>
      <c r="N56" s="2">
        <f t="shared" si="9"/>
        <v>-0.13803476572168383</v>
      </c>
      <c r="O56" s="2">
        <f t="shared" si="9"/>
        <v>-0.13533694231846183</v>
      </c>
      <c r="P56" s="2">
        <f t="shared" si="9"/>
        <v>-0.13054125103532715</v>
      </c>
      <c r="Q56" s="2">
        <f t="shared" si="9"/>
        <v>-0.11559126927185472</v>
      </c>
      <c r="R56" s="2">
        <f t="shared" si="9"/>
        <v>-0.11564842877651937</v>
      </c>
      <c r="S56" s="2">
        <f t="shared" si="9"/>
        <v>-0.11750024310395125</v>
      </c>
      <c r="T56" s="2">
        <f t="shared" si="9"/>
        <v>-0.13392197428698094</v>
      </c>
      <c r="U56" s="2">
        <f t="shared" si="9"/>
        <v>-0.13416236421843483</v>
      </c>
      <c r="V56" s="2">
        <f t="shared" si="9"/>
        <v>-0.13325001378448417</v>
      </c>
    </row>
    <row r="57" spans="2:22" x14ac:dyDescent="0.3">
      <c r="B57" s="14" t="s">
        <v>6</v>
      </c>
      <c r="C57" s="14"/>
      <c r="D57" s="14"/>
      <c r="E57" s="188">
        <f>'Statements Summary 2023'!V56</f>
        <v>41832</v>
      </c>
      <c r="F57" s="188">
        <f>'Statements Summary 2024'!V56</f>
        <v>41832</v>
      </c>
      <c r="G57" s="188">
        <f>'Statements Summary 2025'!V57</f>
        <v>39065</v>
      </c>
      <c r="H57" s="188">
        <f t="shared" si="1"/>
        <v>39065</v>
      </c>
      <c r="I57" s="188">
        <f>'Statements Summary 2027'!V57</f>
        <v>39065</v>
      </c>
      <c r="K57" s="188">
        <f>'IS 2026'!F77</f>
        <v>15703</v>
      </c>
      <c r="L57" s="188">
        <f>'IS 2026'!G77</f>
        <v>15703</v>
      </c>
      <c r="M57" s="188">
        <f>'IS 2026'!H77</f>
        <v>33495</v>
      </c>
      <c r="N57" s="188">
        <f>'IS 2026'!I77</f>
        <v>37179</v>
      </c>
      <c r="O57" s="188">
        <f>'IS 2026'!J77</f>
        <v>38226</v>
      </c>
      <c r="P57" s="188">
        <f>'IS 2026'!K77</f>
        <v>40194</v>
      </c>
      <c r="Q57" s="188">
        <f>'IS 2026'!L77</f>
        <v>47377</v>
      </c>
      <c r="R57" s="188">
        <f>'IS 2026'!M77</f>
        <v>47346</v>
      </c>
      <c r="S57" s="188">
        <f>'IS 2026'!N77</f>
        <v>46358</v>
      </c>
      <c r="T57" s="188">
        <f>'IS 2026'!O77</f>
        <v>38792</v>
      </c>
      <c r="U57" s="188">
        <f>'IS 2026'!P77</f>
        <v>38695</v>
      </c>
      <c r="V57" s="188">
        <f>'IS 2026'!Q77</f>
        <v>39065</v>
      </c>
    </row>
    <row r="58" spans="2:22" x14ac:dyDescent="0.3">
      <c r="B58" t="s">
        <v>15</v>
      </c>
      <c r="E58" s="2">
        <f>'Statements Summary 2023'!V57</f>
        <v>0.76884338988035072</v>
      </c>
      <c r="F58" s="2">
        <f>'Statements Summary 2024'!V57</f>
        <v>0.76884338988035072</v>
      </c>
      <c r="G58" s="2">
        <f>'Statements Summary 2025'!V58</f>
        <v>0.71798783289529311</v>
      </c>
      <c r="H58" s="2">
        <f t="shared" si="1"/>
        <v>0.71798783289529311</v>
      </c>
      <c r="I58" s="2">
        <f>'Statements Summary 2027'!V58</f>
        <v>0.71798783289529311</v>
      </c>
      <c r="K58" s="2">
        <f>K57/K45</f>
        <v>0.50578155699423455</v>
      </c>
      <c r="L58" s="2">
        <f t="shared" ref="L58:V58" si="10">L57/L45</f>
        <v>0.50578155699423455</v>
      </c>
      <c r="M58" s="2">
        <f t="shared" si="10"/>
        <v>0.6858248530887201</v>
      </c>
      <c r="N58" s="2">
        <f t="shared" si="10"/>
        <v>0.70786131789882523</v>
      </c>
      <c r="O58" s="2">
        <f t="shared" si="10"/>
        <v>0.7135710285607616</v>
      </c>
      <c r="P58" s="2">
        <f t="shared" si="10"/>
        <v>0.72372069573985376</v>
      </c>
      <c r="Q58" s="2">
        <f t="shared" si="10"/>
        <v>0.75536104335071186</v>
      </c>
      <c r="R58" s="2">
        <f t="shared" si="10"/>
        <v>0.75524007018663264</v>
      </c>
      <c r="S58" s="2">
        <f t="shared" si="10"/>
        <v>0.75132086480178928</v>
      </c>
      <c r="T58" s="2">
        <f t="shared" si="10"/>
        <v>0.71656568641938823</v>
      </c>
      <c r="U58" s="2">
        <f t="shared" si="10"/>
        <v>0.71605692185273595</v>
      </c>
      <c r="V58" s="2">
        <f t="shared" si="10"/>
        <v>0.71798783289529311</v>
      </c>
    </row>
    <row r="59" spans="2:22" x14ac:dyDescent="0.3">
      <c r="B59" t="s">
        <v>7</v>
      </c>
      <c r="E59" s="1">
        <f>'Statements Summary 2023'!V58</f>
        <v>-1711</v>
      </c>
      <c r="F59" s="1">
        <f>'Statements Summary 2024'!V58</f>
        <v>-1850</v>
      </c>
      <c r="G59" s="1">
        <f>'Statements Summary 2025'!V59</f>
        <v>-1911</v>
      </c>
      <c r="H59" s="1">
        <f t="shared" si="1"/>
        <v>-1756</v>
      </c>
      <c r="I59" s="1">
        <f>'Statements Summary 2027'!V59</f>
        <v>-1800</v>
      </c>
      <c r="K59">
        <f>'IS 2026'!F78</f>
        <v>-1911</v>
      </c>
      <c r="L59">
        <f>'IS 2026'!G78</f>
        <v>-1911</v>
      </c>
      <c r="M59">
        <f>'IS 2026'!H78</f>
        <v>-1911</v>
      </c>
      <c r="N59">
        <f>'IS 2026'!I78</f>
        <v>-1756</v>
      </c>
      <c r="O59">
        <f>'IS 2026'!J78</f>
        <v>-1756</v>
      </c>
      <c r="P59">
        <f>'IS 2026'!K78</f>
        <v>-1756</v>
      </c>
      <c r="Q59">
        <f>'IS 2026'!L78</f>
        <v>-1756</v>
      </c>
      <c r="R59">
        <f>'IS 2026'!M78</f>
        <v>-1756</v>
      </c>
      <c r="S59">
        <f>'IS 2026'!N78</f>
        <v>-1756</v>
      </c>
      <c r="T59">
        <f>'IS 2026'!O78</f>
        <v>-1756</v>
      </c>
      <c r="U59">
        <f>'IS 2026'!P78</f>
        <v>-1756</v>
      </c>
      <c r="V59">
        <f>'IS 2026'!Q78</f>
        <v>-1756</v>
      </c>
    </row>
    <row r="60" spans="2:22" x14ac:dyDescent="0.3">
      <c r="B60" t="s">
        <v>8</v>
      </c>
      <c r="E60" s="1">
        <f>'Statements Summary 2023'!V59</f>
        <v>40121</v>
      </c>
      <c r="F60" s="1">
        <f>'Statements Summary 2024'!V59</f>
        <v>39982</v>
      </c>
      <c r="G60" s="1">
        <f>'Statements Summary 2025'!V60</f>
        <v>40976</v>
      </c>
      <c r="H60" s="1">
        <f t="shared" si="1"/>
        <v>37309</v>
      </c>
      <c r="I60" s="1">
        <f>'Statements Summary 2027'!V60</f>
        <v>37265</v>
      </c>
      <c r="K60" s="1">
        <f>'IS 2026'!F79</f>
        <v>13792</v>
      </c>
      <c r="L60" s="1">
        <f>'IS 2026'!G79</f>
        <v>13792</v>
      </c>
      <c r="M60" s="1">
        <f>'IS 2026'!H79</f>
        <v>31584</v>
      </c>
      <c r="N60" s="1">
        <f>'IS 2026'!I79</f>
        <v>35423</v>
      </c>
      <c r="O60" s="1">
        <f>'IS 2026'!J79</f>
        <v>36470</v>
      </c>
      <c r="P60" s="1">
        <f>'IS 2026'!K79</f>
        <v>38438</v>
      </c>
      <c r="Q60" s="1">
        <f>'IS 2026'!L79</f>
        <v>45621</v>
      </c>
      <c r="R60" s="1">
        <f>'IS 2026'!M79</f>
        <v>45590</v>
      </c>
      <c r="S60" s="1">
        <f>'IS 2026'!N79</f>
        <v>44602</v>
      </c>
      <c r="T60" s="1">
        <f>'IS 2026'!O79</f>
        <v>37036</v>
      </c>
      <c r="U60" s="1">
        <f>'IS 2026'!P79</f>
        <v>36939</v>
      </c>
      <c r="V60" s="1">
        <f>'IS 2026'!Q79</f>
        <v>37309</v>
      </c>
    </row>
    <row r="61" spans="2:22" x14ac:dyDescent="0.3">
      <c r="B61" t="s">
        <v>9</v>
      </c>
      <c r="E61" s="1">
        <f>'Statements Summary 2023'!V60</f>
        <v>-22740</v>
      </c>
      <c r="F61" s="1">
        <f>'Statements Summary 2024'!V60</f>
        <v>-7410</v>
      </c>
      <c r="G61" s="1">
        <f>'Statements Summary 2025'!V61</f>
        <v>-2055</v>
      </c>
      <c r="H61" s="1">
        <f t="shared" si="1"/>
        <v>-75</v>
      </c>
      <c r="I61" s="1">
        <f>'Statements Summary 2027'!V61</f>
        <v>0</v>
      </c>
      <c r="K61" s="1">
        <f>'IS 2026'!F80</f>
        <v>-1890</v>
      </c>
      <c r="L61" s="1">
        <f>'IS 2026'!G80</f>
        <v>-1725</v>
      </c>
      <c r="M61" s="1">
        <f>'IS 2026'!H80</f>
        <v>-1560</v>
      </c>
      <c r="N61" s="1">
        <f>'IS 2026'!I80</f>
        <v>-1395</v>
      </c>
      <c r="O61" s="1">
        <f>'IS 2026'!J80</f>
        <v>-1230</v>
      </c>
      <c r="P61" s="1">
        <f>'IS 2026'!K80</f>
        <v>-1065</v>
      </c>
      <c r="Q61" s="1">
        <f>'IS 2026'!L80</f>
        <v>-900</v>
      </c>
      <c r="R61" s="1">
        <f>'IS 2026'!M80</f>
        <v>-735</v>
      </c>
      <c r="S61" s="1">
        <f>'IS 2026'!N80</f>
        <v>-570</v>
      </c>
      <c r="T61" s="1">
        <f>'IS 2026'!O80</f>
        <v>-405</v>
      </c>
      <c r="U61" s="1">
        <f>'IS 2026'!P80</f>
        <v>-240</v>
      </c>
      <c r="V61" s="1">
        <f>'IS 2026'!Q80</f>
        <v>-75</v>
      </c>
    </row>
    <row r="62" spans="2:22" x14ac:dyDescent="0.3">
      <c r="B62" t="s">
        <v>10</v>
      </c>
      <c r="E62" s="1">
        <f>'Statements Summary 2023'!V61</f>
        <v>41832</v>
      </c>
      <c r="F62" s="1">
        <f>'Statements Summary 2024'!V61</f>
        <v>41832</v>
      </c>
      <c r="G62" s="1">
        <f>'Statements Summary 2025'!V62</f>
        <v>39065</v>
      </c>
      <c r="H62" s="1">
        <f t="shared" si="1"/>
        <v>39065</v>
      </c>
      <c r="I62" s="1">
        <f>'Statements Summary 2027'!V62</f>
        <v>39065</v>
      </c>
      <c r="K62" s="1">
        <f>'IS 2026'!F81</f>
        <v>15703</v>
      </c>
      <c r="L62" s="1">
        <f>'IS 2026'!G81</f>
        <v>15703</v>
      </c>
      <c r="M62" s="1">
        <f>'IS 2026'!H81</f>
        <v>33495</v>
      </c>
      <c r="N62" s="1">
        <f>'IS 2026'!I81</f>
        <v>37179</v>
      </c>
      <c r="O62" s="1">
        <f>'IS 2026'!J81</f>
        <v>38226</v>
      </c>
      <c r="P62" s="1">
        <f>'IS 2026'!K81</f>
        <v>40194</v>
      </c>
      <c r="Q62" s="1">
        <f>'IS 2026'!L81</f>
        <v>47377</v>
      </c>
      <c r="R62" s="1">
        <f>'IS 2026'!M81</f>
        <v>47346</v>
      </c>
      <c r="S62" s="1">
        <f>'IS 2026'!N81</f>
        <v>46358</v>
      </c>
      <c r="T62" s="1">
        <f>'IS 2026'!O81</f>
        <v>38792</v>
      </c>
      <c r="U62" s="1">
        <f>'IS 2026'!P81</f>
        <v>38695</v>
      </c>
      <c r="V62" s="1">
        <f>'IS 2026'!Q81</f>
        <v>39065</v>
      </c>
    </row>
    <row r="63" spans="2:22" x14ac:dyDescent="0.3">
      <c r="B63" t="s">
        <v>11</v>
      </c>
      <c r="E63" s="1">
        <f>'Statements Summary 2023'!V62</f>
        <v>-8366.4</v>
      </c>
      <c r="F63" s="1">
        <f>'Statements Summary 2024'!V62</f>
        <v>-8366.4</v>
      </c>
      <c r="G63" s="1">
        <f>'Statements Summary 2025'!V63</f>
        <v>-8194.2000000000007</v>
      </c>
      <c r="H63" s="1">
        <f t="shared" si="1"/>
        <v>-7461.8</v>
      </c>
      <c r="I63" s="1">
        <f>'Statements Summary 2027'!V63</f>
        <v>-7453</v>
      </c>
      <c r="K63" s="1">
        <f>'IS 2026'!F82</f>
        <v>-2758.4</v>
      </c>
      <c r="L63" s="1">
        <f>'IS 2026'!G82</f>
        <v>-2758.4</v>
      </c>
      <c r="M63" s="1">
        <f>'IS 2026'!H82</f>
        <v>-6316.8</v>
      </c>
      <c r="N63" s="1">
        <f>'IS 2026'!I82</f>
        <v>-7084.6</v>
      </c>
      <c r="O63" s="1">
        <f>'IS 2026'!J82</f>
        <v>-7294</v>
      </c>
      <c r="P63" s="1">
        <f>'IS 2026'!K82</f>
        <v>-7687.6</v>
      </c>
      <c r="Q63" s="1">
        <f>'IS 2026'!L82</f>
        <v>-9124.2000000000007</v>
      </c>
      <c r="R63" s="1">
        <f>'IS 2026'!M82</f>
        <v>-9118</v>
      </c>
      <c r="S63" s="1">
        <f>'IS 2026'!N82</f>
        <v>-8920.4</v>
      </c>
      <c r="T63" s="1">
        <f>'IS 2026'!O82</f>
        <v>-7407.2000000000007</v>
      </c>
      <c r="U63" s="1">
        <f>'IS 2026'!P82</f>
        <v>-7387.8</v>
      </c>
      <c r="V63" s="1">
        <f>'IS 2026'!Q82</f>
        <v>-7461.8</v>
      </c>
    </row>
    <row r="64" spans="2:22" x14ac:dyDescent="0.3">
      <c r="B64" s="14" t="s">
        <v>12</v>
      </c>
      <c r="C64" s="14"/>
      <c r="D64" s="14"/>
      <c r="E64" s="188">
        <f>'Statements Summary 2023'!V63</f>
        <v>33465.599999999999</v>
      </c>
      <c r="F64" s="188">
        <f>'Statements Summary 2024'!V63</f>
        <v>33465.599999999999</v>
      </c>
      <c r="G64" s="188">
        <f>'Statements Summary 2025'!V64</f>
        <v>30870.799999999999</v>
      </c>
      <c r="H64" s="188">
        <f t="shared" si="1"/>
        <v>31603.200000000001</v>
      </c>
      <c r="I64" s="188">
        <f>'Statements Summary 2027'!V64</f>
        <v>31612</v>
      </c>
      <c r="K64" s="188">
        <f>'IS 2026'!F83</f>
        <v>12944.6</v>
      </c>
      <c r="L64" s="188">
        <f>'IS 2026'!G83</f>
        <v>12944.6</v>
      </c>
      <c r="M64" s="188">
        <f>'IS 2026'!H83</f>
        <v>27178.2</v>
      </c>
      <c r="N64" s="188">
        <f>'IS 2026'!I83</f>
        <v>30094.400000000001</v>
      </c>
      <c r="O64" s="188">
        <f>'IS 2026'!J83</f>
        <v>30932</v>
      </c>
      <c r="P64" s="188">
        <f>'IS 2026'!K83</f>
        <v>32506.400000000001</v>
      </c>
      <c r="Q64" s="188">
        <f>'IS 2026'!L83</f>
        <v>38252.800000000003</v>
      </c>
      <c r="R64" s="188">
        <f>'IS 2026'!M83</f>
        <v>38228</v>
      </c>
      <c r="S64" s="188">
        <f>'IS 2026'!N83</f>
        <v>37437.599999999999</v>
      </c>
      <c r="T64" s="188">
        <f>'IS 2026'!O83</f>
        <v>31384.799999999999</v>
      </c>
      <c r="U64" s="188">
        <f>'IS 2026'!P83</f>
        <v>31307.200000000001</v>
      </c>
      <c r="V64" s="188">
        <f>'IS 2026'!Q83</f>
        <v>31603.200000000001</v>
      </c>
    </row>
    <row r="65" spans="2:22" x14ac:dyDescent="0.3">
      <c r="B65" t="s">
        <v>13</v>
      </c>
      <c r="E65" s="2">
        <f>'Statements Summary 2023'!V64</f>
        <v>0.61507471190428054</v>
      </c>
      <c r="F65" s="2">
        <f>'Statements Summary 2024'!V64</f>
        <v>0.61507471190428054</v>
      </c>
      <c r="G65" s="2">
        <f>'Statements Summary 2025'!V65</f>
        <v>0.56738407248800748</v>
      </c>
      <c r="H65" s="2">
        <f t="shared" si="1"/>
        <v>0.58084508077707731</v>
      </c>
      <c r="I65" s="2">
        <f>'Statements Summary 2027'!V65</f>
        <v>0.58100681872484328</v>
      </c>
      <c r="K65" s="2">
        <f>K64/K45</f>
        <v>0.41693561374689986</v>
      </c>
      <c r="L65" s="2">
        <f t="shared" ref="L65:V65" si="11">L64/L45</f>
        <v>0.41693561374689986</v>
      </c>
      <c r="M65" s="2">
        <f t="shared" si="11"/>
        <v>0.55648559552816401</v>
      </c>
      <c r="N65" s="2">
        <f t="shared" si="11"/>
        <v>0.5729756487633989</v>
      </c>
      <c r="O65" s="2">
        <f t="shared" si="11"/>
        <v>0.5774127310061602</v>
      </c>
      <c r="P65" s="2">
        <f t="shared" si="11"/>
        <v>0.58530015484893227</v>
      </c>
      <c r="Q65" s="2">
        <f t="shared" si="11"/>
        <v>0.60988823520033164</v>
      </c>
      <c r="R65" s="2">
        <f t="shared" si="11"/>
        <v>0.60979422555431484</v>
      </c>
      <c r="S65" s="2">
        <f t="shared" si="11"/>
        <v>0.60674856568668756</v>
      </c>
      <c r="T65" s="2">
        <f t="shared" si="11"/>
        <v>0.57973991428993643</v>
      </c>
      <c r="U65" s="2">
        <f t="shared" si="11"/>
        <v>0.57934454745646669</v>
      </c>
      <c r="V65" s="2">
        <f t="shared" si="11"/>
        <v>0.58084508077707731</v>
      </c>
    </row>
    <row r="67" spans="2:22" x14ac:dyDescent="0.3">
      <c r="B67" s="173" t="s">
        <v>221</v>
      </c>
      <c r="C67" s="147"/>
      <c r="D67" s="147"/>
      <c r="E67" s="147"/>
      <c r="F67" s="147"/>
      <c r="G67" s="147"/>
      <c r="H67" s="147"/>
      <c r="I67" s="147"/>
      <c r="K67" s="428" t="s">
        <v>229</v>
      </c>
      <c r="L67" s="428"/>
      <c r="M67" s="428"/>
      <c r="N67" s="428"/>
      <c r="O67" s="428"/>
      <c r="P67" s="428"/>
      <c r="Q67" s="428"/>
      <c r="R67" s="428"/>
      <c r="S67" s="428"/>
      <c r="T67" s="428"/>
      <c r="U67" s="428"/>
      <c r="V67" s="428"/>
    </row>
    <row r="85" spans="2:22" x14ac:dyDescent="0.3">
      <c r="B85" s="173" t="s">
        <v>222</v>
      </c>
      <c r="C85" s="173"/>
      <c r="D85" s="173"/>
      <c r="E85" s="173"/>
      <c r="F85" s="147"/>
      <c r="G85" s="147"/>
      <c r="H85" s="147"/>
      <c r="I85" s="147"/>
      <c r="J85" s="147"/>
      <c r="K85" s="428" t="s">
        <v>230</v>
      </c>
      <c r="L85" s="428"/>
      <c r="M85" s="428"/>
      <c r="N85" s="428"/>
      <c r="O85" s="428"/>
      <c r="P85" s="428"/>
      <c r="Q85" s="428"/>
      <c r="R85" s="428"/>
      <c r="S85" s="428"/>
      <c r="T85" s="428"/>
      <c r="U85" s="428"/>
      <c r="V85" s="428"/>
    </row>
    <row r="87" spans="2:22" x14ac:dyDescent="0.3">
      <c r="B87" s="186" t="s">
        <v>20</v>
      </c>
      <c r="C87" s="186"/>
      <c r="D87" s="186"/>
      <c r="E87" s="187">
        <v>2023</v>
      </c>
      <c r="F87" s="187">
        <v>2024</v>
      </c>
      <c r="G87" s="187">
        <v>2025</v>
      </c>
      <c r="H87" s="187">
        <v>2026</v>
      </c>
      <c r="I87" s="187">
        <v>2027</v>
      </c>
      <c r="J87" s="186"/>
      <c r="K87" s="187" t="s">
        <v>25</v>
      </c>
      <c r="L87" s="187" t="s">
        <v>26</v>
      </c>
      <c r="M87" s="187" t="s">
        <v>27</v>
      </c>
      <c r="N87" s="187" t="s">
        <v>28</v>
      </c>
      <c r="O87" s="187" t="s">
        <v>29</v>
      </c>
      <c r="P87" s="187" t="s">
        <v>30</v>
      </c>
      <c r="Q87" s="187" t="s">
        <v>31</v>
      </c>
      <c r="R87" s="187" t="s">
        <v>32</v>
      </c>
      <c r="S87" s="187" t="s">
        <v>33</v>
      </c>
      <c r="T87" s="187" t="s">
        <v>34</v>
      </c>
      <c r="U87" s="187" t="s">
        <v>35</v>
      </c>
      <c r="V87" s="187" t="s">
        <v>36</v>
      </c>
    </row>
    <row r="88" spans="2:22" x14ac:dyDescent="0.3">
      <c r="B88" t="s">
        <v>48</v>
      </c>
      <c r="E88" s="194">
        <f>'Statements Summary 2023'!V86</f>
        <v>19802.599999999999</v>
      </c>
      <c r="F88" s="194">
        <f>'Statements Summary 2024'!V87</f>
        <v>395096.2</v>
      </c>
      <c r="G88" s="194">
        <f>'Statements Summary 2025'!V88</f>
        <v>850182.80000000016</v>
      </c>
      <c r="H88" s="194">
        <f t="shared" ref="H88:H99" si="12">V88</f>
        <v>1310974.6000000001</v>
      </c>
      <c r="I88" s="194">
        <f>'Statements Summary 2027'!V88</f>
        <v>1811317.4000000001</v>
      </c>
      <c r="K88" s="194">
        <f>'BS 2026'!F14</f>
        <v>871051.40000000014</v>
      </c>
      <c r="L88" s="194">
        <f>'BS 2026'!G14</f>
        <v>892085.00000000012</v>
      </c>
      <c r="M88" s="194">
        <f>'BS 2026'!H14</f>
        <v>927517.20000000007</v>
      </c>
      <c r="N88" s="194">
        <f>'BS 2026'!I14</f>
        <v>966030.60000000009</v>
      </c>
      <c r="O88" s="194">
        <f>'BS 2026'!J14</f>
        <v>1005546.6000000001</v>
      </c>
      <c r="P88" s="194">
        <f>'BS 2026'!K14</f>
        <v>1046802.0000000001</v>
      </c>
      <c r="Q88" s="194">
        <f>'BS 2026'!L14</f>
        <v>1093968.8</v>
      </c>
      <c r="R88" s="194">
        <f>'BS 2026'!M14</f>
        <v>1141275.8</v>
      </c>
      <c r="S88" s="194">
        <f>'BS 2026'!N14</f>
        <v>1187957.4000000001</v>
      </c>
      <c r="T88" s="194">
        <f>'BS 2026'!O14</f>
        <v>1228751.2000000002</v>
      </c>
      <c r="U88" s="194">
        <f>'BS 2026'!P14</f>
        <v>1269632.4000000001</v>
      </c>
      <c r="V88" s="194">
        <f>'BS 2026'!Q14</f>
        <v>1310974.6000000001</v>
      </c>
    </row>
    <row r="89" spans="2:22" x14ac:dyDescent="0.3">
      <c r="B89" t="s">
        <v>49</v>
      </c>
      <c r="E89" s="194">
        <f>'Statements Summary 2023'!V87</f>
        <v>170532</v>
      </c>
      <c r="F89" s="194">
        <f>'Statements Summary 2024'!V88</f>
        <v>188332</v>
      </c>
      <c r="G89" s="194">
        <f>'Statements Summary 2025'!V89</f>
        <v>209481</v>
      </c>
      <c r="H89" s="194">
        <f t="shared" si="12"/>
        <v>231018</v>
      </c>
      <c r="I89" s="194">
        <f>'Statements Summary 2027'!V89</f>
        <v>252400</v>
      </c>
      <c r="K89" s="194">
        <f>'BS 2026'!F19</f>
        <v>211392</v>
      </c>
      <c r="L89" s="194">
        <f>'BS 2026'!G19</f>
        <v>213303</v>
      </c>
      <c r="M89" s="194">
        <f>'BS 2026'!H19</f>
        <v>215214</v>
      </c>
      <c r="N89" s="194">
        <f>'BS 2026'!I19</f>
        <v>216970</v>
      </c>
      <c r="O89" s="194">
        <f>'BS 2026'!J19</f>
        <v>218726</v>
      </c>
      <c r="P89" s="194">
        <f>'BS 2026'!K19</f>
        <v>220482</v>
      </c>
      <c r="Q89" s="194">
        <f>'BS 2026'!L19</f>
        <v>222238</v>
      </c>
      <c r="R89" s="194">
        <f>'BS 2026'!M19</f>
        <v>223994</v>
      </c>
      <c r="S89" s="194">
        <f>'BS 2026'!N19</f>
        <v>225750</v>
      </c>
      <c r="T89" s="194">
        <f>'BS 2026'!O19</f>
        <v>227506</v>
      </c>
      <c r="U89" s="194">
        <f>'BS 2026'!P19</f>
        <v>229262</v>
      </c>
      <c r="V89" s="194">
        <f>'BS 2026'!Q19</f>
        <v>231018</v>
      </c>
    </row>
    <row r="90" spans="2:22" x14ac:dyDescent="0.3">
      <c r="B90" t="s">
        <v>50</v>
      </c>
      <c r="E90" s="194">
        <f>'Statements Summary 2023'!V88</f>
        <v>190334.6</v>
      </c>
      <c r="F90" s="194">
        <f>'Statements Summary 2024'!V89</f>
        <v>583428.19999999995</v>
      </c>
      <c r="G90" s="194">
        <f>'Statements Summary 2025'!V90</f>
        <v>1059663.8000000003</v>
      </c>
      <c r="H90" s="194">
        <f t="shared" si="12"/>
        <v>1541992.6</v>
      </c>
      <c r="I90" s="194">
        <f>'Statements Summary 2027'!V90</f>
        <v>2063717.4000000001</v>
      </c>
      <c r="K90" s="194">
        <f>'BS 2026'!F20</f>
        <v>1082443.4000000001</v>
      </c>
      <c r="L90" s="194">
        <f>'BS 2026'!G20</f>
        <v>1105388</v>
      </c>
      <c r="M90" s="194">
        <f>'BS 2026'!H20</f>
        <v>1142731.2000000002</v>
      </c>
      <c r="N90" s="194">
        <f>'BS 2026'!I20</f>
        <v>1183000.6000000001</v>
      </c>
      <c r="O90" s="194">
        <f>'BS 2026'!J20</f>
        <v>1224272.6000000001</v>
      </c>
      <c r="P90" s="194">
        <f>'BS 2026'!K20</f>
        <v>1267284</v>
      </c>
      <c r="Q90" s="194">
        <f>'BS 2026'!L20</f>
        <v>1316206.8</v>
      </c>
      <c r="R90" s="194">
        <f>'BS 2026'!M20</f>
        <v>1365269.8</v>
      </c>
      <c r="S90" s="194">
        <f>'BS 2026'!N20</f>
        <v>1413707.4000000001</v>
      </c>
      <c r="T90" s="194">
        <f>'BS 2026'!O20</f>
        <v>1456257.2000000002</v>
      </c>
      <c r="U90" s="194">
        <f>'BS 2026'!P20</f>
        <v>1498894.4000000001</v>
      </c>
      <c r="V90" s="194">
        <f>'BS 2026'!Q20</f>
        <v>1541992.6</v>
      </c>
    </row>
    <row r="91" spans="2:22" x14ac:dyDescent="0.3">
      <c r="B91" t="s">
        <v>51</v>
      </c>
      <c r="E91" s="194">
        <f>'Statements Summary 2023'!V89</f>
        <v>-8366.4</v>
      </c>
      <c r="F91" s="194">
        <f>'Statements Summary 2024'!V90</f>
        <v>-8366.4</v>
      </c>
      <c r="G91" s="194">
        <f>'Statements Summary 2025'!V91</f>
        <v>-8194.2000000000007</v>
      </c>
      <c r="H91" s="194">
        <f t="shared" si="12"/>
        <v>-7461.8</v>
      </c>
      <c r="I91" s="194">
        <f>'Statements Summary 2027'!V91</f>
        <v>-7453</v>
      </c>
      <c r="K91" s="194">
        <f>'BS 2026'!F25</f>
        <v>-2758.4</v>
      </c>
      <c r="L91" s="194">
        <f>'BS 2026'!G25</f>
        <v>-2758.4</v>
      </c>
      <c r="M91" s="194">
        <f>'BS 2026'!H25</f>
        <v>-6316.8</v>
      </c>
      <c r="N91" s="194">
        <f>'BS 2026'!I25</f>
        <v>-7084.6</v>
      </c>
      <c r="O91" s="194">
        <f>'BS 2026'!J25</f>
        <v>-7294</v>
      </c>
      <c r="P91" s="194">
        <f>'BS 2026'!K25</f>
        <v>-7687.6</v>
      </c>
      <c r="Q91" s="194">
        <f>'BS 2026'!L25</f>
        <v>-9124.2000000000007</v>
      </c>
      <c r="R91" s="194">
        <f>'BS 2026'!M25</f>
        <v>-9118</v>
      </c>
      <c r="S91" s="194">
        <f>'BS 2026'!N25</f>
        <v>-8920.4</v>
      </c>
      <c r="T91" s="194">
        <f>'BS 2026'!O25</f>
        <v>-7407.2000000000007</v>
      </c>
      <c r="U91" s="194">
        <f>'BS 2026'!P25</f>
        <v>-7387.8</v>
      </c>
      <c r="V91" s="194">
        <f>'BS 2026'!Q25</f>
        <v>-7461.8</v>
      </c>
    </row>
    <row r="92" spans="2:22" x14ac:dyDescent="0.3">
      <c r="B92" t="s">
        <v>196</v>
      </c>
      <c r="E92" s="194">
        <f>'Statements Summary 2023'!V90</f>
        <v>-113700</v>
      </c>
      <c r="F92" s="194">
        <f>'Statements Summary 2024'!V91</f>
        <v>-74100</v>
      </c>
      <c r="G92" s="194">
        <f>'Statements Summary 2025'!V92</f>
        <v>-41100</v>
      </c>
      <c r="H92" s="194">
        <f t="shared" si="12"/>
        <v>-1500</v>
      </c>
      <c r="I92" s="194">
        <f>'Statements Summary 2027'!V92</f>
        <v>0</v>
      </c>
      <c r="K92" s="194">
        <f>'BS 2026'!F27</f>
        <v>-37800</v>
      </c>
      <c r="L92" s="194">
        <f>'BS 2026'!G27</f>
        <v>-34500</v>
      </c>
      <c r="M92" s="194">
        <f>'BS 2026'!H27</f>
        <v>-31200</v>
      </c>
      <c r="N92" s="194">
        <f>'BS 2026'!I27</f>
        <v>-27900</v>
      </c>
      <c r="O92" s="194">
        <f>'BS 2026'!J27</f>
        <v>-24600</v>
      </c>
      <c r="P92" s="194">
        <f>'BS 2026'!K27</f>
        <v>-21300</v>
      </c>
      <c r="Q92" s="194">
        <f>'BS 2026'!L27</f>
        <v>-18000</v>
      </c>
      <c r="R92" s="194">
        <f>'BS 2026'!M27</f>
        <v>-14700</v>
      </c>
      <c r="S92" s="194">
        <f>'BS 2026'!N27</f>
        <v>-11400</v>
      </c>
      <c r="T92" s="194">
        <f>'BS 2026'!O27</f>
        <v>-8100</v>
      </c>
      <c r="U92" s="194">
        <f>'BS 2026'!P27</f>
        <v>-4800</v>
      </c>
      <c r="V92" s="194">
        <f>'BS 2026'!Q27</f>
        <v>-1500</v>
      </c>
    </row>
    <row r="93" spans="2:22" x14ac:dyDescent="0.3">
      <c r="B93" t="s">
        <v>53</v>
      </c>
      <c r="E93" s="194">
        <f>'Statements Summary 2023'!V91</f>
        <v>-122066.4</v>
      </c>
      <c r="F93" s="194">
        <f>'Statements Summary 2024'!V92</f>
        <v>-82466.399999999994</v>
      </c>
      <c r="G93" s="194">
        <f>'Statements Summary 2025'!V93</f>
        <v>-49294.2</v>
      </c>
      <c r="H93" s="194">
        <f t="shared" si="12"/>
        <v>-8961.7999999999993</v>
      </c>
      <c r="I93" s="194">
        <f>'Statements Summary 2027'!V93</f>
        <v>-7453</v>
      </c>
      <c r="K93" s="194">
        <f>'BS 2026'!F32</f>
        <v>-40558.400000000001</v>
      </c>
      <c r="L93" s="194">
        <f>'BS 2026'!G32</f>
        <v>-37258.400000000001</v>
      </c>
      <c r="M93" s="194">
        <f>'BS 2026'!H32</f>
        <v>-37516.800000000003</v>
      </c>
      <c r="N93" s="194">
        <f>'BS 2026'!I32</f>
        <v>-34984.6</v>
      </c>
      <c r="O93" s="194">
        <f>'BS 2026'!J32</f>
        <v>-31894</v>
      </c>
      <c r="P93" s="194">
        <f>'BS 2026'!K32</f>
        <v>-28987.599999999999</v>
      </c>
      <c r="Q93" s="194">
        <f>'BS 2026'!L32</f>
        <v>-27124.2</v>
      </c>
      <c r="R93" s="194">
        <f>'BS 2026'!M32</f>
        <v>-23818</v>
      </c>
      <c r="S93" s="194">
        <f>'BS 2026'!N32</f>
        <v>-20320.400000000001</v>
      </c>
      <c r="T93" s="194">
        <f>'BS 2026'!O32</f>
        <v>-15507.2</v>
      </c>
      <c r="U93" s="194">
        <f>'BS 2026'!P32</f>
        <v>-12187.8</v>
      </c>
      <c r="V93" s="194">
        <f>'BS 2026'!Q32</f>
        <v>-8961.7999999999993</v>
      </c>
    </row>
    <row r="94" spans="2:22" x14ac:dyDescent="0.3">
      <c r="B94" t="s">
        <v>54</v>
      </c>
      <c r="E94" s="194">
        <f>'Statements Summary 2023'!V92</f>
        <v>68268.200000000012</v>
      </c>
      <c r="F94" s="194">
        <f>'Statements Summary 2024'!V93</f>
        <v>500961.79999999993</v>
      </c>
      <c r="G94" s="194">
        <f>'Statements Summary 2025'!V94</f>
        <v>969269.60000000033</v>
      </c>
      <c r="H94" s="194">
        <f t="shared" si="12"/>
        <v>1533030.8</v>
      </c>
      <c r="I94" s="194">
        <f>'Statements Summary 2027'!V94</f>
        <v>2056264.4000000001</v>
      </c>
      <c r="K94" s="194">
        <f>'BS 2026'!F33</f>
        <v>1041885.0000000001</v>
      </c>
      <c r="L94" s="194">
        <f>'BS 2026'!G33</f>
        <v>1068129.6000000001</v>
      </c>
      <c r="M94" s="194">
        <f>'BS 2026'!H33</f>
        <v>1105214.4000000001</v>
      </c>
      <c r="N94" s="194">
        <f>'BS 2026'!I33</f>
        <v>1148016</v>
      </c>
      <c r="O94" s="194">
        <f>'BS 2026'!J33</f>
        <v>1192378.6000000001</v>
      </c>
      <c r="P94" s="194">
        <f>'BS 2026'!K33</f>
        <v>1238296.3999999999</v>
      </c>
      <c r="Q94" s="194">
        <f>'BS 2026'!L33</f>
        <v>1289082.6000000001</v>
      </c>
      <c r="R94" s="194">
        <f>'BS 2026'!M33</f>
        <v>1341451.8</v>
      </c>
      <c r="S94" s="194">
        <f>'BS 2026'!N33</f>
        <v>1393387.0000000002</v>
      </c>
      <c r="T94" s="194">
        <f>'BS 2026'!O33</f>
        <v>1440750.0000000002</v>
      </c>
      <c r="U94" s="194">
        <f>'BS 2026'!P33</f>
        <v>1486706.6</v>
      </c>
      <c r="V94" s="194">
        <f>'BS 2026'!Q33</f>
        <v>1533030.8</v>
      </c>
    </row>
    <row r="95" spans="2:22" x14ac:dyDescent="0.3">
      <c r="B95" t="s">
        <v>55</v>
      </c>
      <c r="E95" s="194">
        <f>'Statements Summary 2023'!V93</f>
        <v>19802.599999999999</v>
      </c>
      <c r="F95" s="194">
        <f>'Statements Summary 2024'!V94</f>
        <v>395096.2</v>
      </c>
      <c r="G95" s="194">
        <f>'Statements Summary 2025'!V95</f>
        <v>850182.80000000016</v>
      </c>
      <c r="H95" s="194">
        <f t="shared" si="12"/>
        <v>1310974.6000000001</v>
      </c>
      <c r="I95" s="194">
        <f>'Statements Summary 2027'!V95</f>
        <v>1811317.4000000001</v>
      </c>
      <c r="K95" s="194">
        <f>'BS 2026'!F14</f>
        <v>871051.40000000014</v>
      </c>
      <c r="L95" s="194">
        <f>'BS 2026'!G14</f>
        <v>892085.00000000012</v>
      </c>
      <c r="M95" s="194">
        <f>'BS 2026'!H14</f>
        <v>927517.20000000007</v>
      </c>
      <c r="N95" s="194">
        <f>'BS 2026'!I14</f>
        <v>966030.60000000009</v>
      </c>
      <c r="O95" s="194">
        <f>'BS 2026'!J14</f>
        <v>1005546.6000000001</v>
      </c>
      <c r="P95" s="194">
        <f>'BS 2026'!K14</f>
        <v>1046802.0000000001</v>
      </c>
      <c r="Q95" s="194">
        <f>'BS 2026'!L14</f>
        <v>1093968.8</v>
      </c>
      <c r="R95" s="194">
        <f>'BS 2026'!M14</f>
        <v>1141275.8</v>
      </c>
      <c r="S95" s="194">
        <f>'BS 2026'!N14</f>
        <v>1187957.4000000001</v>
      </c>
      <c r="T95" s="194">
        <f>'BS 2026'!O14</f>
        <v>1228751.2000000002</v>
      </c>
      <c r="U95" s="194">
        <f>'BS 2026'!P14</f>
        <v>1269632.4000000001</v>
      </c>
      <c r="V95" s="194">
        <f>'BS 2026'!Q14</f>
        <v>1310974.6000000001</v>
      </c>
    </row>
    <row r="96" spans="2:22" x14ac:dyDescent="0.3">
      <c r="B96" t="s">
        <v>56</v>
      </c>
      <c r="E96" s="194" t="str">
        <f>'Statements Summary 2023'!V94</f>
        <v>-</v>
      </c>
      <c r="F96" s="194" t="str">
        <f>'Statements Summary 2024'!V95</f>
        <v>-</v>
      </c>
      <c r="G96" s="194" t="str">
        <f>'Statements Summary 2025'!V96</f>
        <v>-</v>
      </c>
      <c r="H96" s="194" t="str">
        <f t="shared" si="12"/>
        <v>-</v>
      </c>
      <c r="I96" s="194" t="str">
        <f>'Statements Summary 2027'!V96</f>
        <v>-</v>
      </c>
      <c r="K96" s="194" t="s">
        <v>190</v>
      </c>
      <c r="L96" s="194" t="s">
        <v>190</v>
      </c>
      <c r="M96" s="194" t="s">
        <v>190</v>
      </c>
      <c r="N96" s="194" t="s">
        <v>190</v>
      </c>
      <c r="O96" s="194" t="s">
        <v>190</v>
      </c>
      <c r="P96" s="194" t="s">
        <v>190</v>
      </c>
      <c r="Q96" s="194" t="s">
        <v>190</v>
      </c>
      <c r="R96" s="194" t="s">
        <v>190</v>
      </c>
      <c r="S96" s="194" t="s">
        <v>190</v>
      </c>
      <c r="T96" s="194" t="s">
        <v>190</v>
      </c>
      <c r="U96" s="194" t="s">
        <v>190</v>
      </c>
      <c r="V96" s="194" t="s">
        <v>190</v>
      </c>
    </row>
    <row r="97" spans="2:22" x14ac:dyDescent="0.3">
      <c r="B97" t="s">
        <v>57</v>
      </c>
      <c r="E97" s="194">
        <f>'Statements Summary 2023'!V95</f>
        <v>0</v>
      </c>
      <c r="F97" s="194">
        <f>'Statements Summary 2024'!V96</f>
        <v>0</v>
      </c>
      <c r="G97" s="194">
        <f>'Statements Summary 2025'!V97</f>
        <v>0</v>
      </c>
      <c r="H97" s="194">
        <f t="shared" si="12"/>
        <v>0</v>
      </c>
      <c r="I97" s="194">
        <f>'Statements Summary 2027'!V97</f>
        <v>0</v>
      </c>
      <c r="K97" s="194" t="s">
        <v>190</v>
      </c>
      <c r="L97" s="194" t="s">
        <v>190</v>
      </c>
      <c r="M97" s="194" t="s">
        <v>190</v>
      </c>
      <c r="N97" s="194" t="s">
        <v>190</v>
      </c>
      <c r="O97" s="194" t="s">
        <v>190</v>
      </c>
      <c r="P97" s="194" t="s">
        <v>190</v>
      </c>
      <c r="Q97" s="194" t="s">
        <v>190</v>
      </c>
      <c r="R97" s="194" t="s">
        <v>190</v>
      </c>
      <c r="S97" s="194" t="s">
        <v>190</v>
      </c>
      <c r="T97" s="194" t="s">
        <v>190</v>
      </c>
      <c r="U97" s="194" t="s">
        <v>190</v>
      </c>
      <c r="V97" s="194"/>
    </row>
    <row r="98" spans="2:22" x14ac:dyDescent="0.3">
      <c r="B98" t="s">
        <v>58</v>
      </c>
      <c r="E98" s="194">
        <f>'Statements Summary 2023'!V96</f>
        <v>68268.200000000012</v>
      </c>
      <c r="F98" s="194">
        <f>'Statements Summary 2024'!V97</f>
        <v>500961.79999999993</v>
      </c>
      <c r="G98" s="194">
        <f>'Statements Summary 2025'!V98</f>
        <v>969269.60000000033</v>
      </c>
      <c r="H98" s="194">
        <f t="shared" si="12"/>
        <v>1533030.8</v>
      </c>
      <c r="I98" s="194">
        <f>'Statements Summary 2027'!V98</f>
        <v>2056264.4000000001</v>
      </c>
      <c r="K98" s="194">
        <f>K94</f>
        <v>1041885.0000000001</v>
      </c>
      <c r="L98" s="194">
        <f t="shared" ref="L98:V98" si="13">L94</f>
        <v>1068129.6000000001</v>
      </c>
      <c r="M98" s="194">
        <f t="shared" si="13"/>
        <v>1105214.4000000001</v>
      </c>
      <c r="N98" s="194">
        <f t="shared" si="13"/>
        <v>1148016</v>
      </c>
      <c r="O98" s="194">
        <f t="shared" si="13"/>
        <v>1192378.6000000001</v>
      </c>
      <c r="P98" s="194">
        <f t="shared" si="13"/>
        <v>1238296.3999999999</v>
      </c>
      <c r="Q98" s="194">
        <f t="shared" si="13"/>
        <v>1289082.6000000001</v>
      </c>
      <c r="R98" s="194">
        <f t="shared" si="13"/>
        <v>1341451.8</v>
      </c>
      <c r="S98" s="194">
        <f t="shared" si="13"/>
        <v>1393387.0000000002</v>
      </c>
      <c r="T98" s="194">
        <f t="shared" si="13"/>
        <v>1440750.0000000002</v>
      </c>
      <c r="U98" s="194">
        <f t="shared" si="13"/>
        <v>1486706.6</v>
      </c>
      <c r="V98" s="194">
        <f t="shared" si="13"/>
        <v>1533030.8</v>
      </c>
    </row>
    <row r="99" spans="2:22" x14ac:dyDescent="0.3">
      <c r="B99" t="s">
        <v>59</v>
      </c>
      <c r="E99" s="194">
        <f>'Statements Summary 2023'!V97</f>
        <v>68268.200000000012</v>
      </c>
      <c r="F99" s="194">
        <f>'Statements Summary 2024'!V98</f>
        <v>500961.79999999993</v>
      </c>
      <c r="G99" s="194">
        <f>'Statements Summary 2025'!V99</f>
        <v>969269.60000000033</v>
      </c>
      <c r="H99" s="194">
        <f t="shared" si="12"/>
        <v>1533030.8</v>
      </c>
      <c r="I99" s="194">
        <f>'Statements Summary 2027'!V99</f>
        <v>2056264.4000000001</v>
      </c>
      <c r="K99" s="194">
        <f>K98</f>
        <v>1041885.0000000001</v>
      </c>
      <c r="L99" s="194">
        <f t="shared" ref="L99:V99" si="14">L98</f>
        <v>1068129.6000000001</v>
      </c>
      <c r="M99" s="194">
        <f t="shared" si="14"/>
        <v>1105214.4000000001</v>
      </c>
      <c r="N99" s="194">
        <f t="shared" si="14"/>
        <v>1148016</v>
      </c>
      <c r="O99" s="194">
        <f t="shared" si="14"/>
        <v>1192378.6000000001</v>
      </c>
      <c r="P99" s="194">
        <f t="shared" si="14"/>
        <v>1238296.3999999999</v>
      </c>
      <c r="Q99" s="194">
        <f t="shared" si="14"/>
        <v>1289082.6000000001</v>
      </c>
      <c r="R99" s="194">
        <f t="shared" si="14"/>
        <v>1341451.8</v>
      </c>
      <c r="S99" s="194">
        <f t="shared" si="14"/>
        <v>1393387.0000000002</v>
      </c>
      <c r="T99" s="194">
        <f t="shared" si="14"/>
        <v>1440750.0000000002</v>
      </c>
      <c r="U99" s="194">
        <f t="shared" si="14"/>
        <v>1486706.6</v>
      </c>
      <c r="V99" s="194">
        <f t="shared" si="14"/>
        <v>1533030.8</v>
      </c>
    </row>
    <row r="101" spans="2:22" x14ac:dyDescent="0.3">
      <c r="B101" s="173" t="s">
        <v>222</v>
      </c>
      <c r="C101" s="147"/>
      <c r="D101" s="147"/>
      <c r="E101" s="147"/>
      <c r="F101" s="147"/>
      <c r="G101" s="147"/>
      <c r="H101" s="147"/>
      <c r="I101" s="147"/>
      <c r="K101" s="428" t="s">
        <v>230</v>
      </c>
      <c r="L101" s="428"/>
      <c r="M101" s="428"/>
      <c r="N101" s="428"/>
      <c r="O101" s="428"/>
      <c r="P101" s="428"/>
      <c r="Q101" s="428"/>
      <c r="R101" s="428"/>
      <c r="S101" s="428"/>
      <c r="T101" s="428"/>
      <c r="U101" s="428"/>
      <c r="V101" s="428"/>
    </row>
  </sheetData>
  <mergeCells count="6">
    <mergeCell ref="K2:V2"/>
    <mergeCell ref="K19:V19"/>
    <mergeCell ref="K67:V67"/>
    <mergeCell ref="K85:V85"/>
    <mergeCell ref="K101:V101"/>
    <mergeCell ref="K42:V4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7180-A3C0-4165-9B6B-6F9A4C347E52}">
  <sheetPr codeName="Sheet27"/>
  <dimension ref="A1:AP100"/>
  <sheetViews>
    <sheetView showGridLines="0" workbookViewId="0">
      <selection activeCell="C26" sqref="C26"/>
    </sheetView>
  </sheetViews>
  <sheetFormatPr defaultRowHeight="14.4" x14ac:dyDescent="0.3"/>
  <cols>
    <col min="1" max="1" width="5" customWidth="1"/>
    <col min="2" max="2" width="3.88671875" customWidth="1"/>
    <col min="5" max="5" width="14" customWidth="1"/>
    <col min="6" max="6" width="10" style="125" bestFit="1" customWidth="1"/>
    <col min="7" max="8" width="10" bestFit="1" customWidth="1"/>
    <col min="9" max="9" width="9.88671875" customWidth="1"/>
    <col min="10" max="13" width="10" bestFit="1" customWidth="1"/>
    <col min="14" max="14" width="9.77734375" customWidth="1"/>
    <col min="15" max="19" width="10" bestFit="1" customWidth="1"/>
    <col min="20" max="20" width="9.88671875" customWidth="1"/>
    <col min="21" max="21" width="9.88671875" bestFit="1" customWidth="1"/>
  </cols>
  <sheetData>
    <row r="1" spans="1:42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42" ht="18" x14ac:dyDescent="0.35">
      <c r="A2" s="9"/>
      <c r="B2" s="132" t="s">
        <v>139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42" x14ac:dyDescent="0.3">
      <c r="A3" s="9"/>
      <c r="B3" s="9" t="s">
        <v>140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42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27"/>
    </row>
    <row r="5" spans="1:42" x14ac:dyDescent="0.3">
      <c r="A5" s="143"/>
      <c r="B5" s="146" t="s">
        <v>170</v>
      </c>
      <c r="C5" s="143"/>
      <c r="D5" s="143"/>
      <c r="E5" s="143"/>
      <c r="F5" s="191">
        <v>2027</v>
      </c>
      <c r="G5" s="191">
        <v>2027</v>
      </c>
      <c r="H5" s="191">
        <v>2027</v>
      </c>
      <c r="I5" s="191">
        <v>2027</v>
      </c>
      <c r="J5" s="191">
        <v>2027</v>
      </c>
      <c r="K5" s="191">
        <v>2027</v>
      </c>
      <c r="L5" s="191">
        <v>2027</v>
      </c>
      <c r="M5" s="191">
        <v>2027</v>
      </c>
      <c r="N5" s="191">
        <v>2027</v>
      </c>
      <c r="O5" s="191">
        <v>2027</v>
      </c>
      <c r="P5" s="191">
        <v>2027</v>
      </c>
      <c r="Q5" s="191">
        <v>2027</v>
      </c>
      <c r="R5" s="191">
        <v>2028</v>
      </c>
      <c r="S5" s="191">
        <v>2028</v>
      </c>
      <c r="T5" s="191">
        <v>2028</v>
      </c>
      <c r="U5" s="173" t="s">
        <v>72</v>
      </c>
    </row>
    <row r="6" spans="1:42" ht="15" thickBot="1" x14ac:dyDescent="0.35">
      <c r="A6" s="145"/>
      <c r="B6" s="152" t="s">
        <v>64</v>
      </c>
      <c r="C6" s="145"/>
      <c r="D6" s="145"/>
      <c r="E6" s="145"/>
      <c r="F6" s="190" t="s">
        <v>25</v>
      </c>
      <c r="G6" s="190" t="s">
        <v>26</v>
      </c>
      <c r="H6" s="190" t="s">
        <v>27</v>
      </c>
      <c r="I6" s="190" t="s">
        <v>28</v>
      </c>
      <c r="J6" s="190" t="s">
        <v>29</v>
      </c>
      <c r="K6" s="190" t="s">
        <v>30</v>
      </c>
      <c r="L6" s="190" t="s">
        <v>31</v>
      </c>
      <c r="M6" s="190" t="s">
        <v>32</v>
      </c>
      <c r="N6" s="190" t="s">
        <v>33</v>
      </c>
      <c r="O6" s="190" t="s">
        <v>34</v>
      </c>
      <c r="P6" s="190" t="s">
        <v>35</v>
      </c>
      <c r="Q6" s="190" t="s">
        <v>36</v>
      </c>
      <c r="R6" s="190" t="s">
        <v>25</v>
      </c>
      <c r="S6" s="190" t="s">
        <v>26</v>
      </c>
      <c r="T6" s="190" t="s">
        <v>27</v>
      </c>
      <c r="U6" s="159"/>
    </row>
    <row r="7" spans="1:42" s="124" customFormat="1" ht="11.4" customHeigh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2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x14ac:dyDescent="0.3">
      <c r="A8" s="9"/>
      <c r="B8" s="9"/>
      <c r="C8" s="135" t="s">
        <v>285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42" ht="12.6" customHeight="1" x14ac:dyDescent="0.3">
      <c r="A9" s="9"/>
      <c r="B9" s="9"/>
      <c r="C9" s="135" t="s">
        <v>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42" ht="13.2" customHeight="1" x14ac:dyDescent="0.3">
      <c r="A10" s="9"/>
      <c r="B10" s="9"/>
      <c r="C10" s="427" t="s">
        <v>288</v>
      </c>
      <c r="D10" s="427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338" t="s">
        <v>100</v>
      </c>
    </row>
    <row r="11" spans="1:42" x14ac:dyDescent="0.3">
      <c r="A11" s="9"/>
      <c r="B11" s="9"/>
      <c r="C11" s="136" t="s">
        <v>282</v>
      </c>
      <c r="D11" s="9"/>
      <c r="E11" s="9"/>
      <c r="F11" s="321">
        <v>4191</v>
      </c>
      <c r="G11" s="321">
        <v>4191</v>
      </c>
      <c r="H11" s="321">
        <v>4191</v>
      </c>
      <c r="I11" s="321">
        <v>4891</v>
      </c>
      <c r="J11" s="321">
        <v>5191</v>
      </c>
      <c r="K11" s="321">
        <v>5191</v>
      </c>
      <c r="L11" s="321">
        <v>5222</v>
      </c>
      <c r="M11" s="321">
        <v>5191</v>
      </c>
      <c r="N11" s="321">
        <v>5203</v>
      </c>
      <c r="O11" s="321">
        <v>5203</v>
      </c>
      <c r="P11" s="321">
        <v>5191</v>
      </c>
      <c r="Q11" s="321">
        <v>5187</v>
      </c>
      <c r="R11" s="321"/>
      <c r="S11" s="321"/>
      <c r="T11" s="321"/>
      <c r="U11" s="321">
        <f>AVERAGE(F11:T11)</f>
        <v>4920.25</v>
      </c>
    </row>
    <row r="12" spans="1:42" x14ac:dyDescent="0.3">
      <c r="A12" s="9"/>
      <c r="B12" s="9"/>
      <c r="C12" s="136" t="s">
        <v>283</v>
      </c>
      <c r="D12" s="9"/>
      <c r="E12" s="9"/>
      <c r="F12" s="321">
        <v>2357</v>
      </c>
      <c r="G12" s="321">
        <v>2357</v>
      </c>
      <c r="H12" s="321">
        <v>2357</v>
      </c>
      <c r="I12" s="321">
        <v>3357</v>
      </c>
      <c r="J12" s="321">
        <v>3557</v>
      </c>
      <c r="K12" s="321">
        <v>3557</v>
      </c>
      <c r="L12" s="321">
        <v>3557</v>
      </c>
      <c r="M12" s="321">
        <v>3557</v>
      </c>
      <c r="N12" s="321">
        <v>3557</v>
      </c>
      <c r="O12" s="321">
        <v>3557</v>
      </c>
      <c r="P12" s="321">
        <v>3557</v>
      </c>
      <c r="Q12" s="321">
        <v>3557</v>
      </c>
      <c r="R12" s="321"/>
      <c r="S12" s="321"/>
      <c r="T12" s="321"/>
      <c r="U12" s="321">
        <f t="shared" ref="U12:U15" si="0">AVERAGE(F12:T12)</f>
        <v>3240.3333333333335</v>
      </c>
    </row>
    <row r="13" spans="1:42" x14ac:dyDescent="0.3">
      <c r="A13" s="9"/>
      <c r="B13" s="9"/>
      <c r="C13" s="136" t="s">
        <v>284</v>
      </c>
      <c r="D13" s="9"/>
      <c r="E13" s="9"/>
      <c r="F13" s="321">
        <v>3357</v>
      </c>
      <c r="G13" s="321">
        <v>3357</v>
      </c>
      <c r="H13" s="321">
        <v>3357</v>
      </c>
      <c r="I13" s="321">
        <v>4357</v>
      </c>
      <c r="J13" s="321">
        <v>4010</v>
      </c>
      <c r="K13" s="321">
        <v>4010</v>
      </c>
      <c r="L13" s="321">
        <v>4010</v>
      </c>
      <c r="M13" s="321">
        <v>4010</v>
      </c>
      <c r="N13" s="321">
        <v>4010</v>
      </c>
      <c r="O13" s="321">
        <v>4010</v>
      </c>
      <c r="P13" s="321">
        <v>4010</v>
      </c>
      <c r="Q13" s="321">
        <v>4010</v>
      </c>
      <c r="R13" s="321"/>
      <c r="S13" s="321"/>
      <c r="T13" s="321"/>
      <c r="U13" s="321">
        <f t="shared" si="0"/>
        <v>3875.6666666666665</v>
      </c>
    </row>
    <row r="14" spans="1:42" x14ac:dyDescent="0.3">
      <c r="A14" s="9"/>
      <c r="B14" s="9"/>
      <c r="C14" s="136" t="s">
        <v>274</v>
      </c>
      <c r="D14" s="9"/>
      <c r="E14" s="9"/>
      <c r="F14" s="321">
        <f t="shared" ref="F14:Q14" si="1">SUM(F11:F13)</f>
        <v>9905</v>
      </c>
      <c r="G14" s="321">
        <f t="shared" si="1"/>
        <v>9905</v>
      </c>
      <c r="H14" s="321">
        <f t="shared" si="1"/>
        <v>9905</v>
      </c>
      <c r="I14" s="321">
        <f t="shared" si="1"/>
        <v>12605</v>
      </c>
      <c r="J14" s="321">
        <f t="shared" si="1"/>
        <v>12758</v>
      </c>
      <c r="K14" s="321">
        <f t="shared" si="1"/>
        <v>12758</v>
      </c>
      <c r="L14" s="321">
        <f t="shared" si="1"/>
        <v>12789</v>
      </c>
      <c r="M14" s="321">
        <f t="shared" si="1"/>
        <v>12758</v>
      </c>
      <c r="N14" s="321">
        <f t="shared" si="1"/>
        <v>12770</v>
      </c>
      <c r="O14" s="321">
        <f t="shared" si="1"/>
        <v>12770</v>
      </c>
      <c r="P14" s="321">
        <f t="shared" si="1"/>
        <v>12758</v>
      </c>
      <c r="Q14" s="321">
        <f t="shared" si="1"/>
        <v>12754</v>
      </c>
      <c r="R14" s="321"/>
      <c r="S14" s="321"/>
      <c r="T14" s="321"/>
      <c r="U14" s="321">
        <f t="shared" si="0"/>
        <v>12036.25</v>
      </c>
    </row>
    <row r="15" spans="1:42" x14ac:dyDescent="0.3">
      <c r="A15" s="9"/>
      <c r="B15" s="9"/>
      <c r="C15" s="136" t="s">
        <v>295</v>
      </c>
      <c r="D15" s="9"/>
      <c r="E15" s="9"/>
      <c r="F15" s="333">
        <v>15000</v>
      </c>
      <c r="G15" s="333">
        <v>15000</v>
      </c>
      <c r="H15" s="333">
        <v>15000</v>
      </c>
      <c r="I15" s="333">
        <v>15000</v>
      </c>
      <c r="J15" s="333">
        <v>15000</v>
      </c>
      <c r="K15" s="333">
        <v>15000</v>
      </c>
      <c r="L15" s="333">
        <v>15000</v>
      </c>
      <c r="M15" s="333">
        <v>15000</v>
      </c>
      <c r="N15" s="333">
        <v>15000</v>
      </c>
      <c r="O15" s="333">
        <v>15000</v>
      </c>
      <c r="P15" s="333">
        <v>15000</v>
      </c>
      <c r="Q15" s="333">
        <v>15000</v>
      </c>
      <c r="R15" s="333"/>
      <c r="S15" s="333"/>
      <c r="T15" s="333"/>
      <c r="U15" s="333">
        <f t="shared" si="0"/>
        <v>15000</v>
      </c>
    </row>
    <row r="16" spans="1:42" x14ac:dyDescent="0.3">
      <c r="A16" s="9"/>
      <c r="B16" s="9"/>
      <c r="C16" s="136" t="s">
        <v>273</v>
      </c>
      <c r="D16" s="9"/>
      <c r="E16" s="9"/>
      <c r="F16" s="322">
        <f>F14/F$15</f>
        <v>0.66033333333333333</v>
      </c>
      <c r="G16" s="322">
        <f>G14/G$15</f>
        <v>0.66033333333333333</v>
      </c>
      <c r="H16" s="322">
        <f t="shared" ref="H16:Q16" si="2">H14/H$15</f>
        <v>0.66033333333333333</v>
      </c>
      <c r="I16" s="322">
        <f t="shared" si="2"/>
        <v>0.84033333333333338</v>
      </c>
      <c r="J16" s="322">
        <f t="shared" si="2"/>
        <v>0.85053333333333336</v>
      </c>
      <c r="K16" s="322">
        <f t="shared" si="2"/>
        <v>0.85053333333333336</v>
      </c>
      <c r="L16" s="322">
        <f t="shared" si="2"/>
        <v>0.85260000000000002</v>
      </c>
      <c r="M16" s="322">
        <f t="shared" si="2"/>
        <v>0.85053333333333336</v>
      </c>
      <c r="N16" s="322">
        <f t="shared" si="2"/>
        <v>0.85133333333333339</v>
      </c>
      <c r="O16" s="322">
        <f t="shared" si="2"/>
        <v>0.85133333333333339</v>
      </c>
      <c r="P16" s="322">
        <f t="shared" si="2"/>
        <v>0.85053333333333336</v>
      </c>
      <c r="Q16" s="322">
        <f t="shared" si="2"/>
        <v>0.85026666666666662</v>
      </c>
      <c r="R16" s="322"/>
      <c r="S16" s="322"/>
      <c r="T16" s="322"/>
      <c r="U16" s="332">
        <f>AVERAGE(F16:T16)</f>
        <v>0.80241666666666667</v>
      </c>
    </row>
    <row r="17" spans="1:21" x14ac:dyDescent="0.3">
      <c r="A17" s="9"/>
      <c r="B17" s="9"/>
      <c r="C17" s="136"/>
      <c r="D17" s="9"/>
      <c r="E17" s="9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9"/>
    </row>
    <row r="18" spans="1:21" x14ac:dyDescent="0.3">
      <c r="A18" s="9"/>
      <c r="B18" s="9"/>
      <c r="C18" s="135" t="s">
        <v>287</v>
      </c>
      <c r="D18" s="9"/>
      <c r="E18" s="9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9"/>
    </row>
    <row r="19" spans="1:21" x14ac:dyDescent="0.3">
      <c r="A19" s="9"/>
      <c r="B19" s="9"/>
      <c r="C19" s="136" t="s">
        <v>282</v>
      </c>
      <c r="D19" s="9"/>
      <c r="E19" s="9"/>
      <c r="F19" s="321">
        <v>4357</v>
      </c>
      <c r="G19" s="321">
        <v>4357</v>
      </c>
      <c r="H19" s="321">
        <v>6489</v>
      </c>
      <c r="I19" s="321">
        <v>6653</v>
      </c>
      <c r="J19" s="321">
        <v>6802</v>
      </c>
      <c r="K19" s="321">
        <v>7130</v>
      </c>
      <c r="L19" s="321">
        <v>8322</v>
      </c>
      <c r="M19" s="321">
        <v>8322</v>
      </c>
      <c r="N19" s="321">
        <v>8322</v>
      </c>
      <c r="O19" s="321">
        <v>6311</v>
      </c>
      <c r="P19" s="321">
        <v>6271</v>
      </c>
      <c r="Q19" s="321">
        <v>6100</v>
      </c>
      <c r="R19" s="321"/>
      <c r="S19" s="321"/>
      <c r="T19" s="321"/>
      <c r="U19" s="321">
        <f>AVERAGE(F19:T19)</f>
        <v>6619.666666666667</v>
      </c>
    </row>
    <row r="20" spans="1:21" x14ac:dyDescent="0.3">
      <c r="A20" s="9"/>
      <c r="B20" s="9"/>
      <c r="C20" s="136" t="s">
        <v>283</v>
      </c>
      <c r="D20" s="9"/>
      <c r="E20" s="9"/>
      <c r="F20" s="321">
        <v>2357</v>
      </c>
      <c r="G20" s="321">
        <v>2357</v>
      </c>
      <c r="H20" s="321">
        <v>6489</v>
      </c>
      <c r="I20" s="321">
        <v>6653</v>
      </c>
      <c r="J20" s="321">
        <v>6802</v>
      </c>
      <c r="K20" s="321">
        <v>7130</v>
      </c>
      <c r="L20" s="321">
        <v>8322</v>
      </c>
      <c r="M20" s="321">
        <v>8322</v>
      </c>
      <c r="N20" s="321">
        <v>8322</v>
      </c>
      <c r="O20" s="321">
        <v>6411</v>
      </c>
      <c r="P20" s="321">
        <v>6334</v>
      </c>
      <c r="Q20" s="321">
        <v>6232</v>
      </c>
      <c r="R20" s="321"/>
      <c r="S20" s="321"/>
      <c r="T20" s="321"/>
      <c r="U20" s="321">
        <f t="shared" ref="U20:U23" si="3">AVERAGE(F20:T20)</f>
        <v>6310.916666666667</v>
      </c>
    </row>
    <row r="21" spans="1:21" x14ac:dyDescent="0.3">
      <c r="A21" s="9"/>
      <c r="B21" s="9"/>
      <c r="C21" s="136" t="s">
        <v>284</v>
      </c>
      <c r="D21" s="9"/>
      <c r="E21" s="9"/>
      <c r="F21" s="321">
        <v>4357</v>
      </c>
      <c r="G21" s="321">
        <v>4357</v>
      </c>
      <c r="H21" s="321">
        <v>6489</v>
      </c>
      <c r="I21" s="321">
        <v>6653</v>
      </c>
      <c r="J21" s="321">
        <v>6802</v>
      </c>
      <c r="K21" s="321">
        <v>7130</v>
      </c>
      <c r="L21" s="321">
        <v>8322</v>
      </c>
      <c r="M21" s="321">
        <v>8322</v>
      </c>
      <c r="N21" s="321">
        <v>7322</v>
      </c>
      <c r="O21" s="321">
        <v>6411</v>
      </c>
      <c r="P21" s="321">
        <v>6443</v>
      </c>
      <c r="Q21" s="321">
        <v>6211</v>
      </c>
      <c r="R21" s="321"/>
      <c r="S21" s="321"/>
      <c r="T21" s="321"/>
      <c r="U21" s="321">
        <f t="shared" si="3"/>
        <v>6568.25</v>
      </c>
    </row>
    <row r="22" spans="1:21" x14ac:dyDescent="0.3">
      <c r="A22" s="9"/>
      <c r="B22" s="9"/>
      <c r="C22" s="136" t="s">
        <v>274</v>
      </c>
      <c r="D22" s="9"/>
      <c r="E22" s="9"/>
      <c r="F22" s="321">
        <f t="shared" ref="F22:Q22" si="4">SUM(F19:F21)</f>
        <v>11071</v>
      </c>
      <c r="G22" s="321">
        <f t="shared" si="4"/>
        <v>11071</v>
      </c>
      <c r="H22" s="321">
        <f t="shared" si="4"/>
        <v>19467</v>
      </c>
      <c r="I22" s="321">
        <f t="shared" si="4"/>
        <v>19959</v>
      </c>
      <c r="J22" s="321">
        <f t="shared" si="4"/>
        <v>20406</v>
      </c>
      <c r="K22" s="321">
        <f t="shared" si="4"/>
        <v>21390</v>
      </c>
      <c r="L22" s="321">
        <f t="shared" si="4"/>
        <v>24966</v>
      </c>
      <c r="M22" s="321">
        <f t="shared" si="4"/>
        <v>24966</v>
      </c>
      <c r="N22" s="321">
        <f t="shared" si="4"/>
        <v>23966</v>
      </c>
      <c r="O22" s="321">
        <f t="shared" si="4"/>
        <v>19133</v>
      </c>
      <c r="P22" s="321">
        <f t="shared" si="4"/>
        <v>19048</v>
      </c>
      <c r="Q22" s="321">
        <f t="shared" si="4"/>
        <v>18543</v>
      </c>
      <c r="R22" s="321"/>
      <c r="S22" s="321"/>
      <c r="T22" s="321"/>
      <c r="U22" s="321">
        <f t="shared" si="3"/>
        <v>19498.833333333332</v>
      </c>
    </row>
    <row r="23" spans="1:21" x14ac:dyDescent="0.3">
      <c r="A23" s="9"/>
      <c r="B23" s="9"/>
      <c r="C23" s="136" t="s">
        <v>295</v>
      </c>
      <c r="D23" s="9"/>
      <c r="E23" s="9"/>
      <c r="F23" s="333">
        <v>15000</v>
      </c>
      <c r="G23" s="333">
        <v>15000</v>
      </c>
      <c r="H23" s="333">
        <v>21000</v>
      </c>
      <c r="I23" s="333">
        <v>21000</v>
      </c>
      <c r="J23" s="333">
        <v>22000</v>
      </c>
      <c r="K23" s="333">
        <v>22000</v>
      </c>
      <c r="L23" s="333">
        <v>24000</v>
      </c>
      <c r="M23" s="333">
        <v>24000</v>
      </c>
      <c r="N23" s="333">
        <v>23000</v>
      </c>
      <c r="O23" s="333">
        <v>22000</v>
      </c>
      <c r="P23" s="333">
        <v>21000</v>
      </c>
      <c r="Q23" s="333">
        <v>21000</v>
      </c>
      <c r="R23" s="333"/>
      <c r="S23" s="333"/>
      <c r="T23" s="333"/>
      <c r="U23" s="333">
        <f t="shared" si="3"/>
        <v>20916.666666666668</v>
      </c>
    </row>
    <row r="24" spans="1:21" x14ac:dyDescent="0.3">
      <c r="A24" s="9"/>
      <c r="B24" s="9"/>
      <c r="C24" s="136" t="s">
        <v>273</v>
      </c>
      <c r="D24" s="9"/>
      <c r="E24" s="9"/>
      <c r="F24" s="322">
        <f t="shared" ref="F24:Q24" si="5">F22/F$23</f>
        <v>0.73806666666666665</v>
      </c>
      <c r="G24" s="322">
        <f t="shared" si="5"/>
        <v>0.73806666666666665</v>
      </c>
      <c r="H24" s="322">
        <f t="shared" si="5"/>
        <v>0.92700000000000005</v>
      </c>
      <c r="I24" s="322">
        <f t="shared" si="5"/>
        <v>0.9504285714285714</v>
      </c>
      <c r="J24" s="322">
        <f t="shared" si="5"/>
        <v>0.92754545454545456</v>
      </c>
      <c r="K24" s="322">
        <f t="shared" si="5"/>
        <v>0.97227272727272729</v>
      </c>
      <c r="L24" s="322">
        <f t="shared" si="5"/>
        <v>1.0402499999999999</v>
      </c>
      <c r="M24" s="322">
        <f t="shared" si="5"/>
        <v>1.0402499999999999</v>
      </c>
      <c r="N24" s="322">
        <f t="shared" si="5"/>
        <v>1.042</v>
      </c>
      <c r="O24" s="322">
        <f t="shared" si="5"/>
        <v>0.86968181818181822</v>
      </c>
      <c r="P24" s="322">
        <f t="shared" si="5"/>
        <v>0.9070476190476191</v>
      </c>
      <c r="Q24" s="322">
        <f t="shared" si="5"/>
        <v>0.88300000000000001</v>
      </c>
      <c r="R24" s="322"/>
      <c r="S24" s="322"/>
      <c r="T24" s="322"/>
      <c r="U24" s="322">
        <f>AVERAGE(F24:T24)</f>
        <v>0.91963412698412716</v>
      </c>
    </row>
    <row r="25" spans="1:21" x14ac:dyDescent="0.3">
      <c r="A25" s="9"/>
      <c r="B25" s="9"/>
      <c r="C25" s="136"/>
      <c r="D25" s="9"/>
      <c r="E25" s="9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</row>
    <row r="26" spans="1:21" x14ac:dyDescent="0.3">
      <c r="A26" s="9"/>
      <c r="B26" s="9"/>
      <c r="C26" s="135" t="s">
        <v>286</v>
      </c>
      <c r="D26" s="9"/>
      <c r="E26" s="9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9"/>
    </row>
    <row r="27" spans="1:21" x14ac:dyDescent="0.3">
      <c r="A27" s="9"/>
      <c r="B27" s="9"/>
      <c r="C27" s="136" t="s">
        <v>282</v>
      </c>
      <c r="D27" s="9"/>
      <c r="E27" s="9"/>
      <c r="F27" s="321">
        <f>'CF 2026'!G29</f>
        <v>4357</v>
      </c>
      <c r="G27" s="321">
        <f>'CF 2026'!H29</f>
        <v>4357</v>
      </c>
      <c r="H27" s="321">
        <f>'CF 2026'!I29</f>
        <v>6489</v>
      </c>
      <c r="I27" s="321">
        <f>'CF 2026'!J29</f>
        <v>6653</v>
      </c>
      <c r="J27" s="321">
        <f>'CF 2026'!K29</f>
        <v>6802</v>
      </c>
      <c r="K27" s="321">
        <f>'CF 2026'!L29</f>
        <v>7130</v>
      </c>
      <c r="L27" s="321">
        <f>'CF 2026'!M29</f>
        <v>8322</v>
      </c>
      <c r="M27" s="321">
        <f>'CF 2026'!N29</f>
        <v>8322</v>
      </c>
      <c r="N27" s="321">
        <f>'CF 2026'!O29</f>
        <v>8322</v>
      </c>
      <c r="O27" s="321">
        <f>'CF 2026'!P29</f>
        <v>7411</v>
      </c>
      <c r="P27" s="321">
        <f>'CF 2026'!Q29</f>
        <v>7411</v>
      </c>
      <c r="Q27" s="321">
        <f>'CF 2026'!R29</f>
        <v>7704</v>
      </c>
      <c r="R27" s="321"/>
      <c r="S27" s="321"/>
      <c r="T27" s="321"/>
      <c r="U27" s="321">
        <f>AVERAGE(F27:T27)</f>
        <v>6940</v>
      </c>
    </row>
    <row r="28" spans="1:21" x14ac:dyDescent="0.3">
      <c r="A28" s="9"/>
      <c r="B28" s="9"/>
      <c r="C28" s="136" t="s">
        <v>283</v>
      </c>
      <c r="D28" s="9"/>
      <c r="E28" s="9"/>
      <c r="F28" s="321">
        <f>'CF 2026'!G30</f>
        <v>2357</v>
      </c>
      <c r="G28" s="321">
        <f>'CF 2026'!H30</f>
        <v>2357</v>
      </c>
      <c r="H28" s="321">
        <f>'CF 2026'!I30</f>
        <v>6489</v>
      </c>
      <c r="I28" s="321">
        <f>'CF 2026'!J30</f>
        <v>6653</v>
      </c>
      <c r="J28" s="321">
        <f>'CF 2026'!K30</f>
        <v>6802</v>
      </c>
      <c r="K28" s="321">
        <f>'CF 2026'!L30</f>
        <v>7130</v>
      </c>
      <c r="L28" s="321">
        <f>'CF 2026'!M30</f>
        <v>8322</v>
      </c>
      <c r="M28" s="321">
        <f>'CF 2026'!N30</f>
        <v>8322</v>
      </c>
      <c r="N28" s="321">
        <f>'CF 2026'!O30</f>
        <v>8322</v>
      </c>
      <c r="O28" s="321">
        <f>'CF 2026'!P30</f>
        <v>7411</v>
      </c>
      <c r="P28" s="321">
        <f>'CF 2026'!Q30</f>
        <v>7411</v>
      </c>
      <c r="Q28" s="321">
        <f>'CF 2026'!R30</f>
        <v>7704</v>
      </c>
      <c r="R28" s="321"/>
      <c r="S28" s="321"/>
      <c r="T28" s="321"/>
      <c r="U28" s="321">
        <f t="shared" ref="U28:U31" si="6">AVERAGE(F28:T28)</f>
        <v>6606.666666666667</v>
      </c>
    </row>
    <row r="29" spans="1:21" x14ac:dyDescent="0.3">
      <c r="A29" s="9"/>
      <c r="B29" s="9"/>
      <c r="C29" s="136" t="s">
        <v>284</v>
      </c>
      <c r="D29" s="9"/>
      <c r="E29" s="9"/>
      <c r="F29" s="321">
        <f>'CF 2026'!G31</f>
        <v>3357</v>
      </c>
      <c r="G29" s="321">
        <f>'CF 2026'!H31</f>
        <v>3357</v>
      </c>
      <c r="H29" s="321">
        <f>'CF 2026'!I31</f>
        <v>6489</v>
      </c>
      <c r="I29" s="321">
        <f>'CF 2026'!J31</f>
        <v>6653</v>
      </c>
      <c r="J29" s="321">
        <f>'CF 2026'!K31</f>
        <v>6802</v>
      </c>
      <c r="K29" s="321">
        <f>'CF 2026'!L31</f>
        <v>7130</v>
      </c>
      <c r="L29" s="321">
        <f>'CF 2026'!M31</f>
        <v>8322</v>
      </c>
      <c r="M29" s="321">
        <f>'CF 2026'!N31</f>
        <v>8322</v>
      </c>
      <c r="N29" s="321">
        <f>'CF 2026'!O31</f>
        <v>8322</v>
      </c>
      <c r="O29" s="321">
        <f>'CF 2026'!P31</f>
        <v>7411</v>
      </c>
      <c r="P29" s="321">
        <f>'CF 2026'!Q31</f>
        <v>7411</v>
      </c>
      <c r="Q29" s="321">
        <f>'CF 2026'!R31</f>
        <v>7704</v>
      </c>
      <c r="R29" s="321"/>
      <c r="S29" s="321"/>
      <c r="T29" s="321"/>
      <c r="U29" s="321">
        <f t="shared" si="6"/>
        <v>6773.333333333333</v>
      </c>
    </row>
    <row r="30" spans="1:21" x14ac:dyDescent="0.3">
      <c r="A30" s="9"/>
      <c r="B30" s="9"/>
      <c r="C30" s="136" t="s">
        <v>274</v>
      </c>
      <c r="D30" s="9"/>
      <c r="E30" s="9"/>
      <c r="F30" s="321">
        <f t="shared" ref="F30:P30" si="7">SUM(F27:F29)</f>
        <v>10071</v>
      </c>
      <c r="G30" s="321">
        <f t="shared" si="7"/>
        <v>10071</v>
      </c>
      <c r="H30" s="321">
        <f t="shared" si="7"/>
        <v>19467</v>
      </c>
      <c r="I30" s="321">
        <f t="shared" si="7"/>
        <v>19959</v>
      </c>
      <c r="J30" s="321">
        <f t="shared" si="7"/>
        <v>20406</v>
      </c>
      <c r="K30" s="321">
        <f t="shared" si="7"/>
        <v>21390</v>
      </c>
      <c r="L30" s="321">
        <f t="shared" si="7"/>
        <v>24966</v>
      </c>
      <c r="M30" s="321">
        <f t="shared" si="7"/>
        <v>24966</v>
      </c>
      <c r="N30" s="321">
        <f t="shared" si="7"/>
        <v>24966</v>
      </c>
      <c r="O30" s="321">
        <f t="shared" si="7"/>
        <v>22233</v>
      </c>
      <c r="P30" s="321">
        <f t="shared" si="7"/>
        <v>22233</v>
      </c>
      <c r="Q30" s="321">
        <f>SUM(Q27:Q29)</f>
        <v>23112</v>
      </c>
      <c r="R30" s="321"/>
      <c r="S30" s="321"/>
      <c r="T30" s="321"/>
      <c r="U30" s="321">
        <f t="shared" si="6"/>
        <v>20320</v>
      </c>
    </row>
    <row r="31" spans="1:21" x14ac:dyDescent="0.3">
      <c r="A31" s="9"/>
      <c r="B31" s="9"/>
      <c r="C31" s="136" t="s">
        <v>295</v>
      </c>
      <c r="D31" s="9"/>
      <c r="E31" s="9"/>
      <c r="F31" s="333">
        <v>15000</v>
      </c>
      <c r="G31" s="333">
        <v>15000</v>
      </c>
      <c r="H31" s="333">
        <v>25000</v>
      </c>
      <c r="I31" s="333">
        <v>25000</v>
      </c>
      <c r="J31" s="333">
        <v>25000</v>
      </c>
      <c r="K31" s="333">
        <v>25000</v>
      </c>
      <c r="L31" s="333">
        <v>25000</v>
      </c>
      <c r="M31" s="333">
        <v>25000</v>
      </c>
      <c r="N31" s="333">
        <v>25000</v>
      </c>
      <c r="O31" s="333">
        <v>25000</v>
      </c>
      <c r="P31" s="333">
        <v>25000</v>
      </c>
      <c r="Q31" s="333">
        <v>25000</v>
      </c>
      <c r="R31" s="333"/>
      <c r="S31" s="333"/>
      <c r="T31" s="333"/>
      <c r="U31" s="333">
        <f t="shared" si="6"/>
        <v>23333.333333333332</v>
      </c>
    </row>
    <row r="32" spans="1:21" x14ac:dyDescent="0.3">
      <c r="A32" s="9"/>
      <c r="B32" s="9"/>
      <c r="C32" s="136" t="s">
        <v>273</v>
      </c>
      <c r="D32" s="9"/>
      <c r="E32" s="9"/>
      <c r="F32" s="322">
        <f>F30/F$31</f>
        <v>0.6714</v>
      </c>
      <c r="G32" s="322">
        <f t="shared" ref="G32:Q32" si="8">G30/G$31</f>
        <v>0.6714</v>
      </c>
      <c r="H32" s="322">
        <f t="shared" si="8"/>
        <v>0.77868000000000004</v>
      </c>
      <c r="I32" s="322">
        <f t="shared" si="8"/>
        <v>0.79835999999999996</v>
      </c>
      <c r="J32" s="322">
        <f t="shared" si="8"/>
        <v>0.81623999999999997</v>
      </c>
      <c r="K32" s="322">
        <f t="shared" si="8"/>
        <v>0.85560000000000003</v>
      </c>
      <c r="L32" s="322">
        <f t="shared" si="8"/>
        <v>0.99863999999999997</v>
      </c>
      <c r="M32" s="322">
        <f t="shared" si="8"/>
        <v>0.99863999999999997</v>
      </c>
      <c r="N32" s="322">
        <f t="shared" si="8"/>
        <v>0.99863999999999997</v>
      </c>
      <c r="O32" s="322">
        <f t="shared" si="8"/>
        <v>0.88932</v>
      </c>
      <c r="P32" s="322">
        <f t="shared" si="8"/>
        <v>0.88932</v>
      </c>
      <c r="Q32" s="322">
        <f t="shared" si="8"/>
        <v>0.92447999999999997</v>
      </c>
      <c r="R32" s="322"/>
      <c r="S32" s="322"/>
      <c r="T32" s="322"/>
      <c r="U32" s="322">
        <f>AVERAGE(F32:T32)</f>
        <v>0.85755999999999999</v>
      </c>
    </row>
    <row r="33" spans="1:21" x14ac:dyDescent="0.3">
      <c r="A33" s="9"/>
      <c r="B33" s="9"/>
      <c r="C33" s="136"/>
      <c r="D33" s="9"/>
      <c r="E33" s="9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9"/>
    </row>
    <row r="34" spans="1:21" x14ac:dyDescent="0.3">
      <c r="A34" s="143"/>
      <c r="B34" s="143"/>
      <c r="C34" s="146" t="s">
        <v>114</v>
      </c>
      <c r="D34" s="143"/>
      <c r="E34" s="143"/>
      <c r="F34" s="144">
        <f>SUM(F14+F22+F30)</f>
        <v>31047</v>
      </c>
      <c r="G34" s="144">
        <f t="shared" ref="G34:Q34" si="9">SUM(G14+G22+G30)</f>
        <v>31047</v>
      </c>
      <c r="H34" s="144">
        <f t="shared" si="9"/>
        <v>48839</v>
      </c>
      <c r="I34" s="144">
        <f t="shared" si="9"/>
        <v>52523</v>
      </c>
      <c r="J34" s="144">
        <f t="shared" si="9"/>
        <v>53570</v>
      </c>
      <c r="K34" s="144">
        <f t="shared" si="9"/>
        <v>55538</v>
      </c>
      <c r="L34" s="144">
        <f t="shared" si="9"/>
        <v>62721</v>
      </c>
      <c r="M34" s="144">
        <f t="shared" si="9"/>
        <v>62690</v>
      </c>
      <c r="N34" s="144">
        <f t="shared" si="9"/>
        <v>61702</v>
      </c>
      <c r="O34" s="144">
        <f t="shared" si="9"/>
        <v>54136</v>
      </c>
      <c r="P34" s="144">
        <f t="shared" si="9"/>
        <v>54039</v>
      </c>
      <c r="Q34" s="144">
        <f t="shared" si="9"/>
        <v>54409</v>
      </c>
      <c r="R34" s="144"/>
      <c r="S34" s="144"/>
      <c r="T34" s="154"/>
      <c r="U34" s="154">
        <f>SUM(F34:Q34)</f>
        <v>622261</v>
      </c>
    </row>
    <row r="35" spans="1:21" x14ac:dyDescent="0.3">
      <c r="A35" s="145"/>
      <c r="B35" s="145"/>
      <c r="C35" s="152" t="s">
        <v>115</v>
      </c>
      <c r="D35" s="145"/>
      <c r="E35" s="145"/>
      <c r="F35" s="153">
        <f>SUM(F37:F42)</f>
        <v>-2545</v>
      </c>
      <c r="G35" s="153">
        <f t="shared" ref="G35:Q35" si="10">SUM(G37:G42)</f>
        <v>-2545</v>
      </c>
      <c r="H35" s="153">
        <f t="shared" si="10"/>
        <v>-2545</v>
      </c>
      <c r="I35" s="153">
        <f t="shared" si="10"/>
        <v>-2545</v>
      </c>
      <c r="J35" s="153">
        <f t="shared" si="10"/>
        <v>-2545</v>
      </c>
      <c r="K35" s="153">
        <f t="shared" si="10"/>
        <v>-2545</v>
      </c>
      <c r="L35" s="153">
        <f t="shared" si="10"/>
        <v>-2545</v>
      </c>
      <c r="M35" s="153">
        <f t="shared" si="10"/>
        <v>-2545</v>
      </c>
      <c r="N35" s="153">
        <f t="shared" si="10"/>
        <v>-2545</v>
      </c>
      <c r="O35" s="153">
        <f t="shared" si="10"/>
        <v>-2545</v>
      </c>
      <c r="P35" s="153">
        <f t="shared" si="10"/>
        <v>-2545</v>
      </c>
      <c r="Q35" s="153">
        <f t="shared" si="10"/>
        <v>-2545</v>
      </c>
      <c r="R35" s="153"/>
      <c r="S35" s="153"/>
      <c r="T35" s="149"/>
      <c r="U35" s="149">
        <f>SUM(F35:Q35)</f>
        <v>-30540</v>
      </c>
    </row>
    <row r="36" spans="1:21" s="9" customFormat="1" x14ac:dyDescent="0.3">
      <c r="A36" s="328"/>
      <c r="B36" s="328"/>
      <c r="C36" s="329"/>
      <c r="D36" s="328"/>
      <c r="E36" s="328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7"/>
      <c r="U36" s="337"/>
    </row>
    <row r="37" spans="1:21" x14ac:dyDescent="0.3">
      <c r="A37" s="9"/>
      <c r="B37" s="9"/>
      <c r="C37" s="136" t="s">
        <v>201</v>
      </c>
      <c r="D37" s="9"/>
      <c r="E37" s="9"/>
      <c r="F37" s="375">
        <v>-1655</v>
      </c>
      <c r="G37" s="375">
        <v>-1655</v>
      </c>
      <c r="H37" s="375">
        <v>-1655</v>
      </c>
      <c r="I37" s="375">
        <v>-1655</v>
      </c>
      <c r="J37" s="375">
        <v>-1655</v>
      </c>
      <c r="K37" s="375">
        <v>-1655</v>
      </c>
      <c r="L37" s="375">
        <v>-1655</v>
      </c>
      <c r="M37" s="375">
        <v>-1655</v>
      </c>
      <c r="N37" s="375">
        <v>-1655</v>
      </c>
      <c r="O37" s="375">
        <v>-1655</v>
      </c>
      <c r="P37" s="375">
        <v>-1655</v>
      </c>
      <c r="Q37" s="375">
        <v>-1655</v>
      </c>
      <c r="R37" s="133"/>
      <c r="S37" s="133"/>
      <c r="T37" s="133"/>
      <c r="U37" s="375">
        <f>SUM(F37:Q37)</f>
        <v>-19860</v>
      </c>
    </row>
    <row r="38" spans="1:21" x14ac:dyDescent="0.3">
      <c r="A38" s="9"/>
      <c r="B38" s="9"/>
      <c r="C38" s="136" t="s">
        <v>271</v>
      </c>
      <c r="D38" s="9"/>
      <c r="E38" s="9"/>
      <c r="F38" s="392">
        <v>-700</v>
      </c>
      <c r="G38" s="392">
        <v>-700</v>
      </c>
      <c r="H38" s="392">
        <v>-700</v>
      </c>
      <c r="I38" s="392">
        <v>-700</v>
      </c>
      <c r="J38" s="392">
        <v>-700</v>
      </c>
      <c r="K38" s="392">
        <v>-700</v>
      </c>
      <c r="L38" s="392">
        <v>-700</v>
      </c>
      <c r="M38" s="392">
        <v>-700</v>
      </c>
      <c r="N38" s="392">
        <v>-700</v>
      </c>
      <c r="O38" s="392">
        <v>-700</v>
      </c>
      <c r="P38" s="392">
        <v>-700</v>
      </c>
      <c r="Q38" s="392">
        <v>-700</v>
      </c>
      <c r="R38" s="134"/>
      <c r="S38" s="134"/>
      <c r="T38" s="134"/>
      <c r="U38" s="375">
        <f t="shared" ref="U38:U40" si="11">SUM(F38:Q38)</f>
        <v>-8400</v>
      </c>
    </row>
    <row r="39" spans="1:21" x14ac:dyDescent="0.3">
      <c r="A39" s="9"/>
      <c r="B39" s="9"/>
      <c r="C39" s="136" t="s">
        <v>125</v>
      </c>
      <c r="D39" s="9"/>
      <c r="E39" s="9"/>
      <c r="F39" s="392">
        <v>-125</v>
      </c>
      <c r="G39" s="392">
        <v>-125</v>
      </c>
      <c r="H39" s="392">
        <v>-125</v>
      </c>
      <c r="I39" s="392">
        <v>-125</v>
      </c>
      <c r="J39" s="392">
        <v>-125</v>
      </c>
      <c r="K39" s="392">
        <v>-125</v>
      </c>
      <c r="L39" s="392">
        <v>-125</v>
      </c>
      <c r="M39" s="392">
        <v>-125</v>
      </c>
      <c r="N39" s="392">
        <v>-125</v>
      </c>
      <c r="O39" s="392">
        <v>-125</v>
      </c>
      <c r="P39" s="392">
        <v>-125</v>
      </c>
      <c r="Q39" s="392">
        <v>-125</v>
      </c>
      <c r="R39" s="134"/>
      <c r="S39" s="134"/>
      <c r="T39" s="134"/>
      <c r="U39" s="375">
        <f t="shared" si="11"/>
        <v>-1500</v>
      </c>
    </row>
    <row r="40" spans="1:21" x14ac:dyDescent="0.3">
      <c r="A40" s="9"/>
      <c r="B40" s="9"/>
      <c r="C40" s="136" t="s">
        <v>270</v>
      </c>
      <c r="D40" s="9"/>
      <c r="E40" s="9"/>
      <c r="F40" s="392">
        <v>-65</v>
      </c>
      <c r="G40" s="392">
        <v>-65</v>
      </c>
      <c r="H40" s="392">
        <v>-65</v>
      </c>
      <c r="I40" s="392">
        <v>-65</v>
      </c>
      <c r="J40" s="392">
        <v>-65</v>
      </c>
      <c r="K40" s="392">
        <v>-65</v>
      </c>
      <c r="L40" s="392">
        <v>-65</v>
      </c>
      <c r="M40" s="392">
        <v>-65</v>
      </c>
      <c r="N40" s="392">
        <v>-65</v>
      </c>
      <c r="O40" s="392">
        <v>-65</v>
      </c>
      <c r="P40" s="392">
        <v>-65</v>
      </c>
      <c r="Q40" s="392">
        <v>-65</v>
      </c>
      <c r="R40" s="134"/>
      <c r="S40" s="134"/>
      <c r="T40" s="134"/>
      <c r="U40" s="375">
        <f t="shared" si="11"/>
        <v>-780</v>
      </c>
    </row>
    <row r="41" spans="1:21" x14ac:dyDescent="0.3">
      <c r="A41" s="9"/>
      <c r="B41" s="9"/>
      <c r="C41" s="136" t="s">
        <v>61</v>
      </c>
      <c r="D41" s="9"/>
      <c r="E41" s="9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29"/>
    </row>
    <row r="42" spans="1:21" x14ac:dyDescent="0.3">
      <c r="A42" s="9"/>
      <c r="B42" s="9"/>
      <c r="C42" s="136" t="s">
        <v>206</v>
      </c>
      <c r="D42" s="9"/>
      <c r="E42" s="9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29"/>
    </row>
    <row r="43" spans="1:21" x14ac:dyDescent="0.3">
      <c r="A43" s="9"/>
      <c r="B43" s="9"/>
      <c r="C43" s="134"/>
      <c r="D43" s="9"/>
      <c r="E43" s="9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29"/>
    </row>
    <row r="44" spans="1:21" x14ac:dyDescent="0.3">
      <c r="A44" s="155"/>
      <c r="B44" s="155"/>
      <c r="C44" s="156" t="s">
        <v>4</v>
      </c>
      <c r="D44" s="155"/>
      <c r="E44" s="155"/>
      <c r="F44" s="325">
        <f>SUM(F34+F35)</f>
        <v>28502</v>
      </c>
      <c r="G44" s="325">
        <f t="shared" ref="G44:Q44" si="12">SUM(G34+G35)</f>
        <v>28502</v>
      </c>
      <c r="H44" s="325">
        <f t="shared" si="12"/>
        <v>46294</v>
      </c>
      <c r="I44" s="325">
        <f t="shared" si="12"/>
        <v>49978</v>
      </c>
      <c r="J44" s="325">
        <f t="shared" si="12"/>
        <v>51025</v>
      </c>
      <c r="K44" s="325">
        <f t="shared" si="12"/>
        <v>52993</v>
      </c>
      <c r="L44" s="325">
        <f t="shared" si="12"/>
        <v>60176</v>
      </c>
      <c r="M44" s="325">
        <f t="shared" si="12"/>
        <v>60145</v>
      </c>
      <c r="N44" s="325">
        <f t="shared" si="12"/>
        <v>59157</v>
      </c>
      <c r="O44" s="325">
        <f t="shared" si="12"/>
        <v>51591</v>
      </c>
      <c r="P44" s="325">
        <f t="shared" si="12"/>
        <v>51494</v>
      </c>
      <c r="Q44" s="325">
        <f t="shared" si="12"/>
        <v>51864</v>
      </c>
      <c r="R44" s="157"/>
      <c r="S44" s="157"/>
      <c r="T44" s="157"/>
      <c r="U44" s="210">
        <f>SUM(F44:Q44)</f>
        <v>591721</v>
      </c>
    </row>
    <row r="45" spans="1:21" x14ac:dyDescent="0.3">
      <c r="A45" s="9"/>
      <c r="B45" s="9"/>
      <c r="C45" s="134"/>
      <c r="D45" s="9"/>
      <c r="E45" s="9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29"/>
    </row>
    <row r="46" spans="1:21" x14ac:dyDescent="0.3">
      <c r="A46" s="9"/>
      <c r="B46" s="9"/>
      <c r="C46" s="135" t="s">
        <v>5</v>
      </c>
      <c r="D46" s="9"/>
      <c r="E46" s="9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29"/>
    </row>
    <row r="47" spans="1:21" x14ac:dyDescent="0.3">
      <c r="A47" s="9"/>
      <c r="B47" s="9"/>
      <c r="C47" s="136" t="s">
        <v>269</v>
      </c>
      <c r="D47" s="9"/>
      <c r="E47" s="9"/>
      <c r="F47" s="375">
        <v>-3493</v>
      </c>
      <c r="G47" s="375">
        <v>-3493</v>
      </c>
      <c r="H47" s="375">
        <v>-3493</v>
      </c>
      <c r="I47" s="375">
        <v>-3493</v>
      </c>
      <c r="J47" s="375">
        <v>-3493</v>
      </c>
      <c r="K47" s="375">
        <v>-3493</v>
      </c>
      <c r="L47" s="375">
        <v>-3493</v>
      </c>
      <c r="M47" s="375">
        <v>-3493</v>
      </c>
      <c r="N47" s="375">
        <v>-3493</v>
      </c>
      <c r="O47" s="375">
        <v>-3493</v>
      </c>
      <c r="P47" s="375">
        <v>-3493</v>
      </c>
      <c r="Q47" s="375">
        <v>-3493</v>
      </c>
      <c r="R47" s="150"/>
      <c r="S47" s="150"/>
      <c r="T47" s="150"/>
      <c r="U47" s="375">
        <f>SUM(F47:Q47)</f>
        <v>-41916</v>
      </c>
    </row>
    <row r="48" spans="1:21" x14ac:dyDescent="0.3">
      <c r="A48" s="9"/>
      <c r="B48" s="9"/>
      <c r="C48" s="136" t="s">
        <v>268</v>
      </c>
      <c r="D48" s="9"/>
      <c r="E48" s="9"/>
      <c r="F48" s="375">
        <v>-493</v>
      </c>
      <c r="G48" s="375">
        <v>-493</v>
      </c>
      <c r="H48" s="375">
        <v>-493</v>
      </c>
      <c r="I48" s="375">
        <v>-493</v>
      </c>
      <c r="J48" s="375">
        <v>-493</v>
      </c>
      <c r="K48" s="375">
        <v>-493</v>
      </c>
      <c r="L48" s="375">
        <v>-493</v>
      </c>
      <c r="M48" s="375">
        <v>-493</v>
      </c>
      <c r="N48" s="375">
        <v>-493</v>
      </c>
      <c r="O48" s="375">
        <v>-493</v>
      </c>
      <c r="P48" s="375">
        <v>-493</v>
      </c>
      <c r="Q48" s="375">
        <v>-493</v>
      </c>
      <c r="R48" s="150"/>
      <c r="S48" s="150"/>
      <c r="T48" s="150"/>
      <c r="U48" s="375">
        <f t="shared" ref="U48:U50" si="13">SUM(F48:Q48)</f>
        <v>-5916</v>
      </c>
    </row>
    <row r="49" spans="1:21" x14ac:dyDescent="0.3">
      <c r="A49" s="9"/>
      <c r="B49" s="9"/>
      <c r="C49" s="136" t="s">
        <v>276</v>
      </c>
      <c r="D49" s="9"/>
      <c r="E49" s="9"/>
      <c r="F49" s="375">
        <v>-493</v>
      </c>
      <c r="G49" s="375">
        <v>-493</v>
      </c>
      <c r="H49" s="375">
        <v>-493</v>
      </c>
      <c r="I49" s="375">
        <v>-493</v>
      </c>
      <c r="J49" s="375">
        <v>-493</v>
      </c>
      <c r="K49" s="375">
        <v>-493</v>
      </c>
      <c r="L49" s="375">
        <v>-493</v>
      </c>
      <c r="M49" s="375">
        <v>-493</v>
      </c>
      <c r="N49" s="375">
        <v>-493</v>
      </c>
      <c r="O49" s="375">
        <v>-493</v>
      </c>
      <c r="P49" s="375">
        <v>-493</v>
      </c>
      <c r="Q49" s="375">
        <v>-493</v>
      </c>
      <c r="R49" s="150"/>
      <c r="S49" s="150"/>
      <c r="T49" s="150"/>
      <c r="U49" s="375">
        <f t="shared" si="13"/>
        <v>-5916</v>
      </c>
    </row>
    <row r="50" spans="1:21" x14ac:dyDescent="0.3">
      <c r="A50" s="9"/>
      <c r="B50" s="9"/>
      <c r="C50" s="136" t="s">
        <v>275</v>
      </c>
      <c r="D50" s="9"/>
      <c r="E50" s="9"/>
      <c r="F50" s="393">
        <v>-1070</v>
      </c>
      <c r="G50" s="393">
        <v>-1070</v>
      </c>
      <c r="H50" s="393">
        <v>-1070</v>
      </c>
      <c r="I50" s="393">
        <v>-1070</v>
      </c>
      <c r="J50" s="393">
        <v>-1070</v>
      </c>
      <c r="K50" s="393">
        <v>-1070</v>
      </c>
      <c r="L50" s="393">
        <v>-1070</v>
      </c>
      <c r="M50" s="393">
        <v>-1070</v>
      </c>
      <c r="N50" s="393">
        <v>-1070</v>
      </c>
      <c r="O50" s="393">
        <v>-1070</v>
      </c>
      <c r="P50" s="393">
        <v>-1070</v>
      </c>
      <c r="Q50" s="393">
        <v>-1070</v>
      </c>
      <c r="R50" s="212"/>
      <c r="S50" s="212"/>
      <c r="T50" s="212"/>
      <c r="U50" s="375">
        <f t="shared" si="13"/>
        <v>-12840</v>
      </c>
    </row>
    <row r="51" spans="1:21" x14ac:dyDescent="0.3">
      <c r="A51" s="9"/>
      <c r="B51" s="9"/>
      <c r="C51" s="136" t="s">
        <v>119</v>
      </c>
      <c r="D51" s="9"/>
      <c r="E51" s="9"/>
      <c r="F51" s="151" t="s">
        <v>141</v>
      </c>
      <c r="G51" s="151" t="s">
        <v>141</v>
      </c>
      <c r="H51" s="151" t="s">
        <v>141</v>
      </c>
      <c r="I51" s="151" t="s">
        <v>141</v>
      </c>
      <c r="J51" s="151" t="s">
        <v>141</v>
      </c>
      <c r="K51" s="151" t="s">
        <v>141</v>
      </c>
      <c r="L51" s="151" t="s">
        <v>141</v>
      </c>
      <c r="M51" s="151" t="s">
        <v>141</v>
      </c>
      <c r="N51" s="151" t="s">
        <v>141</v>
      </c>
      <c r="O51" s="151" t="s">
        <v>141</v>
      </c>
      <c r="P51" s="151" t="s">
        <v>141</v>
      </c>
      <c r="Q51" s="151" t="s">
        <v>141</v>
      </c>
      <c r="R51" s="151" t="s">
        <v>141</v>
      </c>
      <c r="S51" s="151" t="s">
        <v>141</v>
      </c>
      <c r="T51" s="151" t="s">
        <v>141</v>
      </c>
      <c r="U51" s="129"/>
    </row>
    <row r="52" spans="1:21" x14ac:dyDescent="0.3">
      <c r="A52" s="9"/>
      <c r="B52" s="9"/>
      <c r="C52" s="136" t="s">
        <v>120</v>
      </c>
      <c r="D52" s="9"/>
      <c r="E52" s="9"/>
      <c r="F52" s="151" t="s">
        <v>141</v>
      </c>
      <c r="G52" s="151" t="s">
        <v>141</v>
      </c>
      <c r="H52" s="151" t="s">
        <v>141</v>
      </c>
      <c r="I52" s="151" t="s">
        <v>141</v>
      </c>
      <c r="J52" s="151" t="s">
        <v>141</v>
      </c>
      <c r="K52" s="151" t="s">
        <v>141</v>
      </c>
      <c r="L52" s="151" t="s">
        <v>141</v>
      </c>
      <c r="M52" s="151" t="s">
        <v>141</v>
      </c>
      <c r="N52" s="151" t="s">
        <v>141</v>
      </c>
      <c r="O52" s="151" t="s">
        <v>141</v>
      </c>
      <c r="P52" s="151" t="s">
        <v>141</v>
      </c>
      <c r="Q52" s="151" t="s">
        <v>141</v>
      </c>
      <c r="R52" s="151"/>
      <c r="S52" s="151"/>
      <c r="T52" s="151"/>
      <c r="U52" s="129"/>
    </row>
    <row r="53" spans="1:21" x14ac:dyDescent="0.3">
      <c r="A53" s="9"/>
      <c r="B53" s="9"/>
      <c r="C53" s="136" t="s">
        <v>121</v>
      </c>
      <c r="D53" s="9"/>
      <c r="E53" s="9"/>
      <c r="F53" s="151" t="s">
        <v>141</v>
      </c>
      <c r="G53" s="151" t="s">
        <v>141</v>
      </c>
      <c r="H53" s="151" t="s">
        <v>141</v>
      </c>
      <c r="I53" s="151" t="s">
        <v>141</v>
      </c>
      <c r="J53" s="151" t="s">
        <v>141</v>
      </c>
      <c r="K53" s="151" t="s">
        <v>141</v>
      </c>
      <c r="L53" s="151" t="s">
        <v>141</v>
      </c>
      <c r="M53" s="151" t="s">
        <v>141</v>
      </c>
      <c r="N53" s="151" t="s">
        <v>141</v>
      </c>
      <c r="O53" s="151" t="s">
        <v>141</v>
      </c>
      <c r="P53" s="151" t="s">
        <v>141</v>
      </c>
      <c r="Q53" s="151" t="s">
        <v>141</v>
      </c>
      <c r="R53" s="151"/>
      <c r="S53" s="151"/>
      <c r="T53" s="151"/>
      <c r="U53" s="129"/>
    </row>
    <row r="54" spans="1:21" x14ac:dyDescent="0.3">
      <c r="A54" s="9"/>
      <c r="B54" s="9"/>
      <c r="C54" s="136" t="s">
        <v>122</v>
      </c>
      <c r="D54" s="9"/>
      <c r="E54" s="9"/>
      <c r="F54" s="151" t="s">
        <v>141</v>
      </c>
      <c r="G54" s="151" t="s">
        <v>141</v>
      </c>
      <c r="H54" s="151" t="s">
        <v>141</v>
      </c>
      <c r="I54" s="151" t="s">
        <v>141</v>
      </c>
      <c r="J54" s="151" t="s">
        <v>141</v>
      </c>
      <c r="K54" s="151" t="s">
        <v>141</v>
      </c>
      <c r="L54" s="151" t="s">
        <v>141</v>
      </c>
      <c r="M54" s="151" t="s">
        <v>141</v>
      </c>
      <c r="N54" s="151" t="s">
        <v>141</v>
      </c>
      <c r="O54" s="151" t="s">
        <v>141</v>
      </c>
      <c r="P54" s="151" t="s">
        <v>141</v>
      </c>
      <c r="Q54" s="151" t="s">
        <v>141</v>
      </c>
      <c r="R54" s="151"/>
      <c r="S54" s="151"/>
      <c r="T54" s="151"/>
      <c r="U54" s="129"/>
    </row>
    <row r="55" spans="1:21" x14ac:dyDescent="0.3">
      <c r="A55" s="9"/>
      <c r="B55" s="9"/>
      <c r="C55" s="136"/>
      <c r="D55" s="9"/>
      <c r="E55" s="9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29"/>
    </row>
    <row r="56" spans="1:21" x14ac:dyDescent="0.3">
      <c r="A56" s="147"/>
      <c r="B56" s="147"/>
      <c r="C56" s="173" t="s">
        <v>123</v>
      </c>
      <c r="D56" s="147"/>
      <c r="E56" s="147"/>
      <c r="F56" s="154">
        <f>SUM(F47:F54)</f>
        <v>-5549</v>
      </c>
      <c r="G56" s="154">
        <f t="shared" ref="G56:Q56" si="14">SUM(G47:G54)</f>
        <v>-5549</v>
      </c>
      <c r="H56" s="154">
        <f t="shared" si="14"/>
        <v>-5549</v>
      </c>
      <c r="I56" s="154">
        <f t="shared" si="14"/>
        <v>-5549</v>
      </c>
      <c r="J56" s="154">
        <f t="shared" si="14"/>
        <v>-5549</v>
      </c>
      <c r="K56" s="154">
        <f t="shared" si="14"/>
        <v>-5549</v>
      </c>
      <c r="L56" s="154">
        <f t="shared" si="14"/>
        <v>-5549</v>
      </c>
      <c r="M56" s="154">
        <f t="shared" si="14"/>
        <v>-5549</v>
      </c>
      <c r="N56" s="154">
        <f t="shared" si="14"/>
        <v>-5549</v>
      </c>
      <c r="O56" s="154">
        <f t="shared" si="14"/>
        <v>-5549</v>
      </c>
      <c r="P56" s="154">
        <f t="shared" si="14"/>
        <v>-5549</v>
      </c>
      <c r="Q56" s="154">
        <f t="shared" si="14"/>
        <v>-5549</v>
      </c>
      <c r="R56" s="154"/>
      <c r="S56" s="154"/>
      <c r="T56" s="154"/>
      <c r="U56" s="154">
        <f>SUM(F56:Q56)</f>
        <v>-66588</v>
      </c>
    </row>
    <row r="57" spans="1:21" x14ac:dyDescent="0.3">
      <c r="A57" s="148"/>
      <c r="B57" s="148"/>
      <c r="C57" s="184" t="s">
        <v>124</v>
      </c>
      <c r="D57" s="148"/>
      <c r="E57" s="148"/>
      <c r="F57" s="149">
        <v>-45063</v>
      </c>
      <c r="G57" s="149">
        <v>-45063</v>
      </c>
      <c r="H57" s="149">
        <v>-45063</v>
      </c>
      <c r="I57" s="149">
        <v>-45063</v>
      </c>
      <c r="J57" s="149">
        <v>-45063</v>
      </c>
      <c r="K57" s="149">
        <v>-45063</v>
      </c>
      <c r="L57" s="149">
        <v>-45063</v>
      </c>
      <c r="M57" s="149">
        <v>-45063</v>
      </c>
      <c r="N57" s="149">
        <v>-45063</v>
      </c>
      <c r="O57" s="149">
        <v>-45063</v>
      </c>
      <c r="P57" s="149">
        <v>-45063</v>
      </c>
      <c r="Q57" s="149">
        <v>-45063</v>
      </c>
      <c r="R57" s="149"/>
      <c r="S57" s="149"/>
      <c r="T57" s="149"/>
      <c r="U57" s="149">
        <f>SUM(F57:Q57)</f>
        <v>-540756</v>
      </c>
    </row>
    <row r="58" spans="1:21" x14ac:dyDescent="0.3">
      <c r="A58" s="9"/>
      <c r="B58" s="9"/>
      <c r="C58" s="134"/>
      <c r="D58" s="9"/>
      <c r="E58" s="9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29"/>
    </row>
    <row r="59" spans="1:21" x14ac:dyDescent="0.3">
      <c r="A59" s="9"/>
      <c r="B59" s="9"/>
      <c r="C59" s="135" t="s">
        <v>24</v>
      </c>
      <c r="D59" s="9"/>
      <c r="E59" s="9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29"/>
    </row>
    <row r="60" spans="1:21" x14ac:dyDescent="0.3">
      <c r="A60" s="9"/>
      <c r="B60" s="9"/>
      <c r="C60" s="134" t="s">
        <v>73</v>
      </c>
      <c r="D60" s="9"/>
      <c r="E60" s="9"/>
      <c r="F60" s="375">
        <v>-1750</v>
      </c>
      <c r="G60" s="375">
        <v>-1750</v>
      </c>
      <c r="H60" s="375">
        <v>-1750</v>
      </c>
      <c r="I60" s="375">
        <v>-1750</v>
      </c>
      <c r="J60" s="375">
        <v>-1750</v>
      </c>
      <c r="K60" s="375">
        <v>-1750</v>
      </c>
      <c r="L60" s="375">
        <v>-1750</v>
      </c>
      <c r="M60" s="375">
        <v>-1750</v>
      </c>
      <c r="N60" s="375">
        <v>-1750</v>
      </c>
      <c r="O60" s="375">
        <v>-1750</v>
      </c>
      <c r="P60" s="375">
        <v>-1750</v>
      </c>
      <c r="Q60" s="375">
        <v>-1750</v>
      </c>
      <c r="R60" s="133"/>
      <c r="S60" s="133"/>
      <c r="T60" s="133"/>
      <c r="U60" s="375">
        <f>SUM(F60:Q60)</f>
        <v>-21000</v>
      </c>
    </row>
    <row r="61" spans="1:21" x14ac:dyDescent="0.3">
      <c r="A61" s="9"/>
      <c r="B61" s="9"/>
      <c r="C61" s="134" t="s">
        <v>251</v>
      </c>
      <c r="D61" s="9"/>
      <c r="E61" s="9"/>
      <c r="F61" s="375">
        <v>-2550</v>
      </c>
      <c r="G61" s="375">
        <v>-2550</v>
      </c>
      <c r="H61" s="375">
        <v>-2550</v>
      </c>
      <c r="I61" s="375">
        <v>-2550</v>
      </c>
      <c r="J61" s="375">
        <v>-2550</v>
      </c>
      <c r="K61" s="375">
        <v>-2550</v>
      </c>
      <c r="L61" s="375">
        <v>-2550</v>
      </c>
      <c r="M61" s="375">
        <v>-2550</v>
      </c>
      <c r="N61" s="375">
        <v>-2550</v>
      </c>
      <c r="O61" s="375">
        <v>-2550</v>
      </c>
      <c r="P61" s="375">
        <v>-2550</v>
      </c>
      <c r="Q61" s="375">
        <v>-2550</v>
      </c>
      <c r="R61" s="133"/>
      <c r="S61" s="133"/>
      <c r="T61" s="133"/>
      <c r="U61" s="375">
        <f t="shared" ref="U61:U64" si="15">SUM(F61:Q61)</f>
        <v>-30600</v>
      </c>
    </row>
    <row r="62" spans="1:21" x14ac:dyDescent="0.3">
      <c r="A62" s="9"/>
      <c r="B62" s="9"/>
      <c r="C62" s="134" t="s">
        <v>125</v>
      </c>
      <c r="D62" s="9"/>
      <c r="E62" s="9"/>
      <c r="F62" s="375">
        <v>-700</v>
      </c>
      <c r="G62" s="375">
        <v>-700</v>
      </c>
      <c r="H62" s="375">
        <v>-700</v>
      </c>
      <c r="I62" s="375">
        <v>-700</v>
      </c>
      <c r="J62" s="375">
        <v>-700</v>
      </c>
      <c r="K62" s="375">
        <v>-700</v>
      </c>
      <c r="L62" s="375">
        <v>-700</v>
      </c>
      <c r="M62" s="375">
        <v>-700</v>
      </c>
      <c r="N62" s="375">
        <v>-700</v>
      </c>
      <c r="O62" s="375">
        <v>-700</v>
      </c>
      <c r="P62" s="375">
        <v>-700</v>
      </c>
      <c r="Q62" s="375">
        <v>-700</v>
      </c>
      <c r="R62" s="211"/>
      <c r="S62" s="211"/>
      <c r="T62" s="211"/>
      <c r="U62" s="375">
        <f t="shared" si="15"/>
        <v>-8400</v>
      </c>
    </row>
    <row r="63" spans="1:21" x14ac:dyDescent="0.3">
      <c r="A63" s="9"/>
      <c r="B63" s="9"/>
      <c r="C63" s="134" t="s">
        <v>219</v>
      </c>
      <c r="D63" s="9"/>
      <c r="E63" s="9"/>
      <c r="F63" s="375">
        <v>-1350</v>
      </c>
      <c r="G63" s="375">
        <v>-1350</v>
      </c>
      <c r="H63" s="375">
        <v>-1350</v>
      </c>
      <c r="I63" s="375">
        <v>-1350</v>
      </c>
      <c r="J63" s="375">
        <v>-1350</v>
      </c>
      <c r="K63" s="375">
        <v>-1350</v>
      </c>
      <c r="L63" s="375">
        <v>-1350</v>
      </c>
      <c r="M63" s="375">
        <v>-1350</v>
      </c>
      <c r="N63" s="375">
        <v>-1350</v>
      </c>
      <c r="O63" s="375">
        <v>-1350</v>
      </c>
      <c r="P63" s="375">
        <v>-1350</v>
      </c>
      <c r="Q63" s="375">
        <v>-1350</v>
      </c>
      <c r="R63" s="133"/>
      <c r="S63" s="133"/>
      <c r="T63" s="133"/>
      <c r="U63" s="375">
        <f t="shared" si="15"/>
        <v>-16200</v>
      </c>
    </row>
    <row r="64" spans="1:21" x14ac:dyDescent="0.3">
      <c r="A64" s="9"/>
      <c r="B64" s="9"/>
      <c r="C64" s="134" t="s">
        <v>252</v>
      </c>
      <c r="D64" s="9"/>
      <c r="E64" s="9"/>
      <c r="F64" s="375">
        <v>-900</v>
      </c>
      <c r="G64" s="375">
        <v>-900</v>
      </c>
      <c r="H64" s="375">
        <v>-900</v>
      </c>
      <c r="I64" s="375">
        <v>-900</v>
      </c>
      <c r="J64" s="375">
        <v>-900</v>
      </c>
      <c r="K64" s="375">
        <v>-900</v>
      </c>
      <c r="L64" s="375">
        <v>-900</v>
      </c>
      <c r="M64" s="375">
        <v>-900</v>
      </c>
      <c r="N64" s="375">
        <v>-900</v>
      </c>
      <c r="O64" s="375">
        <v>-900</v>
      </c>
      <c r="P64" s="375">
        <v>-900</v>
      </c>
      <c r="Q64" s="375">
        <v>-900</v>
      </c>
      <c r="R64" s="133"/>
      <c r="S64" s="133"/>
      <c r="T64" s="133"/>
      <c r="U64" s="375">
        <f t="shared" si="15"/>
        <v>-10800</v>
      </c>
    </row>
    <row r="65" spans="1:21" x14ac:dyDescent="0.3">
      <c r="A65" s="9"/>
      <c r="B65" s="9"/>
      <c r="C65" s="134" t="s">
        <v>126</v>
      </c>
      <c r="D65" s="9"/>
      <c r="E65" s="9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29"/>
    </row>
    <row r="66" spans="1:21" x14ac:dyDescent="0.3">
      <c r="A66" s="9"/>
      <c r="B66" s="9"/>
      <c r="C66" s="136" t="s">
        <v>127</v>
      </c>
      <c r="D66" s="9"/>
      <c r="E66" s="9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29"/>
    </row>
    <row r="67" spans="1:21" x14ac:dyDescent="0.3">
      <c r="A67" s="9"/>
      <c r="B67" s="9"/>
      <c r="C67" s="136" t="s">
        <v>128</v>
      </c>
      <c r="D67" s="9"/>
      <c r="E67" s="9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29"/>
    </row>
    <row r="68" spans="1:21" x14ac:dyDescent="0.3">
      <c r="A68" s="9"/>
      <c r="B68" s="9"/>
      <c r="C68" s="136" t="s">
        <v>129</v>
      </c>
      <c r="D68" s="9"/>
      <c r="E68" s="9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29"/>
    </row>
    <row r="69" spans="1:21" x14ac:dyDescent="0.3">
      <c r="A69" s="9"/>
      <c r="B69" s="9"/>
      <c r="C69" s="136" t="s">
        <v>130</v>
      </c>
      <c r="D69" s="9"/>
      <c r="E69" s="9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29"/>
    </row>
    <row r="70" spans="1:21" x14ac:dyDescent="0.3">
      <c r="A70" s="9"/>
      <c r="B70" s="9"/>
      <c r="C70" s="136" t="s">
        <v>131</v>
      </c>
      <c r="D70" s="9"/>
      <c r="E70" s="9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29"/>
    </row>
    <row r="71" spans="1:21" x14ac:dyDescent="0.3">
      <c r="A71" s="9"/>
      <c r="B71" s="9"/>
      <c r="C71" s="136" t="s">
        <v>132</v>
      </c>
      <c r="D71" s="9"/>
      <c r="E71" s="9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29"/>
    </row>
    <row r="72" spans="1:21" x14ac:dyDescent="0.3">
      <c r="A72" s="9"/>
      <c r="B72" s="9"/>
      <c r="C72" s="136" t="s">
        <v>133</v>
      </c>
      <c r="D72" s="9"/>
      <c r="E72" s="9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29"/>
    </row>
    <row r="73" spans="1:21" x14ac:dyDescent="0.3">
      <c r="A73" s="9"/>
      <c r="B73" s="9"/>
      <c r="C73" s="136" t="s">
        <v>134</v>
      </c>
      <c r="D73" s="9"/>
      <c r="E73" s="9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29"/>
    </row>
    <row r="74" spans="1:21" x14ac:dyDescent="0.3">
      <c r="A74" s="9"/>
      <c r="B74" s="9"/>
      <c r="C74" s="136"/>
      <c r="D74" s="9"/>
      <c r="E74" s="9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29"/>
    </row>
    <row r="75" spans="1:21" s="108" customFormat="1" ht="14.4" customHeight="1" x14ac:dyDescent="0.3">
      <c r="A75" s="160"/>
      <c r="B75" s="160"/>
      <c r="C75" s="161" t="s">
        <v>136</v>
      </c>
      <c r="D75" s="160"/>
      <c r="E75" s="160"/>
      <c r="F75" s="162">
        <f>SUM(F60:F74)</f>
        <v>-7250</v>
      </c>
      <c r="G75" s="162">
        <f>SUM(G60:G74)</f>
        <v>-7250</v>
      </c>
      <c r="H75" s="162">
        <f t="shared" ref="H75:Q75" si="16">SUM(H60:H74)</f>
        <v>-7250</v>
      </c>
      <c r="I75" s="162">
        <f t="shared" si="16"/>
        <v>-7250</v>
      </c>
      <c r="J75" s="162">
        <f t="shared" si="16"/>
        <v>-7250</v>
      </c>
      <c r="K75" s="162">
        <f t="shared" si="16"/>
        <v>-7250</v>
      </c>
      <c r="L75" s="162">
        <f t="shared" si="16"/>
        <v>-7250</v>
      </c>
      <c r="M75" s="162">
        <f t="shared" si="16"/>
        <v>-7250</v>
      </c>
      <c r="N75" s="162">
        <f t="shared" si="16"/>
        <v>-7250</v>
      </c>
      <c r="O75" s="162">
        <f t="shared" si="16"/>
        <v>-7250</v>
      </c>
      <c r="P75" s="162">
        <f t="shared" si="16"/>
        <v>-7250</v>
      </c>
      <c r="Q75" s="162">
        <f t="shared" si="16"/>
        <v>-7250</v>
      </c>
      <c r="R75" s="162"/>
      <c r="S75" s="162"/>
      <c r="T75" s="162"/>
      <c r="U75" s="154">
        <f>SUM(F75:Q75)</f>
        <v>-87000</v>
      </c>
    </row>
    <row r="76" spans="1:21" s="108" customFormat="1" ht="14.4" customHeight="1" x14ac:dyDescent="0.3">
      <c r="A76" s="163"/>
      <c r="B76" s="163"/>
      <c r="C76" s="164" t="s">
        <v>6</v>
      </c>
      <c r="D76" s="163"/>
      <c r="E76" s="163"/>
      <c r="F76" s="165">
        <f>F34+F35+F56+F75</f>
        <v>15703</v>
      </c>
      <c r="G76" s="165">
        <f>G34+G35+G56+G75</f>
        <v>15703</v>
      </c>
      <c r="H76" s="165">
        <f t="shared" ref="H76:Q76" si="17">H34+H35+H56+H75</f>
        <v>33495</v>
      </c>
      <c r="I76" s="165">
        <f t="shared" si="17"/>
        <v>37179</v>
      </c>
      <c r="J76" s="165">
        <f t="shared" si="17"/>
        <v>38226</v>
      </c>
      <c r="K76" s="165">
        <f t="shared" si="17"/>
        <v>40194</v>
      </c>
      <c r="L76" s="165">
        <f t="shared" si="17"/>
        <v>47377</v>
      </c>
      <c r="M76" s="165">
        <f t="shared" si="17"/>
        <v>47346</v>
      </c>
      <c r="N76" s="165">
        <f t="shared" si="17"/>
        <v>46358</v>
      </c>
      <c r="O76" s="165">
        <f t="shared" si="17"/>
        <v>38792</v>
      </c>
      <c r="P76" s="165">
        <f t="shared" si="17"/>
        <v>38695</v>
      </c>
      <c r="Q76" s="165">
        <f t="shared" si="17"/>
        <v>39065</v>
      </c>
      <c r="R76" s="165"/>
      <c r="S76" s="165"/>
      <c r="T76" s="165"/>
      <c r="U76" s="149">
        <f>SUM(F76:Q76)</f>
        <v>438133</v>
      </c>
    </row>
    <row r="77" spans="1:21" s="108" customFormat="1" ht="14.4" customHeight="1" x14ac:dyDescent="0.3">
      <c r="A77" s="106"/>
      <c r="B77" s="106"/>
      <c r="C77" s="137" t="s">
        <v>137</v>
      </c>
      <c r="D77" s="106"/>
      <c r="E77" s="106"/>
      <c r="F77" s="376">
        <v>-1756</v>
      </c>
      <c r="G77" s="376">
        <v>-1756</v>
      </c>
      <c r="H77" s="376">
        <v>-1756</v>
      </c>
      <c r="I77" s="376">
        <v>-1756</v>
      </c>
      <c r="J77" s="376">
        <v>-1756</v>
      </c>
      <c r="K77" s="376">
        <v>-1756</v>
      </c>
      <c r="L77" s="376">
        <v>-1756</v>
      </c>
      <c r="M77" s="376">
        <v>-1800</v>
      </c>
      <c r="N77" s="376">
        <v>-1800</v>
      </c>
      <c r="O77" s="376">
        <v>-1800</v>
      </c>
      <c r="P77" s="376">
        <v>-1800</v>
      </c>
      <c r="Q77" s="376">
        <v>-1800</v>
      </c>
      <c r="R77" s="139"/>
      <c r="S77" s="139"/>
      <c r="T77" s="139"/>
      <c r="U77" s="402">
        <f>SUM(F77:Q77)</f>
        <v>-21292</v>
      </c>
    </row>
    <row r="78" spans="1:21" s="108" customFormat="1" ht="25.05" customHeight="1" x14ac:dyDescent="0.3">
      <c r="A78" s="106"/>
      <c r="B78" s="106"/>
      <c r="C78" s="137" t="s">
        <v>8</v>
      </c>
      <c r="D78" s="106"/>
      <c r="E78" s="106"/>
      <c r="F78" s="138">
        <f t="shared" ref="F78:Q78" si="18">F76+F77</f>
        <v>13947</v>
      </c>
      <c r="G78" s="138">
        <f t="shared" si="18"/>
        <v>13947</v>
      </c>
      <c r="H78" s="138">
        <f t="shared" si="18"/>
        <v>31739</v>
      </c>
      <c r="I78" s="138">
        <f t="shared" si="18"/>
        <v>35423</v>
      </c>
      <c r="J78" s="138">
        <f t="shared" si="18"/>
        <v>36470</v>
      </c>
      <c r="K78" s="138">
        <f t="shared" si="18"/>
        <v>38438</v>
      </c>
      <c r="L78" s="138">
        <f t="shared" si="18"/>
        <v>45621</v>
      </c>
      <c r="M78" s="138">
        <f t="shared" si="18"/>
        <v>45546</v>
      </c>
      <c r="N78" s="138">
        <f t="shared" si="18"/>
        <v>44558</v>
      </c>
      <c r="O78" s="138">
        <f t="shared" si="18"/>
        <v>36992</v>
      </c>
      <c r="P78" s="138">
        <f t="shared" si="18"/>
        <v>36895</v>
      </c>
      <c r="Q78" s="138">
        <f t="shared" si="18"/>
        <v>37265</v>
      </c>
      <c r="R78" s="138"/>
      <c r="S78" s="138"/>
      <c r="T78" s="138"/>
      <c r="U78" s="403">
        <f t="shared" ref="U78:U81" si="19">SUM(F78:Q78)</f>
        <v>416841</v>
      </c>
    </row>
    <row r="79" spans="1:21" s="108" customFormat="1" ht="25.05" customHeight="1" x14ac:dyDescent="0.3">
      <c r="A79" s="106"/>
      <c r="B79" s="106"/>
      <c r="C79" s="140" t="s">
        <v>138</v>
      </c>
      <c r="D79" s="141"/>
      <c r="E79" s="106"/>
      <c r="F79" s="139">
        <f>('BS 2027'!F27)*0.05</f>
        <v>0</v>
      </c>
      <c r="G79" s="139">
        <f>('BS 2027'!G27)*0.05</f>
        <v>0</v>
      </c>
      <c r="H79" s="139">
        <f>('BS 2027'!H27)*0.05</f>
        <v>0</v>
      </c>
      <c r="I79" s="139">
        <f>('BS 2027'!I27)*0.05</f>
        <v>0</v>
      </c>
      <c r="J79" s="139">
        <f>('BS 2027'!J27)*0.05</f>
        <v>0</v>
      </c>
      <c r="K79" s="139">
        <f>('BS 2027'!K27)*0.05</f>
        <v>0</v>
      </c>
      <c r="L79" s="139">
        <f>('BS 2027'!L27)*0.05</f>
        <v>0</v>
      </c>
      <c r="M79" s="139">
        <f>('BS 2027'!M27)*0.05</f>
        <v>0</v>
      </c>
      <c r="N79" s="139">
        <f>('BS 2027'!N27)*0.05</f>
        <v>0</v>
      </c>
      <c r="O79" s="139">
        <f>('BS 2027'!O27)*0.05</f>
        <v>0</v>
      </c>
      <c r="P79" s="139">
        <f>('BS 2027'!P27)*0.05</f>
        <v>0</v>
      </c>
      <c r="Q79" s="139">
        <f>('BS 2027'!Q27)*0.05</f>
        <v>0</v>
      </c>
      <c r="R79" s="138"/>
      <c r="S79" s="138"/>
      <c r="T79" s="138"/>
      <c r="U79" s="403">
        <f t="shared" si="19"/>
        <v>0</v>
      </c>
    </row>
    <row r="80" spans="1:21" s="108" customFormat="1" ht="25.05" customHeight="1" x14ac:dyDescent="0.3">
      <c r="A80" s="106"/>
      <c r="B80" s="106"/>
      <c r="C80" s="137" t="s">
        <v>10</v>
      </c>
      <c r="D80" s="106"/>
      <c r="E80" s="106"/>
      <c r="F80" s="138">
        <f t="shared" ref="F80:Q80" si="20">F76</f>
        <v>15703</v>
      </c>
      <c r="G80" s="138">
        <f t="shared" si="20"/>
        <v>15703</v>
      </c>
      <c r="H80" s="138">
        <f t="shared" si="20"/>
        <v>33495</v>
      </c>
      <c r="I80" s="138">
        <f t="shared" si="20"/>
        <v>37179</v>
      </c>
      <c r="J80" s="138">
        <f t="shared" si="20"/>
        <v>38226</v>
      </c>
      <c r="K80" s="138">
        <f t="shared" si="20"/>
        <v>40194</v>
      </c>
      <c r="L80" s="138">
        <f t="shared" si="20"/>
        <v>47377</v>
      </c>
      <c r="M80" s="138">
        <f t="shared" si="20"/>
        <v>47346</v>
      </c>
      <c r="N80" s="138">
        <f t="shared" si="20"/>
        <v>46358</v>
      </c>
      <c r="O80" s="138">
        <f t="shared" si="20"/>
        <v>38792</v>
      </c>
      <c r="P80" s="138">
        <f t="shared" si="20"/>
        <v>38695</v>
      </c>
      <c r="Q80" s="138">
        <f t="shared" si="20"/>
        <v>39065</v>
      </c>
      <c r="R80" s="138"/>
      <c r="S80" s="138"/>
      <c r="T80" s="138"/>
      <c r="U80" s="403">
        <f t="shared" si="19"/>
        <v>438133</v>
      </c>
    </row>
    <row r="81" spans="1:21" s="108" customFormat="1" ht="25.05" customHeight="1" x14ac:dyDescent="0.3">
      <c r="A81" s="106"/>
      <c r="B81" s="106"/>
      <c r="C81" s="140" t="s">
        <v>11</v>
      </c>
      <c r="D81" s="106"/>
      <c r="E81" s="106"/>
      <c r="F81" s="376">
        <f>(F78*0.2)*-1</f>
        <v>-2789.4</v>
      </c>
      <c r="G81" s="376">
        <f t="shared" ref="G81:Q81" si="21">(G78*0.2)*-1</f>
        <v>-2789.4</v>
      </c>
      <c r="H81" s="376">
        <f t="shared" si="21"/>
        <v>-6347.8</v>
      </c>
      <c r="I81" s="376">
        <f t="shared" si="21"/>
        <v>-7084.6</v>
      </c>
      <c r="J81" s="376">
        <f t="shared" si="21"/>
        <v>-7294</v>
      </c>
      <c r="K81" s="376">
        <f t="shared" si="21"/>
        <v>-7687.6</v>
      </c>
      <c r="L81" s="376">
        <f t="shared" si="21"/>
        <v>-9124.2000000000007</v>
      </c>
      <c r="M81" s="376">
        <f t="shared" si="21"/>
        <v>-9109.2000000000007</v>
      </c>
      <c r="N81" s="376">
        <f t="shared" si="21"/>
        <v>-8911.6</v>
      </c>
      <c r="O81" s="376">
        <f t="shared" si="21"/>
        <v>-7398.4000000000005</v>
      </c>
      <c r="P81" s="376">
        <f t="shared" si="21"/>
        <v>-7379</v>
      </c>
      <c r="Q81" s="376">
        <f t="shared" si="21"/>
        <v>-7453</v>
      </c>
      <c r="R81" s="376"/>
      <c r="S81" s="376"/>
      <c r="T81" s="376"/>
      <c r="U81" s="402">
        <f t="shared" si="19"/>
        <v>-83368.2</v>
      </c>
    </row>
    <row r="82" spans="1:21" s="108" customFormat="1" ht="14.4" customHeight="1" x14ac:dyDescent="0.3">
      <c r="A82" s="166"/>
      <c r="B82" s="166"/>
      <c r="C82" s="167" t="s">
        <v>12</v>
      </c>
      <c r="D82" s="166"/>
      <c r="E82" s="166"/>
      <c r="F82" s="294">
        <f>F80+F81</f>
        <v>12913.6</v>
      </c>
      <c r="G82" s="294">
        <f>G80+G81</f>
        <v>12913.6</v>
      </c>
      <c r="H82" s="294">
        <f>H80+H81</f>
        <v>27147.200000000001</v>
      </c>
      <c r="I82" s="294">
        <f>I80+I81</f>
        <v>30094.400000000001</v>
      </c>
      <c r="J82" s="294">
        <f>J80+J81</f>
        <v>30932</v>
      </c>
      <c r="K82" s="294">
        <f t="shared" ref="K82:M82" si="22">K80+K81</f>
        <v>32506.400000000001</v>
      </c>
      <c r="L82" s="294">
        <f t="shared" si="22"/>
        <v>38252.800000000003</v>
      </c>
      <c r="M82" s="294">
        <f t="shared" si="22"/>
        <v>38236.800000000003</v>
      </c>
      <c r="N82" s="294">
        <f>N80+N81</f>
        <v>37446.400000000001</v>
      </c>
      <c r="O82" s="294">
        <f>O80+O81</f>
        <v>31393.599999999999</v>
      </c>
      <c r="P82" s="294">
        <f t="shared" ref="P82" si="23">P80+P81</f>
        <v>31316</v>
      </c>
      <c r="Q82" s="294">
        <f t="shared" ref="Q82" si="24">Q80+Q81</f>
        <v>31612</v>
      </c>
      <c r="R82" s="294"/>
      <c r="S82" s="294"/>
      <c r="T82" s="295"/>
      <c r="U82" s="296">
        <f>SUM(F82:Q82)</f>
        <v>354764.79999999999</v>
      </c>
    </row>
    <row r="83" spans="1:21" x14ac:dyDescent="0.3">
      <c r="F83"/>
    </row>
    <row r="84" spans="1:21" x14ac:dyDescent="0.3">
      <c r="F84"/>
    </row>
    <row r="85" spans="1:21" x14ac:dyDescent="0.3">
      <c r="F85"/>
    </row>
    <row r="86" spans="1:21" x14ac:dyDescent="0.3">
      <c r="F86"/>
    </row>
    <row r="87" spans="1:21" x14ac:dyDescent="0.3">
      <c r="F87"/>
    </row>
    <row r="88" spans="1:21" x14ac:dyDescent="0.3">
      <c r="F88"/>
    </row>
    <row r="89" spans="1:21" x14ac:dyDescent="0.3">
      <c r="F89"/>
    </row>
    <row r="90" spans="1:21" x14ac:dyDescent="0.3">
      <c r="F90"/>
    </row>
    <row r="91" spans="1:21" x14ac:dyDescent="0.3">
      <c r="F91"/>
    </row>
    <row r="92" spans="1:21" x14ac:dyDescent="0.3">
      <c r="F92"/>
    </row>
    <row r="93" spans="1:21" x14ac:dyDescent="0.3">
      <c r="F93"/>
    </row>
    <row r="94" spans="1:21" x14ac:dyDescent="0.3">
      <c r="F94"/>
    </row>
    <row r="95" spans="1:21" x14ac:dyDescent="0.3">
      <c r="F95"/>
    </row>
    <row r="96" spans="1:21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</sheetData>
  <mergeCells count="1">
    <mergeCell ref="C10:D10"/>
  </mergeCells>
  <phoneticPr fontId="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01416-8E71-4F03-B75B-AC895B084448}">
  <sheetPr codeName="Sheet34"/>
  <dimension ref="A2:V82"/>
  <sheetViews>
    <sheetView showGridLines="0" topLeftCell="B60" workbookViewId="0">
      <selection activeCell="V78" sqref="V78:V79"/>
    </sheetView>
  </sheetViews>
  <sheetFormatPr defaultRowHeight="14.4" x14ac:dyDescent="0.3"/>
  <cols>
    <col min="1" max="1" width="13.109375" customWidth="1"/>
    <col min="3" max="3" width="9.6640625" customWidth="1"/>
    <col min="7" max="7" width="12.44140625" customWidth="1"/>
    <col min="11" max="11" width="9.88671875" bestFit="1" customWidth="1"/>
    <col min="15" max="15" width="9.6640625" customWidth="1"/>
    <col min="19" max="19" width="9.5546875" customWidth="1"/>
    <col min="22" max="22" width="10.21875" bestFit="1" customWidth="1"/>
  </cols>
  <sheetData>
    <row r="2" spans="1:22" ht="18" x14ac:dyDescent="0.35">
      <c r="A2" s="128" t="s">
        <v>142</v>
      </c>
      <c r="C2" s="127"/>
      <c r="D2" s="9"/>
    </row>
    <row r="3" spans="1:22" x14ac:dyDescent="0.3">
      <c r="A3" s="126" t="s">
        <v>143</v>
      </c>
      <c r="C3" s="14"/>
    </row>
    <row r="4" spans="1:22" x14ac:dyDescent="0.3">
      <c r="A4" s="126" t="s">
        <v>144</v>
      </c>
      <c r="C4" s="14"/>
    </row>
    <row r="6" spans="1:22" x14ac:dyDescent="0.3">
      <c r="B6" s="14" t="s">
        <v>192</v>
      </c>
    </row>
    <row r="7" spans="1:22" x14ac:dyDescent="0.3">
      <c r="A7" s="142"/>
      <c r="B7" s="173" t="s">
        <v>64</v>
      </c>
      <c r="C7" s="147"/>
      <c r="D7" s="147"/>
      <c r="E7" s="147"/>
      <c r="F7" s="147"/>
      <c r="G7" s="175">
        <v>46388</v>
      </c>
      <c r="H7" s="175">
        <v>46419</v>
      </c>
      <c r="I7" s="175">
        <v>46447</v>
      </c>
      <c r="J7" s="175">
        <v>46478</v>
      </c>
      <c r="K7" s="175">
        <v>46508</v>
      </c>
      <c r="L7" s="175">
        <v>46539</v>
      </c>
      <c r="M7" s="175">
        <v>46569</v>
      </c>
      <c r="N7" s="175">
        <v>46600</v>
      </c>
      <c r="O7" s="175">
        <v>46631</v>
      </c>
      <c r="P7" s="175">
        <v>46661</v>
      </c>
      <c r="Q7" s="175">
        <v>46692</v>
      </c>
      <c r="R7" s="175">
        <v>46722</v>
      </c>
      <c r="S7" s="174">
        <v>46753</v>
      </c>
      <c r="T7" s="174">
        <v>46784</v>
      </c>
      <c r="U7" s="174">
        <v>46813</v>
      </c>
      <c r="V7" s="175" t="s">
        <v>72</v>
      </c>
    </row>
    <row r="9" spans="1:22" x14ac:dyDescent="0.3">
      <c r="B9" s="14" t="s">
        <v>168</v>
      </c>
    </row>
    <row r="10" spans="1:22" x14ac:dyDescent="0.3">
      <c r="A10" s="147"/>
      <c r="B10" s="173" t="s">
        <v>145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</row>
    <row r="11" spans="1:22" x14ac:dyDescent="0.3">
      <c r="B11" s="302" t="s">
        <v>37</v>
      </c>
      <c r="C11" s="303"/>
      <c r="D11" s="303"/>
      <c r="E11" s="303"/>
      <c r="F11" s="303"/>
      <c r="G11" s="351">
        <f>SUM(G16+G24+G32)</f>
        <v>31047</v>
      </c>
      <c r="H11" s="351">
        <f t="shared" ref="H11:R11" si="0">SUM(H16+H24+H32)</f>
        <v>31047</v>
      </c>
      <c r="I11" s="351">
        <f t="shared" si="0"/>
        <v>48839</v>
      </c>
      <c r="J11" s="351">
        <f t="shared" si="0"/>
        <v>52523</v>
      </c>
      <c r="K11" s="351">
        <f t="shared" si="0"/>
        <v>53570</v>
      </c>
      <c r="L11" s="351">
        <f t="shared" si="0"/>
        <v>55538</v>
      </c>
      <c r="M11" s="351">
        <f t="shared" si="0"/>
        <v>62721</v>
      </c>
      <c r="N11" s="351">
        <f t="shared" si="0"/>
        <v>62690</v>
      </c>
      <c r="O11" s="351">
        <f t="shared" si="0"/>
        <v>61702</v>
      </c>
      <c r="P11" s="351">
        <f t="shared" si="0"/>
        <v>54136</v>
      </c>
      <c r="Q11" s="351">
        <f t="shared" si="0"/>
        <v>54039</v>
      </c>
      <c r="R11" s="351">
        <f t="shared" si="0"/>
        <v>54409</v>
      </c>
      <c r="S11" s="304"/>
      <c r="T11" s="304"/>
      <c r="U11" s="304"/>
      <c r="V11" s="194">
        <f>SUM(G11:R11)</f>
        <v>622261</v>
      </c>
    </row>
    <row r="12" spans="1:22" ht="13.2" customHeight="1" x14ac:dyDescent="0.3">
      <c r="A12" s="9"/>
      <c r="B12" s="9"/>
      <c r="C12" s="427" t="s">
        <v>288</v>
      </c>
      <c r="D12" s="427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338" t="s">
        <v>100</v>
      </c>
    </row>
    <row r="13" spans="1:22" x14ac:dyDescent="0.3">
      <c r="A13" s="9"/>
      <c r="B13" s="9"/>
      <c r="C13" s="136" t="s">
        <v>282</v>
      </c>
      <c r="D13" s="9"/>
      <c r="E13" s="9"/>
      <c r="G13" s="321">
        <f>'IS 2027'!F11</f>
        <v>4191</v>
      </c>
      <c r="H13" s="321">
        <f>'IS 2027'!G11</f>
        <v>4191</v>
      </c>
      <c r="I13" s="321">
        <f>'IS 2027'!H11</f>
        <v>4191</v>
      </c>
      <c r="J13" s="321">
        <f>'IS 2027'!I11</f>
        <v>4891</v>
      </c>
      <c r="K13" s="321">
        <f>'IS 2027'!J11</f>
        <v>5191</v>
      </c>
      <c r="L13" s="321">
        <f>'IS 2027'!K11</f>
        <v>5191</v>
      </c>
      <c r="M13" s="321">
        <f>'IS 2027'!L11</f>
        <v>5222</v>
      </c>
      <c r="N13" s="321">
        <f>'IS 2027'!M11</f>
        <v>5191</v>
      </c>
      <c r="O13" s="321">
        <f>'IS 2027'!N11</f>
        <v>5203</v>
      </c>
      <c r="P13" s="321">
        <f>'IS 2027'!O11</f>
        <v>5203</v>
      </c>
      <c r="Q13" s="321">
        <f>'IS 2027'!P11</f>
        <v>5191</v>
      </c>
      <c r="R13" s="321">
        <f>'IS 2027'!Q11</f>
        <v>5187</v>
      </c>
      <c r="S13" s="321"/>
      <c r="T13" s="321"/>
      <c r="U13" s="321">
        <f t="shared" ref="U13:U18" si="1">AVERAGE(G13:T13)</f>
        <v>4920.25</v>
      </c>
    </row>
    <row r="14" spans="1:22" x14ac:dyDescent="0.3">
      <c r="A14" s="9"/>
      <c r="B14" s="9"/>
      <c r="C14" s="136" t="s">
        <v>283</v>
      </c>
      <c r="D14" s="9"/>
      <c r="E14" s="9"/>
      <c r="G14" s="321">
        <f>'IS 2027'!F12</f>
        <v>2357</v>
      </c>
      <c r="H14" s="321">
        <f>'IS 2027'!G12</f>
        <v>2357</v>
      </c>
      <c r="I14" s="321">
        <f>'IS 2027'!H12</f>
        <v>2357</v>
      </c>
      <c r="J14" s="321">
        <f>'IS 2027'!I12</f>
        <v>3357</v>
      </c>
      <c r="K14" s="321">
        <f>'IS 2027'!J12</f>
        <v>3557</v>
      </c>
      <c r="L14" s="321">
        <f>'IS 2027'!K12</f>
        <v>3557</v>
      </c>
      <c r="M14" s="321">
        <f>'IS 2027'!L12</f>
        <v>3557</v>
      </c>
      <c r="N14" s="321">
        <f>'IS 2027'!M12</f>
        <v>3557</v>
      </c>
      <c r="O14" s="321">
        <f>'IS 2027'!N12</f>
        <v>3557</v>
      </c>
      <c r="P14" s="321">
        <f>'IS 2027'!O12</f>
        <v>3557</v>
      </c>
      <c r="Q14" s="321">
        <f>'IS 2027'!P12</f>
        <v>3557</v>
      </c>
      <c r="R14" s="321">
        <f>'IS 2027'!Q12</f>
        <v>3557</v>
      </c>
      <c r="S14" s="321"/>
      <c r="T14" s="321"/>
      <c r="U14" s="321">
        <f t="shared" si="1"/>
        <v>3240.3333333333335</v>
      </c>
    </row>
    <row r="15" spans="1:22" x14ac:dyDescent="0.3">
      <c r="A15" s="9"/>
      <c r="B15" s="9"/>
      <c r="C15" s="136" t="s">
        <v>284</v>
      </c>
      <c r="D15" s="9"/>
      <c r="E15" s="9"/>
      <c r="G15" s="321">
        <f>'IS 2027'!F13</f>
        <v>3357</v>
      </c>
      <c r="H15" s="321">
        <f>'IS 2027'!G13</f>
        <v>3357</v>
      </c>
      <c r="I15" s="321">
        <f>'IS 2027'!H13</f>
        <v>3357</v>
      </c>
      <c r="J15" s="321">
        <f>'IS 2027'!I13</f>
        <v>4357</v>
      </c>
      <c r="K15" s="321">
        <f>'IS 2027'!J13</f>
        <v>4010</v>
      </c>
      <c r="L15" s="321">
        <f>'IS 2027'!K13</f>
        <v>4010</v>
      </c>
      <c r="M15" s="321">
        <f>'IS 2027'!L13</f>
        <v>4010</v>
      </c>
      <c r="N15" s="321">
        <f>'IS 2027'!M13</f>
        <v>4010</v>
      </c>
      <c r="O15" s="321">
        <f>'IS 2027'!N13</f>
        <v>4010</v>
      </c>
      <c r="P15" s="321">
        <f>'IS 2027'!O13</f>
        <v>4010</v>
      </c>
      <c r="Q15" s="321">
        <f>'IS 2027'!P13</f>
        <v>4010</v>
      </c>
      <c r="R15" s="321">
        <f>'IS 2027'!Q13</f>
        <v>4010</v>
      </c>
      <c r="S15" s="321"/>
      <c r="T15" s="321"/>
      <c r="U15" s="321">
        <f t="shared" si="1"/>
        <v>3875.6666666666665</v>
      </c>
    </row>
    <row r="16" spans="1:22" x14ac:dyDescent="0.3">
      <c r="A16" s="9"/>
      <c r="B16" s="9"/>
      <c r="C16" s="136" t="s">
        <v>274</v>
      </c>
      <c r="D16" s="9"/>
      <c r="E16" s="9"/>
      <c r="G16" s="321">
        <f t="shared" ref="G16:R16" si="2">SUM(G13:G15)</f>
        <v>9905</v>
      </c>
      <c r="H16" s="321">
        <f t="shared" si="2"/>
        <v>9905</v>
      </c>
      <c r="I16" s="321">
        <f t="shared" si="2"/>
        <v>9905</v>
      </c>
      <c r="J16" s="321">
        <f t="shared" si="2"/>
        <v>12605</v>
      </c>
      <c r="K16" s="321">
        <f t="shared" si="2"/>
        <v>12758</v>
      </c>
      <c r="L16" s="321">
        <f t="shared" si="2"/>
        <v>12758</v>
      </c>
      <c r="M16" s="321">
        <f t="shared" si="2"/>
        <v>12789</v>
      </c>
      <c r="N16" s="321">
        <f t="shared" si="2"/>
        <v>12758</v>
      </c>
      <c r="O16" s="321">
        <f t="shared" si="2"/>
        <v>12770</v>
      </c>
      <c r="P16" s="321">
        <f t="shared" si="2"/>
        <v>12770</v>
      </c>
      <c r="Q16" s="321">
        <f t="shared" si="2"/>
        <v>12758</v>
      </c>
      <c r="R16" s="321">
        <f t="shared" si="2"/>
        <v>12754</v>
      </c>
      <c r="S16" s="321"/>
      <c r="T16" s="321"/>
      <c r="U16" s="321">
        <f t="shared" si="1"/>
        <v>12036.25</v>
      </c>
    </row>
    <row r="17" spans="1:21" x14ac:dyDescent="0.3">
      <c r="A17" s="9"/>
      <c r="B17" s="9"/>
      <c r="C17" s="404" t="s">
        <v>295</v>
      </c>
      <c r="D17" s="367"/>
      <c r="E17" s="367"/>
      <c r="F17" s="366"/>
      <c r="G17" s="333">
        <v>15000</v>
      </c>
      <c r="H17" s="333">
        <v>15000</v>
      </c>
      <c r="I17" s="333">
        <v>15000</v>
      </c>
      <c r="J17" s="333">
        <v>15000</v>
      </c>
      <c r="K17" s="333">
        <v>15000</v>
      </c>
      <c r="L17" s="333">
        <v>15000</v>
      </c>
      <c r="M17" s="333">
        <v>15000</v>
      </c>
      <c r="N17" s="333">
        <v>15000</v>
      </c>
      <c r="O17" s="333">
        <v>15000</v>
      </c>
      <c r="P17" s="333">
        <v>15000</v>
      </c>
      <c r="Q17" s="333">
        <v>15000</v>
      </c>
      <c r="R17" s="333">
        <v>15000</v>
      </c>
      <c r="S17" s="333"/>
      <c r="T17" s="333"/>
      <c r="U17" s="333">
        <f t="shared" si="1"/>
        <v>15000</v>
      </c>
    </row>
    <row r="18" spans="1:21" x14ac:dyDescent="0.3">
      <c r="A18" s="9"/>
      <c r="B18" s="9"/>
      <c r="C18" s="136" t="s">
        <v>273</v>
      </c>
      <c r="D18" s="9"/>
      <c r="E18" s="9"/>
      <c r="G18" s="322">
        <f>G16/G$17</f>
        <v>0.66033333333333333</v>
      </c>
      <c r="H18" s="322">
        <f t="shared" ref="H18:R18" si="3">H16/H$17</f>
        <v>0.66033333333333333</v>
      </c>
      <c r="I18" s="322">
        <f t="shared" si="3"/>
        <v>0.66033333333333333</v>
      </c>
      <c r="J18" s="322">
        <f t="shared" si="3"/>
        <v>0.84033333333333338</v>
      </c>
      <c r="K18" s="322">
        <f t="shared" si="3"/>
        <v>0.85053333333333336</v>
      </c>
      <c r="L18" s="322">
        <f t="shared" si="3"/>
        <v>0.85053333333333336</v>
      </c>
      <c r="M18" s="322">
        <f t="shared" si="3"/>
        <v>0.85260000000000002</v>
      </c>
      <c r="N18" s="322">
        <f t="shared" si="3"/>
        <v>0.85053333333333336</v>
      </c>
      <c r="O18" s="322">
        <f t="shared" si="3"/>
        <v>0.85133333333333339</v>
      </c>
      <c r="P18" s="322">
        <f t="shared" si="3"/>
        <v>0.85133333333333339</v>
      </c>
      <c r="Q18" s="322">
        <f t="shared" si="3"/>
        <v>0.85053333333333336</v>
      </c>
      <c r="R18" s="322">
        <f t="shared" si="3"/>
        <v>0.85026666666666662</v>
      </c>
      <c r="S18" s="322"/>
      <c r="T18" s="322"/>
      <c r="U18" s="332">
        <f t="shared" si="1"/>
        <v>0.80241666666666667</v>
      </c>
    </row>
    <row r="19" spans="1:21" x14ac:dyDescent="0.3">
      <c r="A19" s="9"/>
      <c r="B19" s="9"/>
      <c r="C19" s="136"/>
      <c r="D19" s="9"/>
      <c r="E19" s="9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9"/>
    </row>
    <row r="20" spans="1:21" x14ac:dyDescent="0.3">
      <c r="A20" s="9"/>
      <c r="B20" s="9"/>
      <c r="C20" s="135" t="s">
        <v>287</v>
      </c>
      <c r="D20" s="9"/>
      <c r="E20" s="9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9"/>
    </row>
    <row r="21" spans="1:21" x14ac:dyDescent="0.3">
      <c r="A21" s="9"/>
      <c r="B21" s="9"/>
      <c r="C21" s="136" t="s">
        <v>282</v>
      </c>
      <c r="D21" s="9"/>
      <c r="E21" s="9"/>
      <c r="G21" s="321">
        <f>'IS 2027'!F19</f>
        <v>4357</v>
      </c>
      <c r="H21" s="321">
        <f>'IS 2027'!G19</f>
        <v>4357</v>
      </c>
      <c r="I21" s="321">
        <f>'IS 2027'!H19</f>
        <v>6489</v>
      </c>
      <c r="J21" s="321">
        <f>'IS 2027'!I19</f>
        <v>6653</v>
      </c>
      <c r="K21" s="321">
        <f>'IS 2027'!J19</f>
        <v>6802</v>
      </c>
      <c r="L21" s="321">
        <f>'IS 2027'!K19</f>
        <v>7130</v>
      </c>
      <c r="M21" s="321">
        <f>'IS 2027'!L19</f>
        <v>8322</v>
      </c>
      <c r="N21" s="321">
        <f>'IS 2027'!M19</f>
        <v>8322</v>
      </c>
      <c r="O21" s="321">
        <f>'IS 2027'!N19</f>
        <v>8322</v>
      </c>
      <c r="P21" s="321">
        <f>'IS 2027'!O19</f>
        <v>6311</v>
      </c>
      <c r="Q21" s="321">
        <f>'IS 2027'!P19</f>
        <v>6271</v>
      </c>
      <c r="R21" s="321">
        <f>'IS 2027'!Q19</f>
        <v>6100</v>
      </c>
      <c r="S21" s="321"/>
      <c r="T21" s="321"/>
      <c r="U21" s="321">
        <f t="shared" ref="U21:U26" si="4">AVERAGE(G21:T21)</f>
        <v>6619.666666666667</v>
      </c>
    </row>
    <row r="22" spans="1:21" x14ac:dyDescent="0.3">
      <c r="A22" s="9"/>
      <c r="B22" s="9"/>
      <c r="C22" s="136" t="s">
        <v>283</v>
      </c>
      <c r="D22" s="9"/>
      <c r="E22" s="9"/>
      <c r="G22" s="321">
        <f>'IS 2027'!F20</f>
        <v>2357</v>
      </c>
      <c r="H22" s="321">
        <f>'IS 2027'!G20</f>
        <v>2357</v>
      </c>
      <c r="I22" s="321">
        <f>'IS 2027'!H20</f>
        <v>6489</v>
      </c>
      <c r="J22" s="321">
        <f>'IS 2027'!I20</f>
        <v>6653</v>
      </c>
      <c r="K22" s="321">
        <f>'IS 2027'!J20</f>
        <v>6802</v>
      </c>
      <c r="L22" s="321">
        <f>'IS 2027'!K20</f>
        <v>7130</v>
      </c>
      <c r="M22" s="321">
        <f>'IS 2027'!L20</f>
        <v>8322</v>
      </c>
      <c r="N22" s="321">
        <f>'IS 2027'!M20</f>
        <v>8322</v>
      </c>
      <c r="O22" s="321">
        <f>'IS 2027'!N20</f>
        <v>8322</v>
      </c>
      <c r="P22" s="321">
        <f>'IS 2027'!O20</f>
        <v>6411</v>
      </c>
      <c r="Q22" s="321">
        <f>'IS 2027'!P20</f>
        <v>6334</v>
      </c>
      <c r="R22" s="321">
        <f>'IS 2027'!Q20</f>
        <v>6232</v>
      </c>
      <c r="S22" s="321"/>
      <c r="T22" s="321"/>
      <c r="U22" s="321">
        <f t="shared" si="4"/>
        <v>6310.916666666667</v>
      </c>
    </row>
    <row r="23" spans="1:21" x14ac:dyDescent="0.3">
      <c r="A23" s="9"/>
      <c r="B23" s="9"/>
      <c r="C23" s="136" t="s">
        <v>284</v>
      </c>
      <c r="D23" s="9"/>
      <c r="E23" s="9"/>
      <c r="G23" s="321">
        <f>'IS 2027'!F21</f>
        <v>4357</v>
      </c>
      <c r="H23" s="321">
        <f>'IS 2027'!G21</f>
        <v>4357</v>
      </c>
      <c r="I23" s="321">
        <f>'IS 2027'!H21</f>
        <v>6489</v>
      </c>
      <c r="J23" s="321">
        <f>'IS 2027'!I21</f>
        <v>6653</v>
      </c>
      <c r="K23" s="321">
        <f>'IS 2027'!J21</f>
        <v>6802</v>
      </c>
      <c r="L23" s="321">
        <f>'IS 2027'!K21</f>
        <v>7130</v>
      </c>
      <c r="M23" s="321">
        <f>'IS 2027'!L21</f>
        <v>8322</v>
      </c>
      <c r="N23" s="321">
        <f>'IS 2027'!M21</f>
        <v>8322</v>
      </c>
      <c r="O23" s="321">
        <f>'IS 2027'!N21</f>
        <v>7322</v>
      </c>
      <c r="P23" s="321">
        <f>'IS 2027'!O21</f>
        <v>6411</v>
      </c>
      <c r="Q23" s="321">
        <f>'IS 2027'!P21</f>
        <v>6443</v>
      </c>
      <c r="R23" s="321">
        <f>'IS 2027'!Q21</f>
        <v>6211</v>
      </c>
      <c r="S23" s="321"/>
      <c r="T23" s="321"/>
      <c r="U23" s="321">
        <f t="shared" si="4"/>
        <v>6568.25</v>
      </c>
    </row>
    <row r="24" spans="1:21" x14ac:dyDescent="0.3">
      <c r="A24" s="9"/>
      <c r="B24" s="9"/>
      <c r="C24" s="136" t="s">
        <v>274</v>
      </c>
      <c r="D24" s="9"/>
      <c r="E24" s="9"/>
      <c r="G24" s="321">
        <f t="shared" ref="G24:R24" si="5">SUM(G21:G23)</f>
        <v>11071</v>
      </c>
      <c r="H24" s="321">
        <f t="shared" si="5"/>
        <v>11071</v>
      </c>
      <c r="I24" s="321">
        <f t="shared" si="5"/>
        <v>19467</v>
      </c>
      <c r="J24" s="321">
        <f t="shared" si="5"/>
        <v>19959</v>
      </c>
      <c r="K24" s="321">
        <f t="shared" si="5"/>
        <v>20406</v>
      </c>
      <c r="L24" s="321">
        <f t="shared" si="5"/>
        <v>21390</v>
      </c>
      <c r="M24" s="321">
        <f t="shared" si="5"/>
        <v>24966</v>
      </c>
      <c r="N24" s="321">
        <f t="shared" si="5"/>
        <v>24966</v>
      </c>
      <c r="O24" s="321">
        <f t="shared" si="5"/>
        <v>23966</v>
      </c>
      <c r="P24" s="321">
        <f t="shared" si="5"/>
        <v>19133</v>
      </c>
      <c r="Q24" s="321">
        <f t="shared" si="5"/>
        <v>19048</v>
      </c>
      <c r="R24" s="321">
        <f t="shared" si="5"/>
        <v>18543</v>
      </c>
      <c r="S24" s="321"/>
      <c r="T24" s="321"/>
      <c r="U24" s="321">
        <f t="shared" si="4"/>
        <v>19498.833333333332</v>
      </c>
    </row>
    <row r="25" spans="1:21" x14ac:dyDescent="0.3">
      <c r="A25" s="9"/>
      <c r="B25" s="9"/>
      <c r="C25" s="404" t="s">
        <v>295</v>
      </c>
      <c r="D25" s="367"/>
      <c r="E25" s="367"/>
      <c r="F25" s="366"/>
      <c r="G25" s="333">
        <v>15000</v>
      </c>
      <c r="H25" s="333">
        <v>15000</v>
      </c>
      <c r="I25" s="333">
        <v>21000</v>
      </c>
      <c r="J25" s="333">
        <v>21000</v>
      </c>
      <c r="K25" s="333">
        <v>22000</v>
      </c>
      <c r="L25" s="333">
        <v>22000</v>
      </c>
      <c r="M25" s="333">
        <v>24000</v>
      </c>
      <c r="N25" s="333">
        <v>24000</v>
      </c>
      <c r="O25" s="333">
        <v>23000</v>
      </c>
      <c r="P25" s="333">
        <v>22000</v>
      </c>
      <c r="Q25" s="333">
        <v>21000</v>
      </c>
      <c r="R25" s="333">
        <v>21000</v>
      </c>
      <c r="S25" s="333"/>
      <c r="T25" s="333"/>
      <c r="U25" s="333">
        <f t="shared" si="4"/>
        <v>20916.666666666668</v>
      </c>
    </row>
    <row r="26" spans="1:21" x14ac:dyDescent="0.3">
      <c r="A26" s="9"/>
      <c r="B26" s="9"/>
      <c r="C26" s="136" t="s">
        <v>273</v>
      </c>
      <c r="D26" s="9"/>
      <c r="E26" s="9"/>
      <c r="G26" s="322">
        <f>G24/G$25</f>
        <v>0.73806666666666665</v>
      </c>
      <c r="H26" s="322">
        <f t="shared" ref="H26:R26" si="6">H24/H$25</f>
        <v>0.73806666666666665</v>
      </c>
      <c r="I26" s="322">
        <f t="shared" si="6"/>
        <v>0.92700000000000005</v>
      </c>
      <c r="J26" s="322">
        <f t="shared" si="6"/>
        <v>0.9504285714285714</v>
      </c>
      <c r="K26" s="322">
        <f t="shared" si="6"/>
        <v>0.92754545454545456</v>
      </c>
      <c r="L26" s="322">
        <f t="shared" si="6"/>
        <v>0.97227272727272729</v>
      </c>
      <c r="M26" s="322">
        <f t="shared" si="6"/>
        <v>1.0402499999999999</v>
      </c>
      <c r="N26" s="322">
        <f t="shared" si="6"/>
        <v>1.0402499999999999</v>
      </c>
      <c r="O26" s="322">
        <f t="shared" si="6"/>
        <v>1.042</v>
      </c>
      <c r="P26" s="322">
        <f t="shared" si="6"/>
        <v>0.86968181818181822</v>
      </c>
      <c r="Q26" s="322">
        <f t="shared" si="6"/>
        <v>0.9070476190476191</v>
      </c>
      <c r="R26" s="322">
        <f t="shared" si="6"/>
        <v>0.88300000000000001</v>
      </c>
      <c r="S26" s="322"/>
      <c r="T26" s="322"/>
      <c r="U26" s="322">
        <f t="shared" si="4"/>
        <v>0.91963412698412716</v>
      </c>
    </row>
    <row r="27" spans="1:21" x14ac:dyDescent="0.3">
      <c r="A27" s="9"/>
      <c r="B27" s="9"/>
      <c r="C27" s="136"/>
      <c r="D27" s="9"/>
      <c r="E27" s="9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</row>
    <row r="28" spans="1:21" x14ac:dyDescent="0.3">
      <c r="A28" s="9"/>
      <c r="B28" s="9"/>
      <c r="C28" s="135" t="s">
        <v>286</v>
      </c>
      <c r="D28" s="9"/>
      <c r="E28" s="9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9"/>
    </row>
    <row r="29" spans="1:21" x14ac:dyDescent="0.3">
      <c r="A29" s="9"/>
      <c r="B29" s="9"/>
      <c r="C29" s="136" t="s">
        <v>282</v>
      </c>
      <c r="D29" s="9"/>
      <c r="E29" s="9"/>
      <c r="G29" s="321">
        <f>'IS 2027'!F27</f>
        <v>4357</v>
      </c>
      <c r="H29" s="321">
        <f>'IS 2027'!G27</f>
        <v>4357</v>
      </c>
      <c r="I29" s="321">
        <f>'IS 2027'!H27</f>
        <v>6489</v>
      </c>
      <c r="J29" s="321">
        <f>'IS 2027'!I27</f>
        <v>6653</v>
      </c>
      <c r="K29" s="321">
        <f>'IS 2027'!J27</f>
        <v>6802</v>
      </c>
      <c r="L29" s="321">
        <f>'IS 2027'!K27</f>
        <v>7130</v>
      </c>
      <c r="M29" s="321">
        <f>'IS 2027'!L27</f>
        <v>8322</v>
      </c>
      <c r="N29" s="321">
        <f>'IS 2027'!M27</f>
        <v>8322</v>
      </c>
      <c r="O29" s="321">
        <f>'IS 2027'!N27</f>
        <v>8322</v>
      </c>
      <c r="P29" s="321">
        <f>'IS 2027'!O27</f>
        <v>7411</v>
      </c>
      <c r="Q29" s="321">
        <f>'IS 2027'!P27</f>
        <v>7411</v>
      </c>
      <c r="R29" s="321">
        <f>'IS 2027'!Q27</f>
        <v>7704</v>
      </c>
      <c r="S29" s="321"/>
      <c r="T29" s="321"/>
      <c r="U29" s="321">
        <f t="shared" ref="U29:U34" si="7">AVERAGE(G29:T29)</f>
        <v>6940</v>
      </c>
    </row>
    <row r="30" spans="1:21" x14ac:dyDescent="0.3">
      <c r="A30" s="9"/>
      <c r="B30" s="9"/>
      <c r="C30" s="136" t="s">
        <v>283</v>
      </c>
      <c r="D30" s="9"/>
      <c r="E30" s="9"/>
      <c r="G30" s="321">
        <f>'IS 2027'!F28</f>
        <v>2357</v>
      </c>
      <c r="H30" s="321">
        <f>'IS 2027'!G28</f>
        <v>2357</v>
      </c>
      <c r="I30" s="321">
        <f>'IS 2027'!H28</f>
        <v>6489</v>
      </c>
      <c r="J30" s="321">
        <f>'IS 2027'!I28</f>
        <v>6653</v>
      </c>
      <c r="K30" s="321">
        <f>'IS 2027'!J28</f>
        <v>6802</v>
      </c>
      <c r="L30" s="321">
        <f>'IS 2027'!K28</f>
        <v>7130</v>
      </c>
      <c r="M30" s="321">
        <f>'IS 2027'!L28</f>
        <v>8322</v>
      </c>
      <c r="N30" s="321">
        <f>'IS 2027'!M28</f>
        <v>8322</v>
      </c>
      <c r="O30" s="321">
        <f>'IS 2027'!N28</f>
        <v>8322</v>
      </c>
      <c r="P30" s="321">
        <f>'IS 2027'!O28</f>
        <v>7411</v>
      </c>
      <c r="Q30" s="321">
        <f>'IS 2027'!P28</f>
        <v>7411</v>
      </c>
      <c r="R30" s="321">
        <f>'IS 2027'!Q28</f>
        <v>7704</v>
      </c>
      <c r="S30" s="321"/>
      <c r="T30" s="321"/>
      <c r="U30" s="321">
        <f t="shared" si="7"/>
        <v>6606.666666666667</v>
      </c>
    </row>
    <row r="31" spans="1:21" x14ac:dyDescent="0.3">
      <c r="A31" s="9"/>
      <c r="B31" s="9"/>
      <c r="C31" s="136" t="s">
        <v>284</v>
      </c>
      <c r="D31" s="9"/>
      <c r="E31" s="9"/>
      <c r="G31" s="321">
        <f>'IS 2027'!F29</f>
        <v>3357</v>
      </c>
      <c r="H31" s="321">
        <f>'IS 2027'!G29</f>
        <v>3357</v>
      </c>
      <c r="I31" s="321">
        <f>'IS 2027'!H29</f>
        <v>6489</v>
      </c>
      <c r="J31" s="321">
        <f>'IS 2027'!I29</f>
        <v>6653</v>
      </c>
      <c r="K31" s="321">
        <f>'IS 2027'!J29</f>
        <v>6802</v>
      </c>
      <c r="L31" s="321">
        <f>'IS 2027'!K29</f>
        <v>7130</v>
      </c>
      <c r="M31" s="321">
        <f>'IS 2027'!L29</f>
        <v>8322</v>
      </c>
      <c r="N31" s="321">
        <f>'IS 2027'!M29</f>
        <v>8322</v>
      </c>
      <c r="O31" s="321">
        <f>'IS 2027'!N29</f>
        <v>8322</v>
      </c>
      <c r="P31" s="321">
        <f>'IS 2027'!O29</f>
        <v>7411</v>
      </c>
      <c r="Q31" s="321">
        <f>'IS 2027'!P29</f>
        <v>7411</v>
      </c>
      <c r="R31" s="321">
        <f>'IS 2027'!Q29</f>
        <v>7704</v>
      </c>
      <c r="S31" s="321"/>
      <c r="T31" s="321"/>
      <c r="U31" s="321">
        <f t="shared" si="7"/>
        <v>6773.333333333333</v>
      </c>
    </row>
    <row r="32" spans="1:21" x14ac:dyDescent="0.3">
      <c r="A32" s="9"/>
      <c r="B32" s="9"/>
      <c r="C32" s="136" t="s">
        <v>274</v>
      </c>
      <c r="D32" s="9"/>
      <c r="E32" s="9"/>
      <c r="G32" s="321">
        <f t="shared" ref="G32:Q32" si="8">SUM(G29:G31)</f>
        <v>10071</v>
      </c>
      <c r="H32" s="321">
        <f t="shared" si="8"/>
        <v>10071</v>
      </c>
      <c r="I32" s="321">
        <f t="shared" si="8"/>
        <v>19467</v>
      </c>
      <c r="J32" s="321">
        <f t="shared" si="8"/>
        <v>19959</v>
      </c>
      <c r="K32" s="321">
        <f t="shared" si="8"/>
        <v>20406</v>
      </c>
      <c r="L32" s="321">
        <f t="shared" si="8"/>
        <v>21390</v>
      </c>
      <c r="M32" s="321">
        <f t="shared" si="8"/>
        <v>24966</v>
      </c>
      <c r="N32" s="321">
        <f t="shared" si="8"/>
        <v>24966</v>
      </c>
      <c r="O32" s="321">
        <f t="shared" si="8"/>
        <v>24966</v>
      </c>
      <c r="P32" s="321">
        <f t="shared" si="8"/>
        <v>22233</v>
      </c>
      <c r="Q32" s="321">
        <f t="shared" si="8"/>
        <v>22233</v>
      </c>
      <c r="R32" s="321">
        <f>SUM(R29:R31)</f>
        <v>23112</v>
      </c>
      <c r="S32" s="321"/>
      <c r="T32" s="321"/>
      <c r="U32" s="321">
        <f t="shared" si="7"/>
        <v>20320</v>
      </c>
    </row>
    <row r="33" spans="1:22" x14ac:dyDescent="0.3">
      <c r="A33" s="9"/>
      <c r="B33" s="9"/>
      <c r="C33" s="404" t="s">
        <v>295</v>
      </c>
      <c r="D33" s="367"/>
      <c r="E33" s="367"/>
      <c r="F33" s="366"/>
      <c r="G33" s="333">
        <v>15000</v>
      </c>
      <c r="H33" s="333">
        <v>15000</v>
      </c>
      <c r="I33" s="333">
        <v>25000</v>
      </c>
      <c r="J33" s="333">
        <v>25000</v>
      </c>
      <c r="K33" s="333">
        <v>25000</v>
      </c>
      <c r="L33" s="333">
        <v>25000</v>
      </c>
      <c r="M33" s="333">
        <v>25000</v>
      </c>
      <c r="N33" s="333">
        <v>25000</v>
      </c>
      <c r="O33" s="333">
        <v>25000</v>
      </c>
      <c r="P33" s="333">
        <v>25000</v>
      </c>
      <c r="Q33" s="333">
        <v>25000</v>
      </c>
      <c r="R33" s="333">
        <v>25000</v>
      </c>
      <c r="S33" s="333"/>
      <c r="T33" s="333"/>
      <c r="U33" s="333">
        <f t="shared" si="7"/>
        <v>23333.333333333332</v>
      </c>
    </row>
    <row r="34" spans="1:22" x14ac:dyDescent="0.3">
      <c r="A34" s="9"/>
      <c r="B34" s="9"/>
      <c r="C34" s="136" t="s">
        <v>273</v>
      </c>
      <c r="D34" s="9"/>
      <c r="E34" s="9"/>
      <c r="G34" s="322">
        <f>G32/G$33</f>
        <v>0.6714</v>
      </c>
      <c r="H34" s="322">
        <f t="shared" ref="H34:R34" si="9">H32/H$33</f>
        <v>0.6714</v>
      </c>
      <c r="I34" s="322">
        <f t="shared" si="9"/>
        <v>0.77868000000000004</v>
      </c>
      <c r="J34" s="322">
        <f t="shared" si="9"/>
        <v>0.79835999999999996</v>
      </c>
      <c r="K34" s="322">
        <f t="shared" si="9"/>
        <v>0.81623999999999997</v>
      </c>
      <c r="L34" s="322">
        <f t="shared" si="9"/>
        <v>0.85560000000000003</v>
      </c>
      <c r="M34" s="322">
        <f t="shared" si="9"/>
        <v>0.99863999999999997</v>
      </c>
      <c r="N34" s="322">
        <f t="shared" si="9"/>
        <v>0.99863999999999997</v>
      </c>
      <c r="O34" s="322">
        <f t="shared" si="9"/>
        <v>0.99863999999999997</v>
      </c>
      <c r="P34" s="322">
        <f t="shared" si="9"/>
        <v>0.88932</v>
      </c>
      <c r="Q34" s="322">
        <f t="shared" si="9"/>
        <v>0.88932</v>
      </c>
      <c r="R34" s="322">
        <f t="shared" si="9"/>
        <v>0.92447999999999997</v>
      </c>
      <c r="S34" s="322"/>
      <c r="T34" s="322"/>
      <c r="U34" s="322">
        <f t="shared" si="7"/>
        <v>0.85755999999999999</v>
      </c>
    </row>
    <row r="35" spans="1:22" x14ac:dyDescent="0.3">
      <c r="A35" s="9"/>
      <c r="B35" s="9"/>
      <c r="C35" s="136"/>
      <c r="D35" s="9"/>
      <c r="E35" s="9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</row>
    <row r="36" spans="1:22" x14ac:dyDescent="0.3">
      <c r="B36" s="341" t="s">
        <v>38</v>
      </c>
      <c r="C36" s="340"/>
      <c r="G36" s="369">
        <v>-250</v>
      </c>
      <c r="H36" s="369">
        <v>-250</v>
      </c>
      <c r="I36" s="369">
        <v>-250</v>
      </c>
      <c r="J36" s="369">
        <v>-250</v>
      </c>
      <c r="K36" s="369">
        <v>-250</v>
      </c>
      <c r="L36" s="369">
        <v>-250</v>
      </c>
      <c r="M36" s="369">
        <v>-250</v>
      </c>
      <c r="N36" s="369">
        <v>-250</v>
      </c>
      <c r="O36" s="369">
        <v>-250</v>
      </c>
      <c r="P36" s="369">
        <v>-250</v>
      </c>
      <c r="Q36" s="369">
        <v>-250</v>
      </c>
      <c r="R36" s="369">
        <v>-250</v>
      </c>
      <c r="S36" s="1"/>
      <c r="T36" s="1"/>
      <c r="U36" s="1"/>
      <c r="V36" s="373">
        <f>SUM(G36:R36)</f>
        <v>-3000</v>
      </c>
    </row>
    <row r="37" spans="1:22" x14ac:dyDescent="0.3">
      <c r="B37" s="341" t="s">
        <v>146</v>
      </c>
      <c r="C37" s="340"/>
      <c r="G37" s="351">
        <f>'IS 2025'!F79</f>
        <v>-3870</v>
      </c>
      <c r="H37" s="351">
        <f>'IS 2025'!G79</f>
        <v>-3705</v>
      </c>
      <c r="I37" s="351">
        <f>'IS 2025'!H79</f>
        <v>-3540</v>
      </c>
      <c r="J37" s="351">
        <f>'IS 2025'!I79</f>
        <v>-3375</v>
      </c>
      <c r="K37" s="351">
        <f>'IS 2025'!J79</f>
        <v>-3210</v>
      </c>
      <c r="L37" s="351">
        <f>'IS 2025'!K79</f>
        <v>-3045</v>
      </c>
      <c r="M37" s="351">
        <f>'IS 2025'!L79</f>
        <v>-2880</v>
      </c>
      <c r="N37" s="351">
        <f>'IS 2025'!M79</f>
        <v>-2715</v>
      </c>
      <c r="O37" s="351">
        <f>'IS 2025'!N79</f>
        <v>-2550</v>
      </c>
      <c r="P37" s="351">
        <f>'IS 2025'!O79</f>
        <v>-2385</v>
      </c>
      <c r="Q37" s="351">
        <f>'IS 2025'!P79</f>
        <v>-2220</v>
      </c>
      <c r="R37" s="351">
        <f>'IS 2025'!Q79</f>
        <v>-2055</v>
      </c>
      <c r="S37" s="1"/>
      <c r="T37" s="1"/>
      <c r="U37" s="1"/>
    </row>
    <row r="38" spans="1:22" x14ac:dyDescent="0.3">
      <c r="B38" s="341" t="s">
        <v>147</v>
      </c>
      <c r="C38" s="340"/>
      <c r="G38" s="351">
        <f>'IS 2027'!F81</f>
        <v>-2789.4</v>
      </c>
      <c r="H38" s="351">
        <f>'IS 2027'!G81</f>
        <v>-2789.4</v>
      </c>
      <c r="I38" s="351">
        <f>'IS 2027'!H81</f>
        <v>-6347.8</v>
      </c>
      <c r="J38" s="351">
        <f>'IS 2027'!I81</f>
        <v>-7084.6</v>
      </c>
      <c r="K38" s="351">
        <f>'IS 2027'!J81</f>
        <v>-7294</v>
      </c>
      <c r="L38" s="351">
        <f>'IS 2027'!K81</f>
        <v>-7687.6</v>
      </c>
      <c r="M38" s="351">
        <f>'IS 2027'!L81</f>
        <v>-9124.2000000000007</v>
      </c>
      <c r="N38" s="351">
        <f>'IS 2027'!M81</f>
        <v>-9109.2000000000007</v>
      </c>
      <c r="O38" s="351">
        <f>'IS 2027'!N81</f>
        <v>-8911.6</v>
      </c>
      <c r="P38" s="351">
        <f>'IS 2027'!O81</f>
        <v>-7398.4000000000005</v>
      </c>
      <c r="Q38" s="351">
        <f>'IS 2027'!P81</f>
        <v>-7379</v>
      </c>
      <c r="R38" s="351">
        <f>'IS 2027'!Q81</f>
        <v>-7453</v>
      </c>
      <c r="S38" s="1"/>
      <c r="T38" s="1"/>
      <c r="U38" s="1"/>
    </row>
    <row r="39" spans="1:22" x14ac:dyDescent="0.3">
      <c r="B39" s="341"/>
      <c r="C39" s="340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1"/>
      <c r="T39" s="1"/>
      <c r="U39" s="1"/>
    </row>
    <row r="40" spans="1:22" x14ac:dyDescent="0.3">
      <c r="A40" s="147"/>
      <c r="B40" s="176" t="s">
        <v>148</v>
      </c>
      <c r="C40" s="147"/>
      <c r="D40" s="147"/>
      <c r="E40" s="147"/>
      <c r="F40" s="147"/>
      <c r="G40" s="201">
        <f t="shared" ref="G40:R40" si="10">G11</f>
        <v>31047</v>
      </c>
      <c r="H40" s="201">
        <f t="shared" si="10"/>
        <v>31047</v>
      </c>
      <c r="I40" s="201">
        <f t="shared" si="10"/>
        <v>48839</v>
      </c>
      <c r="J40" s="201">
        <f t="shared" si="10"/>
        <v>52523</v>
      </c>
      <c r="K40" s="201">
        <f t="shared" si="10"/>
        <v>53570</v>
      </c>
      <c r="L40" s="201">
        <f t="shared" si="10"/>
        <v>55538</v>
      </c>
      <c r="M40" s="201">
        <f t="shared" si="10"/>
        <v>62721</v>
      </c>
      <c r="N40" s="201">
        <f t="shared" si="10"/>
        <v>62690</v>
      </c>
      <c r="O40" s="201">
        <f t="shared" si="10"/>
        <v>61702</v>
      </c>
      <c r="P40" s="201">
        <f t="shared" si="10"/>
        <v>54136</v>
      </c>
      <c r="Q40" s="201">
        <f t="shared" si="10"/>
        <v>54039</v>
      </c>
      <c r="R40" s="201">
        <f t="shared" si="10"/>
        <v>54409</v>
      </c>
      <c r="S40" s="154"/>
      <c r="T40" s="154"/>
      <c r="U40" s="154"/>
      <c r="V40" s="154">
        <f>SUM(G40:R40)</f>
        <v>622261</v>
      </c>
    </row>
    <row r="41" spans="1:22" x14ac:dyDescent="0.3">
      <c r="A41" s="148"/>
      <c r="B41" s="193" t="s">
        <v>149</v>
      </c>
      <c r="C41" s="148"/>
      <c r="D41" s="148"/>
      <c r="E41" s="148"/>
      <c r="F41" s="148"/>
      <c r="G41" s="203">
        <f>SUM(G36:G38)</f>
        <v>-6909.4</v>
      </c>
      <c r="H41" s="203">
        <f t="shared" ref="H41:R41" si="11">SUM(H36:H38)</f>
        <v>-6744.4</v>
      </c>
      <c r="I41" s="203">
        <f t="shared" si="11"/>
        <v>-10137.799999999999</v>
      </c>
      <c r="J41" s="203">
        <f t="shared" si="11"/>
        <v>-10709.6</v>
      </c>
      <c r="K41" s="203">
        <f t="shared" si="11"/>
        <v>-10754</v>
      </c>
      <c r="L41" s="203">
        <f t="shared" si="11"/>
        <v>-10982.6</v>
      </c>
      <c r="M41" s="203">
        <f t="shared" si="11"/>
        <v>-12254.2</v>
      </c>
      <c r="N41" s="203">
        <f t="shared" si="11"/>
        <v>-12074.2</v>
      </c>
      <c r="O41" s="203">
        <f t="shared" si="11"/>
        <v>-11711.6</v>
      </c>
      <c r="P41" s="203">
        <f t="shared" si="11"/>
        <v>-10033.400000000001</v>
      </c>
      <c r="Q41" s="203">
        <f t="shared" si="11"/>
        <v>-9849</v>
      </c>
      <c r="R41" s="203">
        <f t="shared" si="11"/>
        <v>-9758</v>
      </c>
      <c r="S41" s="149"/>
      <c r="T41" s="149"/>
      <c r="U41" s="149"/>
      <c r="V41" s="149">
        <f>SUM(G41:R41)</f>
        <v>-121918.20000000001</v>
      </c>
    </row>
    <row r="42" spans="1:22" s="9" customFormat="1" x14ac:dyDescent="0.3">
      <c r="A42" s="344"/>
      <c r="B42" s="347"/>
      <c r="C42" s="344"/>
      <c r="D42" s="344"/>
      <c r="E42" s="344"/>
      <c r="F42" s="344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37"/>
      <c r="T42" s="337"/>
      <c r="U42" s="337"/>
      <c r="V42" s="337"/>
    </row>
    <row r="43" spans="1:22" x14ac:dyDescent="0.3">
      <c r="B43" s="357" t="s">
        <v>150</v>
      </c>
      <c r="C43" s="357"/>
      <c r="D43" s="357"/>
      <c r="E43" s="357"/>
      <c r="F43" s="9"/>
      <c r="G43" s="321">
        <f>SUM(G40:G41)</f>
        <v>24137.599999999999</v>
      </c>
      <c r="H43" s="321">
        <f t="shared" ref="H43:R43" si="12">SUM(H40:H41)</f>
        <v>24302.6</v>
      </c>
      <c r="I43" s="321">
        <f t="shared" si="12"/>
        <v>38701.199999999997</v>
      </c>
      <c r="J43" s="321">
        <f t="shared" si="12"/>
        <v>41813.4</v>
      </c>
      <c r="K43" s="321">
        <f t="shared" si="12"/>
        <v>42816</v>
      </c>
      <c r="L43" s="321">
        <f t="shared" si="12"/>
        <v>44555.4</v>
      </c>
      <c r="M43" s="321">
        <f t="shared" si="12"/>
        <v>50466.8</v>
      </c>
      <c r="N43" s="321">
        <f t="shared" si="12"/>
        <v>50615.8</v>
      </c>
      <c r="O43" s="321">
        <f t="shared" si="12"/>
        <v>49990.400000000001</v>
      </c>
      <c r="P43" s="321">
        <f t="shared" si="12"/>
        <v>44102.6</v>
      </c>
      <c r="Q43" s="321">
        <f t="shared" si="12"/>
        <v>44190</v>
      </c>
      <c r="R43" s="321">
        <f t="shared" si="12"/>
        <v>44651</v>
      </c>
      <c r="S43" s="129"/>
      <c r="T43" s="129"/>
      <c r="U43" s="129"/>
      <c r="V43" s="150">
        <f>SUM(G43:R43)</f>
        <v>500342.8</v>
      </c>
    </row>
    <row r="44" spans="1:22" x14ac:dyDescent="0.3">
      <c r="B44" s="357" t="s">
        <v>194</v>
      </c>
      <c r="C44" s="357"/>
      <c r="D44" s="357"/>
      <c r="E44" s="357"/>
      <c r="F44" s="9"/>
      <c r="G44" s="321">
        <f>'IS 2025'!F77+G43</f>
        <v>22287.599999999999</v>
      </c>
      <c r="H44" s="321">
        <f>'IS 2024'!G70+H43</f>
        <v>22852.6</v>
      </c>
      <c r="I44" s="321">
        <f>'IS 2024'!H70+I43</f>
        <v>37251.199999999997</v>
      </c>
      <c r="J44" s="321">
        <f>'IS 2024'!I70+J43</f>
        <v>40363.4</v>
      </c>
      <c r="K44" s="321">
        <f>'IS 2024'!J70+K43</f>
        <v>41366</v>
      </c>
      <c r="L44" s="321">
        <f>'IS 2024'!K70+L43</f>
        <v>43105.4</v>
      </c>
      <c r="M44" s="321">
        <f>'IS 2024'!L70+M43</f>
        <v>49016.800000000003</v>
      </c>
      <c r="N44" s="321">
        <f>'IS 2024'!M70+N43</f>
        <v>49165.8</v>
      </c>
      <c r="O44" s="321">
        <f>'IS 2024'!N70+O43</f>
        <v>48540.4</v>
      </c>
      <c r="P44" s="321">
        <f>'IS 2024'!O70+P43</f>
        <v>42652.6</v>
      </c>
      <c r="Q44" s="321">
        <f>'IS 2024'!P70+Q43</f>
        <v>42740</v>
      </c>
      <c r="R44" s="321">
        <f>'IS 2024'!Q70+R43</f>
        <v>42801</v>
      </c>
      <c r="S44" s="129"/>
      <c r="T44" s="129"/>
      <c r="U44" s="129"/>
      <c r="V44" s="129"/>
    </row>
    <row r="45" spans="1:22" x14ac:dyDescent="0.3">
      <c r="B45" s="358" t="s">
        <v>151</v>
      </c>
      <c r="C45" s="357"/>
      <c r="D45" s="357"/>
      <c r="E45" s="357"/>
      <c r="F45" s="9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9"/>
      <c r="T45" s="9"/>
      <c r="U45" s="9"/>
    </row>
    <row r="46" spans="1:22" x14ac:dyDescent="0.3">
      <c r="B46" s="359" t="s">
        <v>152</v>
      </c>
      <c r="C46" s="357"/>
      <c r="D46" s="357"/>
      <c r="E46" s="357"/>
      <c r="F46" s="9"/>
      <c r="G46" s="321"/>
      <c r="H46" s="334"/>
      <c r="I46" s="334"/>
      <c r="J46" s="334"/>
      <c r="K46" s="334"/>
      <c r="L46" s="334"/>
      <c r="M46" s="334"/>
      <c r="N46" s="334"/>
      <c r="O46" s="334"/>
      <c r="P46" s="334"/>
      <c r="Q46" s="334"/>
      <c r="R46" s="334"/>
      <c r="S46" s="129"/>
      <c r="T46" s="9"/>
      <c r="U46" s="9"/>
    </row>
    <row r="47" spans="1:22" x14ac:dyDescent="0.3">
      <c r="B47" s="360" t="s">
        <v>116</v>
      </c>
      <c r="C47" s="357"/>
      <c r="D47" s="357"/>
      <c r="E47" s="357"/>
      <c r="F47" s="9"/>
      <c r="G47" s="321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131"/>
      <c r="T47" s="9"/>
      <c r="U47" s="9"/>
    </row>
    <row r="48" spans="1:22" x14ac:dyDescent="0.3">
      <c r="B48" s="359" t="s">
        <v>153</v>
      </c>
      <c r="C48" s="357"/>
      <c r="D48" s="357"/>
      <c r="E48" s="357"/>
      <c r="F48" s="9"/>
      <c r="G48" s="321">
        <f>SUM(G46:G47)</f>
        <v>0</v>
      </c>
      <c r="H48" s="321">
        <f t="shared" ref="H48:R48" si="13">SUM(H46:H47)</f>
        <v>0</v>
      </c>
      <c r="I48" s="321">
        <f t="shared" si="13"/>
        <v>0</v>
      </c>
      <c r="J48" s="321">
        <f t="shared" si="13"/>
        <v>0</v>
      </c>
      <c r="K48" s="321">
        <f t="shared" si="13"/>
        <v>0</v>
      </c>
      <c r="L48" s="321">
        <f t="shared" si="13"/>
        <v>0</v>
      </c>
      <c r="M48" s="321">
        <f t="shared" si="13"/>
        <v>0</v>
      </c>
      <c r="N48" s="321">
        <f t="shared" si="13"/>
        <v>0</v>
      </c>
      <c r="O48" s="321">
        <f t="shared" si="13"/>
        <v>0</v>
      </c>
      <c r="P48" s="321">
        <f t="shared" si="13"/>
        <v>0</v>
      </c>
      <c r="Q48" s="321">
        <f t="shared" si="13"/>
        <v>0</v>
      </c>
      <c r="R48" s="321">
        <f t="shared" si="13"/>
        <v>0</v>
      </c>
      <c r="S48" s="129"/>
      <c r="T48" s="129"/>
      <c r="U48" s="129"/>
    </row>
    <row r="49" spans="2:22" x14ac:dyDescent="0.3">
      <c r="B49" s="362" t="s">
        <v>154</v>
      </c>
      <c r="C49" s="357"/>
      <c r="D49" s="357"/>
      <c r="E49" s="357"/>
      <c r="F49" s="9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  <c r="R49" s="334"/>
      <c r="S49" s="9"/>
      <c r="T49" s="9"/>
      <c r="U49" s="9"/>
    </row>
    <row r="50" spans="2:22" x14ac:dyDescent="0.3">
      <c r="B50" s="341" t="s">
        <v>155</v>
      </c>
      <c r="C50" s="340"/>
      <c r="D50" s="340"/>
      <c r="E50" s="340"/>
      <c r="G50" s="351"/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364"/>
    </row>
    <row r="51" spans="2:22" x14ac:dyDescent="0.3">
      <c r="B51" s="363" t="s">
        <v>116</v>
      </c>
      <c r="C51" s="340"/>
      <c r="D51" s="340"/>
      <c r="E51" s="340"/>
      <c r="G51" s="351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</row>
    <row r="52" spans="2:22" x14ac:dyDescent="0.3">
      <c r="B52" s="363" t="s">
        <v>117</v>
      </c>
      <c r="C52" s="340"/>
      <c r="D52" s="340"/>
      <c r="E52" s="340"/>
      <c r="G52" s="351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</row>
    <row r="53" spans="2:22" x14ac:dyDescent="0.3">
      <c r="B53" s="363" t="s">
        <v>118</v>
      </c>
      <c r="C53" s="340"/>
      <c r="D53" s="340"/>
      <c r="E53" s="340"/>
      <c r="G53" s="351"/>
      <c r="H53" s="364"/>
      <c r="I53" s="364"/>
      <c r="J53" s="364"/>
      <c r="K53" s="364"/>
      <c r="L53" s="364"/>
      <c r="M53" s="364"/>
      <c r="N53" s="364"/>
      <c r="O53" s="364"/>
      <c r="P53" s="364"/>
      <c r="Q53" s="364"/>
      <c r="R53" s="364"/>
    </row>
    <row r="54" spans="2:22" x14ac:dyDescent="0.3">
      <c r="B54" s="341" t="s">
        <v>156</v>
      </c>
      <c r="C54" s="340"/>
      <c r="D54" s="340"/>
      <c r="E54" s="340"/>
      <c r="G54" s="351">
        <v>0</v>
      </c>
      <c r="H54" s="351">
        <v>0</v>
      </c>
      <c r="I54" s="351">
        <v>0</v>
      </c>
      <c r="J54" s="351">
        <v>0</v>
      </c>
      <c r="K54" s="351">
        <v>0</v>
      </c>
      <c r="L54" s="351">
        <v>0</v>
      </c>
      <c r="M54" s="351">
        <v>0</v>
      </c>
      <c r="N54" s="351">
        <v>0</v>
      </c>
      <c r="O54" s="351">
        <v>0</v>
      </c>
      <c r="P54" s="351">
        <v>0</v>
      </c>
      <c r="Q54" s="351">
        <v>0</v>
      </c>
      <c r="R54" s="351">
        <v>0</v>
      </c>
      <c r="S54" s="1">
        <v>0</v>
      </c>
      <c r="T54" s="1">
        <v>0</v>
      </c>
      <c r="U54" s="1"/>
      <c r="V54" s="1">
        <f>SUM(G50:R54)</f>
        <v>0</v>
      </c>
    </row>
    <row r="55" spans="2:22" x14ac:dyDescent="0.3">
      <c r="B55" s="363" t="s">
        <v>116</v>
      </c>
      <c r="C55" s="340"/>
      <c r="D55" s="340"/>
      <c r="E55" s="340"/>
      <c r="G55" s="364"/>
      <c r="H55" s="351"/>
      <c r="I55" s="351"/>
      <c r="J55" s="351"/>
      <c r="K55" s="351"/>
      <c r="L55" s="351"/>
      <c r="M55" s="351"/>
      <c r="N55" s="351"/>
      <c r="O55" s="351"/>
      <c r="P55" s="351"/>
      <c r="Q55" s="351"/>
      <c r="R55" s="351"/>
      <c r="S55" s="1"/>
      <c r="T55" s="1"/>
      <c r="U55" s="1"/>
    </row>
    <row r="56" spans="2:22" x14ac:dyDescent="0.3">
      <c r="B56" s="341" t="s">
        <v>157</v>
      </c>
      <c r="C56" s="340"/>
      <c r="D56" s="340"/>
      <c r="E56" s="340"/>
      <c r="G56" s="351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4"/>
    </row>
    <row r="57" spans="2:22" x14ac:dyDescent="0.3">
      <c r="B57" s="363" t="s">
        <v>116</v>
      </c>
      <c r="C57" s="340"/>
      <c r="D57" s="340"/>
      <c r="E57" s="340"/>
      <c r="G57" s="351"/>
      <c r="H57" s="364"/>
      <c r="I57" s="364"/>
      <c r="J57" s="364"/>
      <c r="K57" s="364"/>
      <c r="L57" s="364"/>
      <c r="M57" s="364"/>
      <c r="N57" s="364"/>
      <c r="O57" s="364"/>
      <c r="P57" s="364"/>
      <c r="Q57" s="364"/>
      <c r="R57" s="364"/>
    </row>
    <row r="58" spans="2:22" x14ac:dyDescent="0.3">
      <c r="B58" s="341" t="s">
        <v>158</v>
      </c>
      <c r="C58" s="340"/>
      <c r="D58" s="340"/>
      <c r="E58" s="340"/>
      <c r="G58" s="364"/>
      <c r="H58" s="364"/>
      <c r="I58" s="364"/>
      <c r="J58" s="364"/>
      <c r="K58" s="364"/>
      <c r="L58" s="364"/>
      <c r="M58" s="364"/>
      <c r="N58" s="364"/>
      <c r="O58" s="364"/>
      <c r="P58" s="364"/>
      <c r="Q58" s="364"/>
      <c r="R58" s="364"/>
    </row>
    <row r="59" spans="2:22" x14ac:dyDescent="0.3">
      <c r="B59" s="363" t="s">
        <v>116</v>
      </c>
      <c r="C59" s="340"/>
      <c r="D59" s="340"/>
      <c r="E59" s="340"/>
      <c r="G59" s="364"/>
      <c r="H59" s="364"/>
      <c r="I59" s="364"/>
      <c r="J59" s="364"/>
      <c r="K59" s="364"/>
      <c r="L59" s="364"/>
      <c r="M59" s="364"/>
      <c r="N59" s="364"/>
      <c r="O59" s="364"/>
      <c r="P59" s="364"/>
      <c r="Q59" s="364"/>
      <c r="R59" s="364"/>
    </row>
    <row r="60" spans="2:22" x14ac:dyDescent="0.3">
      <c r="B60" s="341" t="s">
        <v>159</v>
      </c>
      <c r="C60" s="340"/>
      <c r="D60" s="340"/>
      <c r="E60" s="340"/>
      <c r="G60" s="364"/>
      <c r="H60" s="364"/>
      <c r="I60" s="364"/>
      <c r="J60" s="364"/>
      <c r="K60" s="364"/>
      <c r="L60" s="364"/>
      <c r="M60" s="364"/>
      <c r="N60" s="364"/>
      <c r="O60" s="364"/>
      <c r="P60" s="364"/>
      <c r="Q60" s="364"/>
      <c r="R60" s="364"/>
    </row>
    <row r="61" spans="2:22" x14ac:dyDescent="0.3">
      <c r="B61" s="363" t="s">
        <v>116</v>
      </c>
      <c r="C61" s="340"/>
      <c r="D61" s="340"/>
      <c r="E61" s="340"/>
      <c r="G61" s="364"/>
      <c r="H61" s="364"/>
      <c r="I61" s="364"/>
      <c r="J61" s="364"/>
      <c r="K61" s="364"/>
      <c r="L61" s="364"/>
      <c r="M61" s="364"/>
      <c r="N61" s="364"/>
      <c r="O61" s="364"/>
      <c r="P61" s="364"/>
      <c r="Q61" s="364"/>
      <c r="R61" s="364"/>
    </row>
    <row r="62" spans="2:22" x14ac:dyDescent="0.3">
      <c r="B62" s="341" t="s">
        <v>45</v>
      </c>
      <c r="C62" s="340"/>
      <c r="D62" s="340"/>
      <c r="E62" s="340"/>
      <c r="G62" s="364"/>
      <c r="H62" s="364"/>
      <c r="I62" s="364"/>
      <c r="J62" s="364"/>
      <c r="K62" s="364"/>
      <c r="L62" s="364"/>
      <c r="M62" s="364"/>
      <c r="N62" s="364"/>
      <c r="O62" s="364"/>
      <c r="P62" s="364"/>
      <c r="Q62" s="364"/>
      <c r="R62" s="364"/>
    </row>
    <row r="63" spans="2:22" x14ac:dyDescent="0.3">
      <c r="B63" s="341" t="s">
        <v>160</v>
      </c>
      <c r="C63" s="340"/>
      <c r="D63" s="340"/>
      <c r="E63" s="340"/>
      <c r="G63" s="351">
        <f>SUM(G50:G62)</f>
        <v>0</v>
      </c>
      <c r="H63" s="351">
        <f t="shared" ref="H63:R63" si="14">SUM(H50:H62)</f>
        <v>0</v>
      </c>
      <c r="I63" s="351">
        <f t="shared" si="14"/>
        <v>0</v>
      </c>
      <c r="J63" s="351">
        <f t="shared" si="14"/>
        <v>0</v>
      </c>
      <c r="K63" s="351">
        <f t="shared" si="14"/>
        <v>0</v>
      </c>
      <c r="L63" s="351">
        <f t="shared" si="14"/>
        <v>0</v>
      </c>
      <c r="M63" s="351">
        <f t="shared" si="14"/>
        <v>0</v>
      </c>
      <c r="N63" s="351">
        <f t="shared" si="14"/>
        <v>0</v>
      </c>
      <c r="O63" s="351">
        <f t="shared" si="14"/>
        <v>0</v>
      </c>
      <c r="P63" s="351">
        <f t="shared" si="14"/>
        <v>0</v>
      </c>
      <c r="Q63" s="351">
        <f t="shared" si="14"/>
        <v>0</v>
      </c>
      <c r="R63" s="351">
        <f t="shared" si="14"/>
        <v>0</v>
      </c>
      <c r="S63" s="1"/>
      <c r="T63" s="1"/>
      <c r="U63" s="1"/>
    </row>
    <row r="64" spans="2:22" x14ac:dyDescent="0.3">
      <c r="B64" s="359" t="s">
        <v>161</v>
      </c>
      <c r="C64" s="357"/>
      <c r="D64" s="357"/>
      <c r="E64" s="357"/>
      <c r="F64" s="9"/>
      <c r="G64" s="321">
        <f>G75</f>
        <v>24137.599999999999</v>
      </c>
      <c r="H64" s="321">
        <f>H43+H63</f>
        <v>24302.6</v>
      </c>
      <c r="I64" s="321">
        <f>I43+I63</f>
        <v>38701.199999999997</v>
      </c>
      <c r="J64" s="321">
        <f>J43+J63</f>
        <v>41813.4</v>
      </c>
      <c r="K64" s="321">
        <f t="shared" ref="K64:R64" si="15">K43+K63</f>
        <v>42816</v>
      </c>
      <c r="L64" s="321">
        <f t="shared" si="15"/>
        <v>44555.4</v>
      </c>
      <c r="M64" s="321">
        <f t="shared" si="15"/>
        <v>50466.8</v>
      </c>
      <c r="N64" s="321">
        <f t="shared" si="15"/>
        <v>50615.8</v>
      </c>
      <c r="O64" s="321">
        <f t="shared" si="15"/>
        <v>49990.400000000001</v>
      </c>
      <c r="P64" s="321">
        <f t="shared" si="15"/>
        <v>44102.6</v>
      </c>
      <c r="Q64" s="321">
        <f>Q43+Q63</f>
        <v>44190</v>
      </c>
      <c r="R64" s="321">
        <f t="shared" si="15"/>
        <v>44651</v>
      </c>
      <c r="S64" s="129"/>
      <c r="T64" s="129"/>
      <c r="U64" s="129"/>
      <c r="V64" s="150">
        <f>SUM(G64:R64)</f>
        <v>500342.8</v>
      </c>
    </row>
    <row r="65" spans="1:22" x14ac:dyDescent="0.3">
      <c r="B65" s="130"/>
      <c r="C65" s="9"/>
      <c r="D65" s="9"/>
      <c r="E65" s="9"/>
      <c r="F65" s="9"/>
      <c r="G65" s="321"/>
      <c r="H65" s="321"/>
      <c r="I65" s="321"/>
      <c r="J65" s="321"/>
      <c r="K65" s="321"/>
      <c r="L65" s="321"/>
      <c r="M65" s="321"/>
      <c r="N65" s="321"/>
      <c r="O65" s="321"/>
      <c r="P65" s="321"/>
      <c r="Q65" s="321"/>
      <c r="R65" s="321"/>
      <c r="S65" s="129"/>
      <c r="T65" s="129"/>
      <c r="U65" s="129"/>
      <c r="V65" s="129"/>
    </row>
    <row r="66" spans="1:22" x14ac:dyDescent="0.3">
      <c r="A66" s="147"/>
      <c r="B66" s="173" t="s">
        <v>162</v>
      </c>
      <c r="C66" s="147"/>
      <c r="D66" s="147"/>
      <c r="E66" s="147"/>
      <c r="F66" s="147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147"/>
      <c r="T66" s="147"/>
      <c r="U66" s="147"/>
      <c r="V66" s="147"/>
    </row>
    <row r="67" spans="1:22" s="9" customFormat="1" x14ac:dyDescent="0.3">
      <c r="A67" s="344"/>
      <c r="B67" s="345"/>
      <c r="C67" s="344"/>
      <c r="D67" s="344"/>
      <c r="E67" s="344"/>
      <c r="F67" s="344"/>
      <c r="G67" s="346"/>
      <c r="H67" s="346"/>
      <c r="I67" s="346"/>
      <c r="J67" s="346"/>
      <c r="K67" s="346"/>
      <c r="L67" s="346"/>
      <c r="M67" s="346"/>
      <c r="N67" s="346"/>
      <c r="O67" s="346"/>
      <c r="P67" s="346"/>
      <c r="Q67" s="346"/>
      <c r="R67" s="346"/>
      <c r="S67" s="344"/>
      <c r="T67" s="344"/>
      <c r="U67" s="344"/>
      <c r="V67" s="344"/>
    </row>
    <row r="68" spans="1:22" x14ac:dyDescent="0.3">
      <c r="B68" s="9" t="s">
        <v>153</v>
      </c>
      <c r="C68" s="9"/>
      <c r="D68" s="9"/>
      <c r="E68" s="9"/>
      <c r="F68" s="9"/>
      <c r="G68" s="321">
        <f>G48</f>
        <v>0</v>
      </c>
      <c r="H68" s="321">
        <f t="shared" ref="H68:R68" si="16">H48</f>
        <v>0</v>
      </c>
      <c r="I68" s="321">
        <f t="shared" si="16"/>
        <v>0</v>
      </c>
      <c r="J68" s="321">
        <f t="shared" si="16"/>
        <v>0</v>
      </c>
      <c r="K68" s="321">
        <f t="shared" si="16"/>
        <v>0</v>
      </c>
      <c r="L68" s="321">
        <f t="shared" si="16"/>
        <v>0</v>
      </c>
      <c r="M68" s="321">
        <f t="shared" si="16"/>
        <v>0</v>
      </c>
      <c r="N68" s="321">
        <f t="shared" si="16"/>
        <v>0</v>
      </c>
      <c r="O68" s="321">
        <f t="shared" si="16"/>
        <v>0</v>
      </c>
      <c r="P68" s="321">
        <f t="shared" si="16"/>
        <v>0</v>
      </c>
      <c r="Q68" s="321">
        <f t="shared" si="16"/>
        <v>0</v>
      </c>
      <c r="R68" s="321">
        <f t="shared" si="16"/>
        <v>0</v>
      </c>
      <c r="S68" s="129"/>
      <c r="T68" s="129"/>
      <c r="U68" s="129"/>
    </row>
    <row r="69" spans="1:22" x14ac:dyDescent="0.3">
      <c r="B69" s="9" t="s">
        <v>160</v>
      </c>
      <c r="C69" s="9"/>
      <c r="D69" s="9"/>
      <c r="E69" s="9"/>
      <c r="F69" s="9"/>
      <c r="G69" s="321">
        <f>G63</f>
        <v>0</v>
      </c>
      <c r="H69" s="321">
        <f t="shared" ref="H69:R69" si="17">H63</f>
        <v>0</v>
      </c>
      <c r="I69" s="321">
        <f t="shared" si="17"/>
        <v>0</v>
      </c>
      <c r="J69" s="321">
        <f t="shared" si="17"/>
        <v>0</v>
      </c>
      <c r="K69" s="321">
        <f t="shared" si="17"/>
        <v>0</v>
      </c>
      <c r="L69" s="321">
        <f t="shared" si="17"/>
        <v>0</v>
      </c>
      <c r="M69" s="321">
        <f t="shared" si="17"/>
        <v>0</v>
      </c>
      <c r="N69" s="321">
        <f t="shared" si="17"/>
        <v>0</v>
      </c>
      <c r="O69" s="321">
        <f t="shared" si="17"/>
        <v>0</v>
      </c>
      <c r="P69" s="321">
        <f t="shared" si="17"/>
        <v>0</v>
      </c>
      <c r="Q69" s="321">
        <f t="shared" si="17"/>
        <v>0</v>
      </c>
      <c r="R69" s="321">
        <f t="shared" si="17"/>
        <v>0</v>
      </c>
      <c r="S69" s="129"/>
      <c r="T69" s="129"/>
      <c r="U69" s="129"/>
    </row>
    <row r="70" spans="1:22" x14ac:dyDescent="0.3">
      <c r="B70" s="9" t="s">
        <v>37</v>
      </c>
      <c r="C70" s="9"/>
      <c r="D70" s="9"/>
      <c r="E70" s="9"/>
      <c r="F70" s="9"/>
      <c r="G70" s="321">
        <f t="shared" ref="G70:R70" si="18">G11</f>
        <v>31047</v>
      </c>
      <c r="H70" s="321">
        <f t="shared" si="18"/>
        <v>31047</v>
      </c>
      <c r="I70" s="321">
        <f t="shared" si="18"/>
        <v>48839</v>
      </c>
      <c r="J70" s="321">
        <f t="shared" si="18"/>
        <v>52523</v>
      </c>
      <c r="K70" s="321">
        <f t="shared" si="18"/>
        <v>53570</v>
      </c>
      <c r="L70" s="321">
        <f t="shared" si="18"/>
        <v>55538</v>
      </c>
      <c r="M70" s="321">
        <f t="shared" si="18"/>
        <v>62721</v>
      </c>
      <c r="N70" s="321">
        <f t="shared" si="18"/>
        <v>62690</v>
      </c>
      <c r="O70" s="321">
        <f t="shared" si="18"/>
        <v>61702</v>
      </c>
      <c r="P70" s="321">
        <f t="shared" si="18"/>
        <v>54136</v>
      </c>
      <c r="Q70" s="321">
        <f t="shared" si="18"/>
        <v>54039</v>
      </c>
      <c r="R70" s="321">
        <f t="shared" si="18"/>
        <v>54409</v>
      </c>
      <c r="S70" s="129"/>
      <c r="T70" s="129"/>
      <c r="U70" s="129"/>
    </row>
    <row r="71" spans="1:22" x14ac:dyDescent="0.3">
      <c r="B71" s="9" t="s">
        <v>38</v>
      </c>
      <c r="C71" s="9"/>
      <c r="D71" s="9"/>
      <c r="E71" s="9"/>
      <c r="F71" s="9"/>
      <c r="G71" s="372">
        <f>G36</f>
        <v>-250</v>
      </c>
      <c r="H71" s="372">
        <f t="shared" ref="H71:R71" si="19">H36</f>
        <v>-250</v>
      </c>
      <c r="I71" s="372">
        <f t="shared" si="19"/>
        <v>-250</v>
      </c>
      <c r="J71" s="372">
        <f t="shared" si="19"/>
        <v>-250</v>
      </c>
      <c r="K71" s="372">
        <f t="shared" si="19"/>
        <v>-250</v>
      </c>
      <c r="L71" s="372">
        <f t="shared" si="19"/>
        <v>-250</v>
      </c>
      <c r="M71" s="372">
        <f t="shared" si="19"/>
        <v>-250</v>
      </c>
      <c r="N71" s="372">
        <f t="shared" si="19"/>
        <v>-250</v>
      </c>
      <c r="O71" s="372">
        <f t="shared" si="19"/>
        <v>-250</v>
      </c>
      <c r="P71" s="372">
        <f t="shared" si="19"/>
        <v>-250</v>
      </c>
      <c r="Q71" s="372">
        <f t="shared" si="19"/>
        <v>-250</v>
      </c>
      <c r="R71" s="372">
        <f t="shared" si="19"/>
        <v>-250</v>
      </c>
      <c r="S71" s="129"/>
      <c r="T71" s="129"/>
      <c r="U71" s="129"/>
    </row>
    <row r="72" spans="1:22" x14ac:dyDescent="0.3">
      <c r="B72" s="9" t="s">
        <v>163</v>
      </c>
      <c r="C72" s="9"/>
      <c r="D72" s="9"/>
      <c r="E72" s="9"/>
      <c r="F72" s="9"/>
      <c r="G72" s="321">
        <f>SUM(G68:G71)</f>
        <v>30797</v>
      </c>
      <c r="H72" s="321">
        <f t="shared" ref="H72:R72" si="20">SUM(H68:H71)</f>
        <v>30797</v>
      </c>
      <c r="I72" s="321">
        <f t="shared" si="20"/>
        <v>48589</v>
      </c>
      <c r="J72" s="321">
        <f t="shared" si="20"/>
        <v>52273</v>
      </c>
      <c r="K72" s="321">
        <f t="shared" si="20"/>
        <v>53320</v>
      </c>
      <c r="L72" s="321">
        <f t="shared" si="20"/>
        <v>55288</v>
      </c>
      <c r="M72" s="321">
        <f t="shared" si="20"/>
        <v>62471</v>
      </c>
      <c r="N72" s="321">
        <f t="shared" si="20"/>
        <v>62440</v>
      </c>
      <c r="O72" s="321">
        <f t="shared" si="20"/>
        <v>61452</v>
      </c>
      <c r="P72" s="321">
        <f t="shared" si="20"/>
        <v>53886</v>
      </c>
      <c r="Q72" s="321">
        <f t="shared" si="20"/>
        <v>53789</v>
      </c>
      <c r="R72" s="321">
        <f t="shared" si="20"/>
        <v>54159</v>
      </c>
      <c r="S72" s="129"/>
      <c r="T72" s="129"/>
      <c r="U72" s="129"/>
    </row>
    <row r="73" spans="1:22" x14ac:dyDescent="0.3">
      <c r="B73" s="9" t="s">
        <v>146</v>
      </c>
      <c r="C73" s="9"/>
      <c r="D73" s="9"/>
      <c r="E73" s="9"/>
      <c r="F73" s="9"/>
      <c r="G73" s="321">
        <f>G37</f>
        <v>-3870</v>
      </c>
      <c r="H73" s="321">
        <f t="shared" ref="H73:R73" si="21">H37</f>
        <v>-3705</v>
      </c>
      <c r="I73" s="321">
        <f t="shared" si="21"/>
        <v>-3540</v>
      </c>
      <c r="J73" s="321">
        <f t="shared" si="21"/>
        <v>-3375</v>
      </c>
      <c r="K73" s="321">
        <f t="shared" si="21"/>
        <v>-3210</v>
      </c>
      <c r="L73" s="321">
        <f t="shared" si="21"/>
        <v>-3045</v>
      </c>
      <c r="M73" s="321">
        <f t="shared" si="21"/>
        <v>-2880</v>
      </c>
      <c r="N73" s="321">
        <f t="shared" si="21"/>
        <v>-2715</v>
      </c>
      <c r="O73" s="321">
        <f t="shared" si="21"/>
        <v>-2550</v>
      </c>
      <c r="P73" s="321">
        <f t="shared" si="21"/>
        <v>-2385</v>
      </c>
      <c r="Q73" s="321">
        <f t="shared" si="21"/>
        <v>-2220</v>
      </c>
      <c r="R73" s="321">
        <f t="shared" si="21"/>
        <v>-2055</v>
      </c>
      <c r="S73" s="129"/>
      <c r="T73" s="129"/>
      <c r="U73" s="129"/>
    </row>
    <row r="74" spans="1:22" x14ac:dyDescent="0.3">
      <c r="B74" s="367" t="s">
        <v>147</v>
      </c>
      <c r="C74" s="367"/>
      <c r="D74" s="367"/>
      <c r="E74" s="367"/>
      <c r="F74" s="367"/>
      <c r="G74" s="391">
        <f>'IS 2027'!F81</f>
        <v>-2789.4</v>
      </c>
      <c r="H74" s="391">
        <f>'IS 2027'!G81</f>
        <v>-2789.4</v>
      </c>
      <c r="I74" s="391">
        <f>'IS 2027'!H81</f>
        <v>-6347.8</v>
      </c>
      <c r="J74" s="391">
        <f>'IS 2027'!I81</f>
        <v>-7084.6</v>
      </c>
      <c r="K74" s="391">
        <f>'IS 2027'!J81</f>
        <v>-7294</v>
      </c>
      <c r="L74" s="391">
        <f>'IS 2027'!K81</f>
        <v>-7687.6</v>
      </c>
      <c r="M74" s="391">
        <f>'IS 2027'!L81</f>
        <v>-9124.2000000000007</v>
      </c>
      <c r="N74" s="391">
        <f>'IS 2027'!M81</f>
        <v>-9109.2000000000007</v>
      </c>
      <c r="O74" s="391">
        <f>'IS 2027'!N81</f>
        <v>-8911.6</v>
      </c>
      <c r="P74" s="391">
        <f>'IS 2027'!O81</f>
        <v>-7398.4000000000005</v>
      </c>
      <c r="Q74" s="391">
        <f>'IS 2027'!P81</f>
        <v>-7379</v>
      </c>
      <c r="R74" s="391">
        <f>'IS 2027'!Q81</f>
        <v>-7453</v>
      </c>
      <c r="S74" s="367"/>
      <c r="T74" s="367"/>
      <c r="U74" s="367"/>
    </row>
    <row r="75" spans="1:22" x14ac:dyDescent="0.3">
      <c r="B75" s="9" t="s">
        <v>161</v>
      </c>
      <c r="C75" s="9"/>
      <c r="D75" s="9"/>
      <c r="E75" s="9"/>
      <c r="F75" s="9"/>
      <c r="G75" s="321">
        <f>SUM(G72:G74)</f>
        <v>24137.599999999999</v>
      </c>
      <c r="H75" s="321">
        <f>SUM(H72:H74)</f>
        <v>24302.6</v>
      </c>
      <c r="I75" s="321">
        <f t="shared" ref="I75:R75" si="22">SUM(I72:I74)</f>
        <v>38701.199999999997</v>
      </c>
      <c r="J75" s="321">
        <f t="shared" si="22"/>
        <v>41813.4</v>
      </c>
      <c r="K75" s="321">
        <f t="shared" si="22"/>
        <v>42816</v>
      </c>
      <c r="L75" s="321">
        <f t="shared" si="22"/>
        <v>44555.4</v>
      </c>
      <c r="M75" s="321">
        <f t="shared" si="22"/>
        <v>50466.8</v>
      </c>
      <c r="N75" s="321">
        <f t="shared" si="22"/>
        <v>50615.8</v>
      </c>
      <c r="O75" s="321">
        <f t="shared" si="22"/>
        <v>49990.400000000001</v>
      </c>
      <c r="P75" s="321">
        <f t="shared" si="22"/>
        <v>44102.6</v>
      </c>
      <c r="Q75" s="321">
        <f t="shared" si="22"/>
        <v>44190</v>
      </c>
      <c r="R75" s="321">
        <f t="shared" si="22"/>
        <v>44651</v>
      </c>
      <c r="S75" s="129"/>
      <c r="T75" s="129"/>
      <c r="U75" s="129"/>
    </row>
    <row r="76" spans="1:22" x14ac:dyDescent="0.3">
      <c r="B76" s="9"/>
      <c r="C76" s="9"/>
      <c r="D76" s="9"/>
      <c r="E76" s="9"/>
      <c r="F76" s="9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9"/>
      <c r="T76" s="9"/>
      <c r="U76" s="9"/>
    </row>
    <row r="77" spans="1:22" x14ac:dyDescent="0.3">
      <c r="A77" s="147"/>
      <c r="B77" s="173" t="s">
        <v>164</v>
      </c>
      <c r="C77" s="147"/>
      <c r="D77" s="147"/>
      <c r="E77" s="147"/>
      <c r="F77" s="147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147"/>
      <c r="T77" s="147"/>
      <c r="U77" s="147"/>
      <c r="V77" s="147"/>
    </row>
    <row r="78" spans="1:22" x14ac:dyDescent="0.3">
      <c r="B78" t="s">
        <v>165</v>
      </c>
      <c r="G78" s="321">
        <f>SUM(G43+G48)</f>
        <v>24137.599999999999</v>
      </c>
      <c r="H78" s="321">
        <f t="shared" ref="H78:R78" si="23">SUM(H43+H48)</f>
        <v>24302.6</v>
      </c>
      <c r="I78" s="321">
        <f t="shared" si="23"/>
        <v>38701.199999999997</v>
      </c>
      <c r="J78" s="321">
        <f t="shared" si="23"/>
        <v>41813.4</v>
      </c>
      <c r="K78" s="321">
        <f t="shared" si="23"/>
        <v>42816</v>
      </c>
      <c r="L78" s="321">
        <f t="shared" si="23"/>
        <v>44555.4</v>
      </c>
      <c r="M78" s="321">
        <f t="shared" si="23"/>
        <v>50466.8</v>
      </c>
      <c r="N78" s="321">
        <f t="shared" si="23"/>
        <v>50615.8</v>
      </c>
      <c r="O78" s="321">
        <f t="shared" si="23"/>
        <v>49990.400000000001</v>
      </c>
      <c r="P78" s="321">
        <f t="shared" si="23"/>
        <v>44102.6</v>
      </c>
      <c r="Q78" s="321">
        <f t="shared" si="23"/>
        <v>44190</v>
      </c>
      <c r="R78" s="321">
        <f t="shared" si="23"/>
        <v>44651</v>
      </c>
      <c r="S78" s="1"/>
      <c r="T78" s="1"/>
      <c r="U78" s="1"/>
      <c r="V78" s="1">
        <f>SUM(G78:R78)</f>
        <v>500342.8</v>
      </c>
    </row>
    <row r="79" spans="1:22" x14ac:dyDescent="0.3">
      <c r="B79" t="s">
        <v>166</v>
      </c>
      <c r="G79" s="321">
        <f>G75</f>
        <v>24137.599999999999</v>
      </c>
      <c r="H79" s="321">
        <f t="shared" ref="H79:R79" si="24">H75</f>
        <v>24302.6</v>
      </c>
      <c r="I79" s="321">
        <f t="shared" si="24"/>
        <v>38701.199999999997</v>
      </c>
      <c r="J79" s="321">
        <f t="shared" si="24"/>
        <v>41813.4</v>
      </c>
      <c r="K79" s="321">
        <f t="shared" si="24"/>
        <v>42816</v>
      </c>
      <c r="L79" s="321">
        <f t="shared" si="24"/>
        <v>44555.4</v>
      </c>
      <c r="M79" s="321">
        <f t="shared" si="24"/>
        <v>50466.8</v>
      </c>
      <c r="N79" s="321">
        <f t="shared" si="24"/>
        <v>50615.8</v>
      </c>
      <c r="O79" s="321">
        <f t="shared" si="24"/>
        <v>49990.400000000001</v>
      </c>
      <c r="P79" s="321">
        <f t="shared" si="24"/>
        <v>44102.6</v>
      </c>
      <c r="Q79" s="321">
        <f t="shared" si="24"/>
        <v>44190</v>
      </c>
      <c r="R79" s="321">
        <f t="shared" si="24"/>
        <v>44651</v>
      </c>
      <c r="S79" s="1"/>
      <c r="T79" s="1"/>
      <c r="U79" s="1"/>
      <c r="V79" s="1">
        <f>SUM(G79:R79)</f>
        <v>500342.8</v>
      </c>
    </row>
    <row r="80" spans="1:22" x14ac:dyDescent="0.3">
      <c r="B80" t="s">
        <v>167</v>
      </c>
      <c r="G80" s="321">
        <f>G75</f>
        <v>24137.599999999999</v>
      </c>
      <c r="H80" s="321">
        <f t="shared" ref="H80:R80" si="25">H75</f>
        <v>24302.6</v>
      </c>
      <c r="I80" s="321">
        <f t="shared" si="25"/>
        <v>38701.199999999997</v>
      </c>
      <c r="J80" s="321">
        <f t="shared" si="25"/>
        <v>41813.4</v>
      </c>
      <c r="K80" s="321">
        <f t="shared" si="25"/>
        <v>42816</v>
      </c>
      <c r="L80" s="321">
        <f t="shared" si="25"/>
        <v>44555.4</v>
      </c>
      <c r="M80" s="321">
        <f t="shared" si="25"/>
        <v>50466.8</v>
      </c>
      <c r="N80" s="321">
        <f t="shared" si="25"/>
        <v>50615.8</v>
      </c>
      <c r="O80" s="321">
        <f t="shared" si="25"/>
        <v>49990.400000000001</v>
      </c>
      <c r="P80" s="321">
        <f t="shared" si="25"/>
        <v>44102.6</v>
      </c>
      <c r="Q80" s="321">
        <f t="shared" si="25"/>
        <v>44190</v>
      </c>
      <c r="R80" s="321">
        <f t="shared" si="25"/>
        <v>44651</v>
      </c>
      <c r="S80" s="1"/>
      <c r="T80" s="1"/>
      <c r="U80" s="1"/>
    </row>
    <row r="81" spans="2:21" x14ac:dyDescent="0.3">
      <c r="B81" t="s">
        <v>159</v>
      </c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2:21" x14ac:dyDescent="0.3">
      <c r="B82" t="s">
        <v>161</v>
      </c>
      <c r="G82" s="321">
        <f>G75</f>
        <v>24137.599999999999</v>
      </c>
      <c r="H82" s="321">
        <f t="shared" ref="H82:R82" si="26">H75</f>
        <v>24302.6</v>
      </c>
      <c r="I82" s="321">
        <f t="shared" si="26"/>
        <v>38701.199999999997</v>
      </c>
      <c r="J82" s="321">
        <f t="shared" si="26"/>
        <v>41813.4</v>
      </c>
      <c r="K82" s="321">
        <f t="shared" si="26"/>
        <v>42816</v>
      </c>
      <c r="L82" s="321">
        <f t="shared" si="26"/>
        <v>44555.4</v>
      </c>
      <c r="M82" s="321">
        <f t="shared" si="26"/>
        <v>50466.8</v>
      </c>
      <c r="N82" s="321">
        <f t="shared" si="26"/>
        <v>50615.8</v>
      </c>
      <c r="O82" s="321">
        <f t="shared" si="26"/>
        <v>49990.400000000001</v>
      </c>
      <c r="P82" s="321">
        <f t="shared" si="26"/>
        <v>44102.6</v>
      </c>
      <c r="Q82" s="321">
        <f t="shared" si="26"/>
        <v>44190</v>
      </c>
      <c r="R82" s="321">
        <f t="shared" si="26"/>
        <v>44651</v>
      </c>
      <c r="S82" s="1"/>
      <c r="T82" s="1"/>
      <c r="U82" s="1"/>
    </row>
  </sheetData>
  <mergeCells count="1">
    <mergeCell ref="C12:D1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6822-5FE7-4DFE-A7E9-38FDCB7ADB3B}">
  <sheetPr codeName="Sheet35"/>
  <dimension ref="A1:Y216"/>
  <sheetViews>
    <sheetView showGridLines="0" topLeftCell="A13" workbookViewId="0">
      <selection activeCell="U14" sqref="U14"/>
    </sheetView>
  </sheetViews>
  <sheetFormatPr defaultRowHeight="14.4" x14ac:dyDescent="0.3"/>
  <cols>
    <col min="1" max="1" width="5" customWidth="1"/>
    <col min="2" max="2" width="3.88671875" customWidth="1"/>
    <col min="5" max="5" width="11.88671875" customWidth="1"/>
    <col min="6" max="6" width="9.88671875" style="125" bestFit="1" customWidth="1"/>
    <col min="7" max="7" width="9.88671875" bestFit="1" customWidth="1"/>
    <col min="8" max="9" width="10.44140625" customWidth="1"/>
    <col min="10" max="10" width="9.6640625" customWidth="1"/>
    <col min="11" max="11" width="10.109375" customWidth="1"/>
    <col min="12" max="12" width="10" customWidth="1"/>
    <col min="13" max="13" width="9.77734375" customWidth="1"/>
    <col min="14" max="14" width="10.44140625" customWidth="1"/>
    <col min="15" max="15" width="9.77734375" customWidth="1"/>
    <col min="16" max="16" width="9.6640625" customWidth="1"/>
    <col min="17" max="17" width="9.88671875" customWidth="1"/>
    <col min="20" max="20" width="9.33203125" customWidth="1"/>
    <col min="21" max="21" width="11.5546875" customWidth="1"/>
    <col min="22" max="22" width="9.88671875" bestFit="1" customWidth="1"/>
  </cols>
  <sheetData>
    <row r="1" spans="1:25" x14ac:dyDescent="0.3">
      <c r="F1"/>
    </row>
    <row r="2" spans="1:25" ht="18" x14ac:dyDescent="0.35">
      <c r="B2" s="4" t="s">
        <v>169</v>
      </c>
      <c r="F2"/>
    </row>
    <row r="3" spans="1:25" x14ac:dyDescent="0.3">
      <c r="B3" t="s">
        <v>140</v>
      </c>
      <c r="F3"/>
    </row>
    <row r="4" spans="1:25" x14ac:dyDescent="0.3">
      <c r="F4"/>
    </row>
    <row r="5" spans="1:25" x14ac:dyDescent="0.3">
      <c r="A5" s="147"/>
      <c r="B5" s="173" t="s">
        <v>170</v>
      </c>
      <c r="C5" s="147"/>
      <c r="D5" s="147"/>
      <c r="E5" s="147"/>
      <c r="F5" s="196">
        <v>2027</v>
      </c>
      <c r="G5" s="196">
        <v>2027</v>
      </c>
      <c r="H5" s="196">
        <v>2027</v>
      </c>
      <c r="I5" s="196">
        <v>2027</v>
      </c>
      <c r="J5" s="196">
        <v>2027</v>
      </c>
      <c r="K5" s="196">
        <v>2027</v>
      </c>
      <c r="L5" s="196">
        <v>2027</v>
      </c>
      <c r="M5" s="196">
        <v>2027</v>
      </c>
      <c r="N5" s="196">
        <v>2027</v>
      </c>
      <c r="O5" s="196">
        <v>2027</v>
      </c>
      <c r="P5" s="196">
        <v>2027</v>
      </c>
      <c r="Q5" s="196">
        <v>2027</v>
      </c>
      <c r="R5" s="196">
        <v>2028</v>
      </c>
      <c r="S5" s="196">
        <v>2028</v>
      </c>
      <c r="T5" s="196">
        <v>2028</v>
      </c>
      <c r="U5" s="147"/>
    </row>
    <row r="6" spans="1:25" ht="15" thickBot="1" x14ac:dyDescent="0.35">
      <c r="A6" s="158"/>
      <c r="B6" s="159" t="s">
        <v>64</v>
      </c>
      <c r="C6" s="148"/>
      <c r="D6" s="148"/>
      <c r="E6" s="148"/>
      <c r="F6" s="195" t="s">
        <v>25</v>
      </c>
      <c r="G6" s="195" t="s">
        <v>26</v>
      </c>
      <c r="H6" s="195" t="s">
        <v>27</v>
      </c>
      <c r="I6" s="195" t="s">
        <v>28</v>
      </c>
      <c r="J6" s="195" t="s">
        <v>29</v>
      </c>
      <c r="K6" s="195" t="s">
        <v>30</v>
      </c>
      <c r="L6" s="195" t="s">
        <v>31</v>
      </c>
      <c r="M6" s="195" t="s">
        <v>32</v>
      </c>
      <c r="N6" s="195" t="s">
        <v>33</v>
      </c>
      <c r="O6" s="195" t="s">
        <v>34</v>
      </c>
      <c r="P6" s="195" t="s">
        <v>35</v>
      </c>
      <c r="Q6" s="195" t="s">
        <v>36</v>
      </c>
      <c r="R6" s="195" t="s">
        <v>25</v>
      </c>
      <c r="S6" s="195" t="s">
        <v>26</v>
      </c>
      <c r="T6" s="195" t="s">
        <v>27</v>
      </c>
      <c r="U6" s="192" t="s">
        <v>72</v>
      </c>
    </row>
    <row r="7" spans="1:25" s="124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x14ac:dyDescent="0.3">
      <c r="C8" s="168" t="s">
        <v>171</v>
      </c>
      <c r="F8"/>
    </row>
    <row r="9" spans="1:25" x14ac:dyDescent="0.3">
      <c r="C9" s="169"/>
      <c r="F9"/>
    </row>
    <row r="10" spans="1:25" x14ac:dyDescent="0.3">
      <c r="C10" s="168" t="s">
        <v>48</v>
      </c>
      <c r="F10"/>
      <c r="G10" s="170"/>
      <c r="H10" s="170"/>
      <c r="I10" s="170"/>
      <c r="J10" s="170"/>
      <c r="K10" s="170"/>
      <c r="L10" s="169"/>
      <c r="M10" s="170"/>
      <c r="N10" s="170"/>
      <c r="O10" s="170"/>
      <c r="P10" s="170"/>
      <c r="Q10" s="170"/>
      <c r="R10" s="170"/>
      <c r="S10" s="170"/>
      <c r="T10" s="170"/>
      <c r="V10" s="1"/>
    </row>
    <row r="11" spans="1:25" x14ac:dyDescent="0.3">
      <c r="C11" s="169" t="s">
        <v>172</v>
      </c>
      <c r="F11" s="170">
        <f>'BS 2026'!Q14+'CF 2027'!G75</f>
        <v>1335112.2000000002</v>
      </c>
      <c r="G11" s="170">
        <f>F14+'CF 2027'!H75</f>
        <v>1359414.8000000003</v>
      </c>
      <c r="H11" s="170">
        <f>G14+'CF 2027'!I75</f>
        <v>1398116.0000000002</v>
      </c>
      <c r="I11" s="170">
        <f>H14+'CF 2027'!J75</f>
        <v>1439929.4000000001</v>
      </c>
      <c r="J11" s="170">
        <f>I14+'CF 2027'!K75</f>
        <v>1482745.4000000001</v>
      </c>
      <c r="K11" s="170">
        <f>J14+'CF 2027'!L75</f>
        <v>1527300.8</v>
      </c>
      <c r="L11" s="170">
        <f>K14+'CF 2027'!M75</f>
        <v>1577767.6</v>
      </c>
      <c r="M11" s="170">
        <f>L14+'CF 2027'!N75</f>
        <v>1628383.4000000001</v>
      </c>
      <c r="N11" s="170">
        <f>M14+'CF 2027'!O75</f>
        <v>1678373.8</v>
      </c>
      <c r="O11" s="170">
        <f>N14+'CF 2027'!P75</f>
        <v>1722476.4000000001</v>
      </c>
      <c r="P11" s="170">
        <f>O14+'CF 2027'!Q75</f>
        <v>1766666.4000000001</v>
      </c>
      <c r="Q11" s="170">
        <f>P14+'CF 2027'!R75</f>
        <v>1811317.4000000001</v>
      </c>
      <c r="R11" s="170"/>
      <c r="S11" s="170"/>
      <c r="T11" s="170"/>
      <c r="V11" s="1"/>
    </row>
    <row r="12" spans="1:25" x14ac:dyDescent="0.3">
      <c r="C12" s="169" t="s">
        <v>173</v>
      </c>
      <c r="F12" s="170"/>
      <c r="G12" s="169"/>
      <c r="H12" s="169"/>
      <c r="I12" s="169" t="s">
        <v>190</v>
      </c>
      <c r="J12" s="169"/>
      <c r="K12" s="169" t="s">
        <v>190</v>
      </c>
      <c r="L12" s="169"/>
      <c r="M12" s="169"/>
      <c r="N12" s="169"/>
      <c r="O12" s="169"/>
      <c r="P12" s="169"/>
      <c r="Q12" s="169"/>
      <c r="R12" s="169"/>
      <c r="S12" s="169"/>
      <c r="T12" s="169"/>
      <c r="V12" s="1"/>
    </row>
    <row r="13" spans="1:25" x14ac:dyDescent="0.3">
      <c r="C13" s="169" t="s">
        <v>174</v>
      </c>
      <c r="F13"/>
      <c r="I13" s="170"/>
      <c r="K13" s="170"/>
      <c r="S13" s="170"/>
      <c r="T13" s="170"/>
      <c r="V13" s="1"/>
    </row>
    <row r="14" spans="1:25" x14ac:dyDescent="0.3">
      <c r="C14" s="169" t="s">
        <v>175</v>
      </c>
      <c r="F14" s="170">
        <f>SUM(F11:F13)</f>
        <v>1335112.2000000002</v>
      </c>
      <c r="G14" s="170">
        <f t="shared" ref="G14:Q14" si="0">SUM(G11:G13)</f>
        <v>1359414.8000000003</v>
      </c>
      <c r="H14" s="170">
        <f t="shared" si="0"/>
        <v>1398116.0000000002</v>
      </c>
      <c r="I14" s="170">
        <f t="shared" si="0"/>
        <v>1439929.4000000001</v>
      </c>
      <c r="J14" s="170">
        <f t="shared" si="0"/>
        <v>1482745.4000000001</v>
      </c>
      <c r="K14" s="170">
        <f t="shared" si="0"/>
        <v>1527300.8</v>
      </c>
      <c r="L14" s="170">
        <f t="shared" si="0"/>
        <v>1577767.6</v>
      </c>
      <c r="M14" s="170">
        <f t="shared" si="0"/>
        <v>1628383.4000000001</v>
      </c>
      <c r="N14" s="170">
        <f t="shared" si="0"/>
        <v>1678373.8</v>
      </c>
      <c r="O14" s="170">
        <f t="shared" si="0"/>
        <v>1722476.4000000001</v>
      </c>
      <c r="P14" s="170">
        <f t="shared" si="0"/>
        <v>1766666.4000000001</v>
      </c>
      <c r="Q14" s="170">
        <f t="shared" si="0"/>
        <v>1811317.4000000001</v>
      </c>
      <c r="R14" s="170"/>
      <c r="S14" s="170"/>
      <c r="T14" s="170"/>
      <c r="U14" s="405">
        <f>SUM(F14:Q14)</f>
        <v>18727603.600000001</v>
      </c>
      <c r="V14" s="1"/>
    </row>
    <row r="15" spans="1:25" x14ac:dyDescent="0.3">
      <c r="C15" s="168" t="s">
        <v>49</v>
      </c>
      <c r="F15"/>
      <c r="G15" s="169"/>
      <c r="H15" s="169"/>
      <c r="I15" s="169"/>
      <c r="J15" s="172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V15" s="1"/>
    </row>
    <row r="16" spans="1:25" x14ac:dyDescent="0.3">
      <c r="C16" s="171" t="s">
        <v>176</v>
      </c>
      <c r="F16" s="170">
        <f>'BS 2026'!Q16-'IS 2027'!F77</f>
        <v>232774</v>
      </c>
      <c r="G16" s="170">
        <f>F16-'IS 2026'!G78</f>
        <v>234685</v>
      </c>
      <c r="H16" s="170">
        <f>G16-'IS 2026'!H78</f>
        <v>236596</v>
      </c>
      <c r="I16" s="170">
        <f>H16-'IS 2026'!I78</f>
        <v>238352</v>
      </c>
      <c r="J16" s="170">
        <f>I16-'IS 2026'!J78</f>
        <v>240108</v>
      </c>
      <c r="K16" s="170">
        <f>J16-'IS 2026'!K78</f>
        <v>241864</v>
      </c>
      <c r="L16" s="170">
        <f>K16-'IS 2026'!L78</f>
        <v>243620</v>
      </c>
      <c r="M16" s="170">
        <f>L16-'IS 2026'!M78</f>
        <v>245376</v>
      </c>
      <c r="N16" s="170">
        <f>M16-'IS 2026'!N78</f>
        <v>247132</v>
      </c>
      <c r="O16" s="170">
        <f>N16-'IS 2026'!O78</f>
        <v>248888</v>
      </c>
      <c r="P16" s="170">
        <f>O16-'IS 2026'!P78</f>
        <v>250644</v>
      </c>
      <c r="Q16" s="170">
        <f>P16-'IS 2026'!Q78</f>
        <v>252400</v>
      </c>
      <c r="R16" s="170"/>
      <c r="S16" s="177"/>
      <c r="T16" s="177"/>
      <c r="V16" s="1"/>
    </row>
    <row r="17" spans="1:22" x14ac:dyDescent="0.3">
      <c r="C17" s="171" t="s">
        <v>177</v>
      </c>
      <c r="F17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V17" s="1"/>
    </row>
    <row r="18" spans="1:22" x14ac:dyDescent="0.3">
      <c r="C18" s="171" t="s">
        <v>178</v>
      </c>
      <c r="F18" s="177">
        <f>SUM(F16:F17)</f>
        <v>232774</v>
      </c>
      <c r="G18" s="177">
        <f t="shared" ref="G18:Q19" si="1">SUM(G16:G17)</f>
        <v>234685</v>
      </c>
      <c r="H18" s="177">
        <f t="shared" si="1"/>
        <v>236596</v>
      </c>
      <c r="I18" s="177">
        <f t="shared" si="1"/>
        <v>238352</v>
      </c>
      <c r="J18" s="177">
        <f t="shared" si="1"/>
        <v>240108</v>
      </c>
      <c r="K18" s="177">
        <f t="shared" si="1"/>
        <v>241864</v>
      </c>
      <c r="L18" s="177">
        <f t="shared" si="1"/>
        <v>243620</v>
      </c>
      <c r="M18" s="177">
        <f t="shared" si="1"/>
        <v>245376</v>
      </c>
      <c r="N18" s="177">
        <f t="shared" si="1"/>
        <v>247132</v>
      </c>
      <c r="O18" s="177">
        <f t="shared" si="1"/>
        <v>248888</v>
      </c>
      <c r="P18" s="177">
        <f t="shared" si="1"/>
        <v>250644</v>
      </c>
      <c r="Q18" s="177">
        <f t="shared" si="1"/>
        <v>252400</v>
      </c>
      <c r="R18" s="177"/>
      <c r="S18" s="177"/>
      <c r="T18" s="177"/>
      <c r="V18" s="1"/>
    </row>
    <row r="19" spans="1:22" x14ac:dyDescent="0.3">
      <c r="A19" s="142"/>
      <c r="B19" s="147"/>
      <c r="C19" s="180" t="s">
        <v>179</v>
      </c>
      <c r="D19" s="147"/>
      <c r="E19" s="147"/>
      <c r="F19" s="181">
        <f>SUM(F17:F18)</f>
        <v>232774</v>
      </c>
      <c r="G19" s="181">
        <f t="shared" si="1"/>
        <v>234685</v>
      </c>
      <c r="H19" s="181">
        <f t="shared" si="1"/>
        <v>236596</v>
      </c>
      <c r="I19" s="181">
        <f t="shared" si="1"/>
        <v>238352</v>
      </c>
      <c r="J19" s="181">
        <f t="shared" si="1"/>
        <v>240108</v>
      </c>
      <c r="K19" s="181">
        <f t="shared" si="1"/>
        <v>241864</v>
      </c>
      <c r="L19" s="181">
        <f t="shared" si="1"/>
        <v>243620</v>
      </c>
      <c r="M19" s="181">
        <f t="shared" si="1"/>
        <v>245376</v>
      </c>
      <c r="N19" s="181">
        <f t="shared" si="1"/>
        <v>247132</v>
      </c>
      <c r="O19" s="181">
        <f t="shared" si="1"/>
        <v>248888</v>
      </c>
      <c r="P19" s="181">
        <f t="shared" si="1"/>
        <v>250644</v>
      </c>
      <c r="Q19" s="181">
        <f t="shared" si="1"/>
        <v>252400</v>
      </c>
      <c r="R19" s="181"/>
      <c r="S19" s="181"/>
      <c r="T19" s="181"/>
      <c r="U19" s="154">
        <f>SUM(F19:Q19)</f>
        <v>2912439</v>
      </c>
      <c r="V19" s="1"/>
    </row>
    <row r="20" spans="1:22" x14ac:dyDescent="0.3">
      <c r="A20" s="158"/>
      <c r="B20" s="148"/>
      <c r="C20" s="182" t="s">
        <v>50</v>
      </c>
      <c r="D20" s="148"/>
      <c r="E20" s="148"/>
      <c r="F20" s="183">
        <f>F14+F19</f>
        <v>1567886.2000000002</v>
      </c>
      <c r="G20" s="183">
        <f>G14+G19</f>
        <v>1594099.8000000003</v>
      </c>
      <c r="H20" s="183">
        <f t="shared" ref="H20:Q20" si="2">H14+H19</f>
        <v>1634712.0000000002</v>
      </c>
      <c r="I20" s="183">
        <f t="shared" si="2"/>
        <v>1678281.4000000001</v>
      </c>
      <c r="J20" s="183">
        <f t="shared" si="2"/>
        <v>1722853.4000000001</v>
      </c>
      <c r="K20" s="183">
        <f t="shared" si="2"/>
        <v>1769164.8</v>
      </c>
      <c r="L20" s="183">
        <f t="shared" si="2"/>
        <v>1821387.6</v>
      </c>
      <c r="M20" s="183">
        <f t="shared" si="2"/>
        <v>1873759.4000000001</v>
      </c>
      <c r="N20" s="183">
        <f t="shared" si="2"/>
        <v>1925505.8</v>
      </c>
      <c r="O20" s="183">
        <f t="shared" si="2"/>
        <v>1971364.4000000001</v>
      </c>
      <c r="P20" s="183">
        <f t="shared" si="2"/>
        <v>2017310.4000000001</v>
      </c>
      <c r="Q20" s="183">
        <f t="shared" si="2"/>
        <v>2063717.4000000001</v>
      </c>
      <c r="R20" s="183"/>
      <c r="S20" s="183"/>
      <c r="T20" s="183"/>
      <c r="U20" s="149">
        <f>SUM(F20:Q20)</f>
        <v>21640042.599999998</v>
      </c>
      <c r="V20" s="1"/>
    </row>
    <row r="21" spans="1:22" x14ac:dyDescent="0.3">
      <c r="C21" s="179" t="s">
        <v>51</v>
      </c>
      <c r="F21"/>
      <c r="I21" s="172"/>
      <c r="K21" s="172"/>
      <c r="S21" s="172"/>
      <c r="T21" s="172"/>
      <c r="V21" s="1"/>
    </row>
    <row r="22" spans="1:22" x14ac:dyDescent="0.3">
      <c r="C22" s="171" t="s">
        <v>180</v>
      </c>
      <c r="F22" s="172"/>
      <c r="G22" s="172"/>
      <c r="Q22" s="172"/>
      <c r="V22" s="1"/>
    </row>
    <row r="23" spans="1:22" x14ac:dyDescent="0.3">
      <c r="C23" s="171" t="s">
        <v>181</v>
      </c>
      <c r="F23"/>
      <c r="H23" s="172"/>
      <c r="J23" s="172"/>
      <c r="V23" s="1"/>
    </row>
    <row r="24" spans="1:22" x14ac:dyDescent="0.3">
      <c r="C24" s="169" t="s">
        <v>182</v>
      </c>
      <c r="F24" s="177">
        <f>'IS 2027'!F81</f>
        <v>-2789.4</v>
      </c>
      <c r="G24" s="177">
        <f>'IS 2027'!G81</f>
        <v>-2789.4</v>
      </c>
      <c r="H24" s="177">
        <f>'IS 2027'!H81</f>
        <v>-6347.8</v>
      </c>
      <c r="I24" s="177">
        <f>'IS 2027'!I81</f>
        <v>-7084.6</v>
      </c>
      <c r="J24" s="177">
        <f>'IS 2027'!J81</f>
        <v>-7294</v>
      </c>
      <c r="K24" s="177">
        <f>'IS 2027'!K81</f>
        <v>-7687.6</v>
      </c>
      <c r="L24" s="177">
        <f>'IS 2027'!L81</f>
        <v>-9124.2000000000007</v>
      </c>
      <c r="M24" s="177">
        <f>'IS 2027'!M81</f>
        <v>-9109.2000000000007</v>
      </c>
      <c r="N24" s="177">
        <f>'IS 2027'!N81</f>
        <v>-8911.6</v>
      </c>
      <c r="O24" s="177">
        <f>'IS 2027'!O81</f>
        <v>-7398.4000000000005</v>
      </c>
      <c r="P24" s="177">
        <f>'IS 2027'!P81</f>
        <v>-7379</v>
      </c>
      <c r="Q24" s="177">
        <f>'IS 2027'!Q81</f>
        <v>-7453</v>
      </c>
      <c r="R24" s="177"/>
      <c r="S24" s="177"/>
      <c r="T24" s="177"/>
      <c r="V24" s="1"/>
    </row>
    <row r="25" spans="1:22" x14ac:dyDescent="0.3">
      <c r="A25" s="147"/>
      <c r="B25" s="147"/>
      <c r="C25" s="173" t="s">
        <v>183</v>
      </c>
      <c r="D25" s="147"/>
      <c r="E25" s="147"/>
      <c r="F25" s="154">
        <f>SUM(F22:F24)</f>
        <v>-2789.4</v>
      </c>
      <c r="G25" s="154">
        <f t="shared" ref="G25:Q25" si="3">SUM(G22:G24)</f>
        <v>-2789.4</v>
      </c>
      <c r="H25" s="154">
        <f t="shared" si="3"/>
        <v>-6347.8</v>
      </c>
      <c r="I25" s="154">
        <f t="shared" si="3"/>
        <v>-7084.6</v>
      </c>
      <c r="J25" s="154">
        <f t="shared" si="3"/>
        <v>-7294</v>
      </c>
      <c r="K25" s="154">
        <f t="shared" si="3"/>
        <v>-7687.6</v>
      </c>
      <c r="L25" s="154">
        <f t="shared" si="3"/>
        <v>-9124.2000000000007</v>
      </c>
      <c r="M25" s="154">
        <f t="shared" si="3"/>
        <v>-9109.2000000000007</v>
      </c>
      <c r="N25" s="154">
        <f t="shared" si="3"/>
        <v>-8911.6</v>
      </c>
      <c r="O25" s="154">
        <f t="shared" si="3"/>
        <v>-7398.4000000000005</v>
      </c>
      <c r="P25" s="154">
        <f t="shared" si="3"/>
        <v>-7379</v>
      </c>
      <c r="Q25" s="154">
        <f t="shared" si="3"/>
        <v>-7453</v>
      </c>
      <c r="R25" s="154"/>
      <c r="S25" s="154"/>
      <c r="T25" s="154"/>
      <c r="U25" s="154">
        <f>SUM(F25:Q25)</f>
        <v>-83368.2</v>
      </c>
      <c r="V25" s="1"/>
    </row>
    <row r="26" spans="1:22" x14ac:dyDescent="0.3">
      <c r="A26" s="148"/>
      <c r="B26" s="148"/>
      <c r="C26" s="184" t="s">
        <v>52</v>
      </c>
      <c r="D26" s="148"/>
      <c r="E26" s="148"/>
      <c r="F26" s="149"/>
      <c r="G26" s="148"/>
      <c r="H26" s="148"/>
      <c r="I26" s="149"/>
      <c r="J26" s="148"/>
      <c r="K26" s="149"/>
      <c r="L26" s="185"/>
      <c r="M26" s="185"/>
      <c r="N26" s="185"/>
      <c r="O26" s="185"/>
      <c r="P26" s="185"/>
      <c r="Q26" s="148"/>
      <c r="R26" s="185"/>
      <c r="S26" s="149"/>
      <c r="T26" s="149"/>
      <c r="U26" s="148"/>
      <c r="V26" s="1"/>
    </row>
    <row r="27" spans="1:22" x14ac:dyDescent="0.3">
      <c r="C27" s="168" t="s">
        <v>184</v>
      </c>
      <c r="F27" s="177">
        <v>0</v>
      </c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405">
        <f>SUM(F27:Q27)</f>
        <v>0</v>
      </c>
      <c r="V27" s="1"/>
    </row>
    <row r="28" spans="1:22" ht="12.6" customHeight="1" x14ac:dyDescent="0.3">
      <c r="C28" s="169"/>
      <c r="F28"/>
      <c r="J28" s="170" t="s">
        <v>190</v>
      </c>
      <c r="V28" s="1"/>
    </row>
    <row r="29" spans="1:22" x14ac:dyDescent="0.3">
      <c r="C29" s="168" t="s">
        <v>185</v>
      </c>
      <c r="F29" s="170"/>
      <c r="G29" s="170"/>
      <c r="H29" s="170"/>
      <c r="Q29" s="170"/>
      <c r="V29" s="1"/>
    </row>
    <row r="30" spans="1:22" x14ac:dyDescent="0.3">
      <c r="C30" s="171" t="s">
        <v>193</v>
      </c>
      <c r="F30" s="170"/>
      <c r="G30" s="170"/>
      <c r="H30" s="170"/>
      <c r="Q30" s="170"/>
      <c r="V30" s="1"/>
    </row>
    <row r="31" spans="1:22" x14ac:dyDescent="0.3">
      <c r="C31" s="168" t="s">
        <v>186</v>
      </c>
      <c r="F31" s="177">
        <f>SUM(F27:F29)</f>
        <v>0</v>
      </c>
      <c r="G31" s="177">
        <f t="shared" ref="G31:Q31" si="4">SUM(G27:G29)</f>
        <v>0</v>
      </c>
      <c r="H31" s="177">
        <f t="shared" si="4"/>
        <v>0</v>
      </c>
      <c r="I31" s="177">
        <f t="shared" si="4"/>
        <v>0</v>
      </c>
      <c r="J31" s="177">
        <f t="shared" si="4"/>
        <v>0</v>
      </c>
      <c r="K31" s="177">
        <f t="shared" si="4"/>
        <v>0</v>
      </c>
      <c r="L31" s="177">
        <f t="shared" si="4"/>
        <v>0</v>
      </c>
      <c r="M31" s="177">
        <f t="shared" si="4"/>
        <v>0</v>
      </c>
      <c r="N31" s="177">
        <f t="shared" si="4"/>
        <v>0</v>
      </c>
      <c r="O31" s="177">
        <f t="shared" si="4"/>
        <v>0</v>
      </c>
      <c r="P31" s="177">
        <f t="shared" si="4"/>
        <v>0</v>
      </c>
      <c r="Q31" s="177">
        <f t="shared" si="4"/>
        <v>0</v>
      </c>
      <c r="R31" s="177"/>
      <c r="S31" s="177"/>
      <c r="T31" s="177"/>
      <c r="V31" s="1"/>
    </row>
    <row r="32" spans="1:22" x14ac:dyDescent="0.3">
      <c r="C32" s="168" t="s">
        <v>53</v>
      </c>
      <c r="F32" s="177">
        <f>F31+F25</f>
        <v>-2789.4</v>
      </c>
      <c r="G32" s="177">
        <f t="shared" ref="G32:Q32" si="5">G31+G24</f>
        <v>-2789.4</v>
      </c>
      <c r="H32" s="177">
        <f t="shared" si="5"/>
        <v>-6347.8</v>
      </c>
      <c r="I32" s="177">
        <f t="shared" si="5"/>
        <v>-7084.6</v>
      </c>
      <c r="J32" s="177">
        <f t="shared" si="5"/>
        <v>-7294</v>
      </c>
      <c r="K32" s="177">
        <f t="shared" si="5"/>
        <v>-7687.6</v>
      </c>
      <c r="L32" s="177">
        <f t="shared" si="5"/>
        <v>-9124.2000000000007</v>
      </c>
      <c r="M32" s="177">
        <f t="shared" si="5"/>
        <v>-9109.2000000000007</v>
      </c>
      <c r="N32" s="177">
        <f t="shared" si="5"/>
        <v>-8911.6</v>
      </c>
      <c r="O32" s="177">
        <f t="shared" si="5"/>
        <v>-7398.4000000000005</v>
      </c>
      <c r="P32" s="177">
        <f t="shared" si="5"/>
        <v>-7379</v>
      </c>
      <c r="Q32" s="177">
        <f t="shared" si="5"/>
        <v>-7453</v>
      </c>
      <c r="R32" s="177"/>
      <c r="S32" s="177"/>
      <c r="T32" s="177"/>
      <c r="V32" s="1"/>
    </row>
    <row r="33" spans="3:22" x14ac:dyDescent="0.3">
      <c r="C33" s="168" t="s">
        <v>54</v>
      </c>
      <c r="F33" s="207">
        <f>F20+F32</f>
        <v>1565096.8000000003</v>
      </c>
      <c r="G33" s="207">
        <f t="shared" ref="G33:Q33" si="6">G20+G32</f>
        <v>1591310.4000000004</v>
      </c>
      <c r="H33" s="207">
        <f t="shared" si="6"/>
        <v>1628364.2000000002</v>
      </c>
      <c r="I33" s="207">
        <f t="shared" si="6"/>
        <v>1671196.8</v>
      </c>
      <c r="J33" s="207">
        <f t="shared" si="6"/>
        <v>1715559.4000000001</v>
      </c>
      <c r="K33" s="207">
        <f t="shared" si="6"/>
        <v>1761477.2</v>
      </c>
      <c r="L33" s="207">
        <f t="shared" si="6"/>
        <v>1812263.4000000001</v>
      </c>
      <c r="M33" s="207">
        <f t="shared" si="6"/>
        <v>1864650.2000000002</v>
      </c>
      <c r="N33" s="207">
        <f t="shared" si="6"/>
        <v>1916594.2</v>
      </c>
      <c r="O33" s="207">
        <f t="shared" si="6"/>
        <v>1963966.0000000002</v>
      </c>
      <c r="P33" s="207">
        <f t="shared" si="6"/>
        <v>2009931.4000000001</v>
      </c>
      <c r="Q33" s="207">
        <f t="shared" si="6"/>
        <v>2056264.4000000001</v>
      </c>
      <c r="R33" s="207"/>
      <c r="S33" s="207"/>
      <c r="T33" s="207"/>
      <c r="U33" s="396">
        <f>SUM(F33:Q33)</f>
        <v>21556674.399999999</v>
      </c>
      <c r="V33" s="1"/>
    </row>
    <row r="34" spans="3:22" x14ac:dyDescent="0.3">
      <c r="C34" s="171" t="s">
        <v>56</v>
      </c>
      <c r="F34" s="169"/>
      <c r="G34" s="169"/>
      <c r="H34" s="169"/>
      <c r="I34" s="169"/>
      <c r="J34" s="170"/>
      <c r="K34" s="170"/>
      <c r="L34" s="170"/>
      <c r="M34" s="170"/>
      <c r="N34" s="170"/>
      <c r="O34" s="170"/>
      <c r="P34" s="170"/>
      <c r="Q34" s="169"/>
      <c r="R34" s="170"/>
      <c r="S34" s="170"/>
      <c r="T34" s="170"/>
      <c r="V34" s="1"/>
    </row>
    <row r="35" spans="3:22" x14ac:dyDescent="0.3">
      <c r="C35" s="171" t="s">
        <v>58</v>
      </c>
      <c r="F35" s="170">
        <f>SUM(F33:F34)</f>
        <v>1565096.8000000003</v>
      </c>
      <c r="G35" s="170">
        <f t="shared" ref="G35:Q35" si="7">SUM(G33:G34)</f>
        <v>1591310.4000000004</v>
      </c>
      <c r="H35" s="170">
        <f t="shared" si="7"/>
        <v>1628364.2000000002</v>
      </c>
      <c r="I35" s="170">
        <f t="shared" si="7"/>
        <v>1671196.8</v>
      </c>
      <c r="J35" s="170">
        <f t="shared" si="7"/>
        <v>1715559.4000000001</v>
      </c>
      <c r="K35" s="170">
        <f t="shared" si="7"/>
        <v>1761477.2</v>
      </c>
      <c r="L35" s="170">
        <f t="shared" si="7"/>
        <v>1812263.4000000001</v>
      </c>
      <c r="M35" s="170">
        <f t="shared" si="7"/>
        <v>1864650.2000000002</v>
      </c>
      <c r="N35" s="170">
        <f t="shared" si="7"/>
        <v>1916594.2</v>
      </c>
      <c r="O35" s="170">
        <f t="shared" si="7"/>
        <v>1963966.0000000002</v>
      </c>
      <c r="P35" s="170">
        <f t="shared" si="7"/>
        <v>2009931.4000000001</v>
      </c>
      <c r="Q35" s="170">
        <f t="shared" si="7"/>
        <v>2056264.4000000001</v>
      </c>
      <c r="R35" s="170"/>
      <c r="S35" s="170"/>
      <c r="T35" s="170"/>
      <c r="V35" s="1"/>
    </row>
    <row r="36" spans="3:22" x14ac:dyDescent="0.3">
      <c r="C36" s="178" t="s">
        <v>59</v>
      </c>
      <c r="F36" s="170">
        <f>F34+F35</f>
        <v>1565096.8000000003</v>
      </c>
      <c r="G36" s="170">
        <f t="shared" ref="G36:Q36" si="8">G34+G35</f>
        <v>1591310.4000000004</v>
      </c>
      <c r="H36" s="170">
        <f t="shared" si="8"/>
        <v>1628364.2000000002</v>
      </c>
      <c r="I36" s="170">
        <f t="shared" si="8"/>
        <v>1671196.8</v>
      </c>
      <c r="J36" s="170">
        <f t="shared" si="8"/>
        <v>1715559.4000000001</v>
      </c>
      <c r="K36" s="170">
        <f t="shared" si="8"/>
        <v>1761477.2</v>
      </c>
      <c r="L36" s="170">
        <f t="shared" si="8"/>
        <v>1812263.4000000001</v>
      </c>
      <c r="M36" s="170">
        <f t="shared" si="8"/>
        <v>1864650.2000000002</v>
      </c>
      <c r="N36" s="170">
        <f t="shared" si="8"/>
        <v>1916594.2</v>
      </c>
      <c r="O36" s="170">
        <f t="shared" si="8"/>
        <v>1963966.0000000002</v>
      </c>
      <c r="P36" s="170">
        <f t="shared" si="8"/>
        <v>2009931.4000000001</v>
      </c>
      <c r="Q36" s="170">
        <f t="shared" si="8"/>
        <v>2056264.4000000001</v>
      </c>
      <c r="R36" s="170"/>
      <c r="S36" s="170"/>
      <c r="T36" s="170"/>
      <c r="V36" s="1"/>
    </row>
    <row r="37" spans="3:22" x14ac:dyDescent="0.3">
      <c r="C37" s="171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V37" s="1"/>
    </row>
    <row r="38" spans="3:22" x14ac:dyDescent="0.3">
      <c r="C38" s="171" t="s">
        <v>187</v>
      </c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V38" s="1"/>
    </row>
    <row r="39" spans="3:22" x14ac:dyDescent="0.3">
      <c r="C39" s="171" t="s">
        <v>188</v>
      </c>
      <c r="F3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V39" s="1"/>
    </row>
    <row r="40" spans="3:22" x14ac:dyDescent="0.3">
      <c r="C40" s="171" t="s">
        <v>189</v>
      </c>
      <c r="F40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V40" s="1"/>
    </row>
    <row r="41" spans="3:22" x14ac:dyDescent="0.3">
      <c r="C41" s="171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V41" s="1"/>
    </row>
    <row r="42" spans="3:22" x14ac:dyDescent="0.3">
      <c r="F42"/>
    </row>
    <row r="43" spans="3:22" x14ac:dyDescent="0.3">
      <c r="F43"/>
    </row>
    <row r="44" spans="3:22" x14ac:dyDescent="0.3">
      <c r="F44"/>
    </row>
    <row r="45" spans="3:22" x14ac:dyDescent="0.3">
      <c r="F45"/>
    </row>
    <row r="46" spans="3:22" x14ac:dyDescent="0.3">
      <c r="F46"/>
    </row>
    <row r="47" spans="3:22" x14ac:dyDescent="0.3">
      <c r="F47"/>
    </row>
    <row r="48" spans="3:22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FFD79-C2BE-481E-8E4A-4B5CA1D7943E}">
  <sheetPr codeName="Sheet38"/>
  <dimension ref="B2:V101"/>
  <sheetViews>
    <sheetView showGridLines="0" topLeftCell="B13" zoomScale="97" zoomScaleNormal="97" workbookViewId="0">
      <selection activeCell="U14" sqref="U14"/>
    </sheetView>
  </sheetViews>
  <sheetFormatPr defaultRowHeight="14.4" x14ac:dyDescent="0.3"/>
  <cols>
    <col min="1" max="1" width="3" customWidth="1"/>
    <col min="5" max="5" width="10.88671875" customWidth="1"/>
    <col min="6" max="6" width="11.6640625" bestFit="1" customWidth="1"/>
    <col min="7" max="7" width="11.44140625" customWidth="1"/>
    <col min="8" max="8" width="11.21875" customWidth="1"/>
    <col min="9" max="9" width="11.109375" customWidth="1"/>
    <col min="10" max="10" width="4.33203125" customWidth="1"/>
    <col min="11" max="11" width="10.109375" customWidth="1"/>
    <col min="12" max="14" width="10.5546875" bestFit="1" customWidth="1"/>
    <col min="15" max="15" width="10.21875" customWidth="1"/>
    <col min="16" max="22" width="10.5546875" bestFit="1" customWidth="1"/>
  </cols>
  <sheetData>
    <row r="2" spans="2:22" x14ac:dyDescent="0.3">
      <c r="B2" s="173" t="s">
        <v>220</v>
      </c>
      <c r="C2" s="173"/>
      <c r="D2" s="173"/>
      <c r="E2" s="173"/>
      <c r="F2" s="147"/>
      <c r="G2" s="147"/>
      <c r="H2" s="147"/>
      <c r="I2" s="147"/>
      <c r="J2" s="147"/>
      <c r="K2" s="428" t="s">
        <v>231</v>
      </c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</row>
    <row r="4" spans="2:22" x14ac:dyDescent="0.3">
      <c r="B4" s="186" t="s">
        <v>20</v>
      </c>
      <c r="C4" s="186"/>
      <c r="D4" s="186"/>
      <c r="E4" s="187">
        <v>2023</v>
      </c>
      <c r="F4" s="187">
        <v>2024</v>
      </c>
      <c r="G4" s="187">
        <v>2025</v>
      </c>
      <c r="H4" s="187">
        <v>2026</v>
      </c>
      <c r="I4" s="187">
        <v>2027</v>
      </c>
      <c r="J4" s="186"/>
      <c r="K4" s="187" t="s">
        <v>25</v>
      </c>
      <c r="L4" s="187" t="s">
        <v>26</v>
      </c>
      <c r="M4" s="187" t="s">
        <v>27</v>
      </c>
      <c r="N4" s="187" t="s">
        <v>28</v>
      </c>
      <c r="O4" s="187" t="s">
        <v>29</v>
      </c>
      <c r="P4" s="187" t="s">
        <v>30</v>
      </c>
      <c r="Q4" s="187" t="s">
        <v>31</v>
      </c>
      <c r="R4" s="187" t="s">
        <v>32</v>
      </c>
      <c r="S4" s="187" t="s">
        <v>33</v>
      </c>
      <c r="T4" s="187" t="s">
        <v>34</v>
      </c>
      <c r="U4" s="187" t="s">
        <v>35</v>
      </c>
      <c r="V4" s="187" t="s">
        <v>36</v>
      </c>
    </row>
    <row r="5" spans="2:22" x14ac:dyDescent="0.3">
      <c r="B5" t="s">
        <v>37</v>
      </c>
      <c r="E5" s="194">
        <f>'Statements Summary 2023'!V5</f>
        <v>54409</v>
      </c>
      <c r="F5" s="194">
        <f>'Statements Summary 2024'!V5</f>
        <v>54409</v>
      </c>
      <c r="G5" s="194">
        <f>'Statements Summary 2025'!V5</f>
        <v>54409</v>
      </c>
      <c r="H5" s="194">
        <f>'Statements Summary 2026'!V5</f>
        <v>54409</v>
      </c>
      <c r="I5" s="194">
        <f t="shared" ref="I5:I17" si="0">V5</f>
        <v>54409</v>
      </c>
      <c r="K5" s="194">
        <f>'CF 2027'!G70</f>
        <v>31047</v>
      </c>
      <c r="L5" s="194">
        <f>'CF 2027'!H70</f>
        <v>31047</v>
      </c>
      <c r="M5" s="194">
        <f>'CF 2027'!I70</f>
        <v>48839</v>
      </c>
      <c r="N5" s="194">
        <f>'CF 2027'!J70</f>
        <v>52523</v>
      </c>
      <c r="O5" s="194">
        <f>'CF 2027'!K70</f>
        <v>53570</v>
      </c>
      <c r="P5" s="194">
        <f>'CF 2027'!L70</f>
        <v>55538</v>
      </c>
      <c r="Q5" s="194">
        <f>'CF 2027'!M70</f>
        <v>62721</v>
      </c>
      <c r="R5" s="194">
        <f>'CF 2027'!N70</f>
        <v>62690</v>
      </c>
      <c r="S5" s="194">
        <f>'CF 2027'!O70</f>
        <v>61702</v>
      </c>
      <c r="T5" s="194">
        <f>'CF 2027'!P70</f>
        <v>54136</v>
      </c>
      <c r="U5" s="194">
        <f>'CF 2027'!Q70</f>
        <v>54039</v>
      </c>
      <c r="V5" s="194">
        <f>'CF 2027'!R70</f>
        <v>54409</v>
      </c>
    </row>
    <row r="6" spans="2:22" x14ac:dyDescent="0.3">
      <c r="B6" t="s">
        <v>38</v>
      </c>
      <c r="E6" s="194">
        <f>'Statements Summary 2023'!V6</f>
        <v>-200</v>
      </c>
      <c r="F6" s="194">
        <f>'Statements Summary 2024'!V6</f>
        <v>-200</v>
      </c>
      <c r="G6" s="194">
        <f>'Statements Summary 2025'!V6</f>
        <v>-200</v>
      </c>
      <c r="H6" s="194">
        <f>'Statements Summary 2026'!V6</f>
        <v>-250</v>
      </c>
      <c r="I6" s="194">
        <f t="shared" si="0"/>
        <v>-250</v>
      </c>
      <c r="K6" s="194">
        <f>'CF 2027'!G71</f>
        <v>-250</v>
      </c>
      <c r="L6" s="194">
        <f>'CF 2027'!H71</f>
        <v>-250</v>
      </c>
      <c r="M6" s="194">
        <f>'CF 2027'!I71</f>
        <v>-250</v>
      </c>
      <c r="N6" s="194">
        <f>'CF 2027'!J71</f>
        <v>-250</v>
      </c>
      <c r="O6" s="194">
        <f>'CF 2027'!K71</f>
        <v>-250</v>
      </c>
      <c r="P6" s="194">
        <f>'CF 2027'!L71</f>
        <v>-250</v>
      </c>
      <c r="Q6" s="194">
        <f>'CF 2027'!M71</f>
        <v>-250</v>
      </c>
      <c r="R6" s="194">
        <f>'CF 2027'!N71</f>
        <v>-250</v>
      </c>
      <c r="S6" s="194">
        <f>'CF 2027'!O71</f>
        <v>-250</v>
      </c>
      <c r="T6" s="194">
        <f>'CF 2027'!P71</f>
        <v>-250</v>
      </c>
      <c r="U6" s="194">
        <f>'CF 2027'!Q71</f>
        <v>-250</v>
      </c>
      <c r="V6" s="194">
        <f>'CF 2027'!R71</f>
        <v>-250</v>
      </c>
    </row>
    <row r="7" spans="2:22" x14ac:dyDescent="0.3">
      <c r="B7" t="s">
        <v>39</v>
      </c>
      <c r="E7" s="194">
        <f>'Statements Summary 2023'!V7</f>
        <v>-3300</v>
      </c>
      <c r="F7" s="194">
        <f>'Statements Summary 2024'!V7</f>
        <v>-3300</v>
      </c>
      <c r="G7" s="194">
        <f>'Statements Summary 2025'!V7</f>
        <v>-3300</v>
      </c>
      <c r="H7" s="194">
        <f>'Statements Summary 2026'!V7</f>
        <v>-3300</v>
      </c>
      <c r="I7" s="194">
        <f t="shared" si="0"/>
        <v>0</v>
      </c>
      <c r="K7" s="194" t="s">
        <v>190</v>
      </c>
      <c r="L7" s="194">
        <f>'CF 2027'!H54</f>
        <v>0</v>
      </c>
      <c r="M7" s="194">
        <f>'CF 2027'!I54</f>
        <v>0</v>
      </c>
      <c r="N7" s="194">
        <f>'CF 2027'!J54</f>
        <v>0</v>
      </c>
      <c r="O7" s="194">
        <f>'CF 2027'!K54</f>
        <v>0</v>
      </c>
      <c r="P7" s="194">
        <f>'CF 2027'!L54</f>
        <v>0</v>
      </c>
      <c r="Q7" s="194">
        <f>'CF 2027'!M54</f>
        <v>0</v>
      </c>
      <c r="R7" s="194">
        <f>'CF 2027'!N54</f>
        <v>0</v>
      </c>
      <c r="S7" s="194">
        <f>'CF 2027'!O54</f>
        <v>0</v>
      </c>
      <c r="T7" s="194">
        <f>'CF 2027'!P54</f>
        <v>0</v>
      </c>
      <c r="U7" s="194">
        <f>'CF 2027'!Q54</f>
        <v>0</v>
      </c>
      <c r="V7" s="194">
        <f>'CF 2027'!R54</f>
        <v>0</v>
      </c>
    </row>
    <row r="8" spans="2:22" x14ac:dyDescent="0.3">
      <c r="B8" t="s">
        <v>14</v>
      </c>
      <c r="E8" s="194">
        <f>'Statements Summary 2023'!V8</f>
        <v>23102.6</v>
      </c>
      <c r="F8" s="194">
        <f>'Statements Summary 2024'!V8</f>
        <v>23102.6</v>
      </c>
      <c r="G8" s="194">
        <f>'Statements Summary 2025'!V8</f>
        <v>43959.8</v>
      </c>
      <c r="H8" s="194">
        <f>'Statements Summary 2026'!V8</f>
        <v>44642.2</v>
      </c>
      <c r="I8" s="194">
        <f t="shared" si="0"/>
        <v>44651</v>
      </c>
      <c r="K8" s="194">
        <f>'CF 2027'!G43</f>
        <v>24137.599999999999</v>
      </c>
      <c r="L8" s="194">
        <f>'CF 2027'!H43</f>
        <v>24302.6</v>
      </c>
      <c r="M8" s="194">
        <f>'CF 2027'!I43</f>
        <v>38701.199999999997</v>
      </c>
      <c r="N8" s="194">
        <f>'CF 2027'!J43</f>
        <v>41813.4</v>
      </c>
      <c r="O8" s="194">
        <f>'CF 2027'!K43</f>
        <v>42816</v>
      </c>
      <c r="P8" s="194">
        <f>'CF 2027'!L43</f>
        <v>44555.4</v>
      </c>
      <c r="Q8" s="194">
        <f>'CF 2027'!M43</f>
        <v>50466.8</v>
      </c>
      <c r="R8" s="194">
        <f>'CF 2027'!N43</f>
        <v>50615.8</v>
      </c>
      <c r="S8" s="194">
        <f>'CF 2027'!O43</f>
        <v>49990.400000000001</v>
      </c>
      <c r="T8" s="194">
        <f>'CF 2027'!P43</f>
        <v>44102.6</v>
      </c>
      <c r="U8" s="194">
        <f>'CF 2027'!Q43</f>
        <v>44190</v>
      </c>
      <c r="V8" s="194">
        <f>'CF 2027'!R43</f>
        <v>44651</v>
      </c>
    </row>
    <row r="9" spans="2:22" x14ac:dyDescent="0.3">
      <c r="B9" t="s">
        <v>40</v>
      </c>
      <c r="E9" s="194" t="str">
        <f>'Statements Summary 2023'!V9</f>
        <v>-</v>
      </c>
      <c r="F9" s="194" t="str">
        <f>'Statements Summary 2024'!V9</f>
        <v>-</v>
      </c>
      <c r="G9" s="194">
        <f>'Statements Summary 2025'!V9</f>
        <v>0</v>
      </c>
      <c r="H9" s="194">
        <f>'Statements Summary 2026'!V9</f>
        <v>0</v>
      </c>
      <c r="I9" s="194">
        <f t="shared" si="0"/>
        <v>0</v>
      </c>
      <c r="K9" s="194">
        <f>'CF 2027'!G48</f>
        <v>0</v>
      </c>
      <c r="L9" s="194">
        <f>'CF 2027'!H48</f>
        <v>0</v>
      </c>
      <c r="M9" s="194">
        <f>'CF 2027'!I48</f>
        <v>0</v>
      </c>
      <c r="N9" s="194">
        <f>'CF 2027'!J48</f>
        <v>0</v>
      </c>
      <c r="O9" s="194">
        <f>'CF 2027'!K48</f>
        <v>0</v>
      </c>
      <c r="P9" s="194">
        <f>'CF 2027'!L48</f>
        <v>0</v>
      </c>
      <c r="Q9" s="194">
        <f>'CF 2027'!M48</f>
        <v>0</v>
      </c>
      <c r="R9" s="194">
        <f>'CF 2027'!N48</f>
        <v>0</v>
      </c>
      <c r="S9" s="194">
        <f>'CF 2027'!O48</f>
        <v>0</v>
      </c>
      <c r="T9" s="194">
        <f>'CF 2027'!P48</f>
        <v>0</v>
      </c>
      <c r="U9" s="194">
        <f>'CF 2027'!Q48</f>
        <v>0</v>
      </c>
      <c r="V9" s="194">
        <f>'CF 2027'!R48</f>
        <v>0</v>
      </c>
    </row>
    <row r="10" spans="2:22" x14ac:dyDescent="0.3">
      <c r="B10" t="s">
        <v>41</v>
      </c>
      <c r="E10" s="194" t="str">
        <f>'Statements Summary 2023'!V10</f>
        <v>-</v>
      </c>
      <c r="F10" s="194" t="str">
        <f>'Statements Summary 2024'!V10</f>
        <v>-</v>
      </c>
      <c r="G10" s="194" t="str">
        <f>'Statements Summary 2025'!V10</f>
        <v>-</v>
      </c>
      <c r="H10" s="194" t="str">
        <f>'Statements Summary 2026'!V10</f>
        <v>-</v>
      </c>
      <c r="I10" s="194" t="str">
        <f t="shared" si="0"/>
        <v>-</v>
      </c>
      <c r="K10" s="194" t="s">
        <v>190</v>
      </c>
      <c r="L10" s="194" t="s">
        <v>190</v>
      </c>
      <c r="M10" s="194" t="s">
        <v>190</v>
      </c>
      <c r="N10" s="194" t="s">
        <v>190</v>
      </c>
      <c r="O10" s="194" t="s">
        <v>190</v>
      </c>
      <c r="P10" s="194" t="s">
        <v>190</v>
      </c>
      <c r="Q10" s="194" t="s">
        <v>190</v>
      </c>
      <c r="R10" s="194" t="s">
        <v>190</v>
      </c>
      <c r="S10" s="194" t="s">
        <v>190</v>
      </c>
      <c r="T10" s="194" t="s">
        <v>190</v>
      </c>
      <c r="U10" s="194" t="s">
        <v>190</v>
      </c>
      <c r="V10" s="194" t="s">
        <v>190</v>
      </c>
    </row>
    <row r="11" spans="2:22" x14ac:dyDescent="0.3">
      <c r="B11" t="s">
        <v>42</v>
      </c>
      <c r="E11" s="194" t="str">
        <f>'Statements Summary 2023'!V11</f>
        <v>-</v>
      </c>
      <c r="F11" s="194" t="str">
        <f>'Statements Summary 2024'!V11</f>
        <v>-</v>
      </c>
      <c r="G11" s="194" t="str">
        <f>'Statements Summary 2025'!V11</f>
        <v>-</v>
      </c>
      <c r="H11" s="194" t="str">
        <f>'Statements Summary 2026'!V11</f>
        <v>-</v>
      </c>
      <c r="I11" s="194" t="str">
        <f t="shared" si="0"/>
        <v>-</v>
      </c>
      <c r="K11" s="194">
        <f>'CF 2027'!G48</f>
        <v>0</v>
      </c>
      <c r="L11" s="194" t="s">
        <v>190</v>
      </c>
      <c r="M11" s="194" t="s">
        <v>190</v>
      </c>
      <c r="N11" s="194" t="s">
        <v>190</v>
      </c>
      <c r="O11" s="194" t="s">
        <v>190</v>
      </c>
      <c r="P11" s="194" t="s">
        <v>190</v>
      </c>
      <c r="Q11" s="194" t="s">
        <v>190</v>
      </c>
      <c r="R11" s="194" t="s">
        <v>190</v>
      </c>
      <c r="S11" s="194" t="s">
        <v>190</v>
      </c>
      <c r="T11" s="194" t="s">
        <v>190</v>
      </c>
      <c r="U11" s="194" t="s">
        <v>190</v>
      </c>
      <c r="V11" s="194" t="s">
        <v>190</v>
      </c>
    </row>
    <row r="12" spans="2:22" x14ac:dyDescent="0.3">
      <c r="B12" t="s">
        <v>43</v>
      </c>
      <c r="E12" s="194">
        <f>'Statements Summary 2023'!V12</f>
        <v>-3300</v>
      </c>
      <c r="F12" s="194">
        <f>'Statements Summary 2024'!V12</f>
        <v>-3300</v>
      </c>
      <c r="G12" s="194">
        <f>'Statements Summary 2025'!V12</f>
        <v>-3300</v>
      </c>
      <c r="H12" s="194">
        <f>'Statements Summary 2026'!V12</f>
        <v>-3300</v>
      </c>
      <c r="I12" s="194">
        <f t="shared" si="0"/>
        <v>0</v>
      </c>
      <c r="K12" s="194" t="s">
        <v>190</v>
      </c>
      <c r="L12" s="194">
        <f>'CF 2027'!H54</f>
        <v>0</v>
      </c>
      <c r="M12" s="194">
        <f>'CF 2027'!I54</f>
        <v>0</v>
      </c>
      <c r="N12" s="194">
        <f>'CF 2027'!J54</f>
        <v>0</v>
      </c>
      <c r="O12" s="194">
        <f>'CF 2027'!K54</f>
        <v>0</v>
      </c>
      <c r="P12" s="194">
        <f>'CF 2027'!L54</f>
        <v>0</v>
      </c>
      <c r="Q12" s="194">
        <f>'CF 2027'!M54</f>
        <v>0</v>
      </c>
      <c r="R12" s="194">
        <f>'CF 2027'!N54</f>
        <v>0</v>
      </c>
      <c r="S12" s="194">
        <f>'CF 2027'!O54</f>
        <v>0</v>
      </c>
      <c r="T12" s="194">
        <f>'CF 2027'!P54</f>
        <v>0</v>
      </c>
      <c r="U12" s="194">
        <f>'CF 2027'!Q54</f>
        <v>0</v>
      </c>
      <c r="V12" s="194">
        <f>'CF 2027'!R54</f>
        <v>0</v>
      </c>
    </row>
    <row r="13" spans="2:22" x14ac:dyDescent="0.3">
      <c r="B13" t="s">
        <v>44</v>
      </c>
      <c r="E13" s="194" t="str">
        <f>'Statements Summary 2023'!V13</f>
        <v>-</v>
      </c>
      <c r="F13" s="194" t="str">
        <f>'Statements Summary 2024'!V13</f>
        <v>-</v>
      </c>
      <c r="G13" s="194" t="str">
        <f>'Statements Summary 2025'!V13</f>
        <v>-</v>
      </c>
      <c r="H13" s="194" t="str">
        <f>'Statements Summary 2026'!V13</f>
        <v>-</v>
      </c>
      <c r="I13" s="194" t="str">
        <f t="shared" si="0"/>
        <v>-</v>
      </c>
      <c r="K13" s="194" t="s">
        <v>190</v>
      </c>
      <c r="L13" s="194" t="s">
        <v>190</v>
      </c>
      <c r="M13" s="194" t="s">
        <v>190</v>
      </c>
      <c r="N13" s="194" t="s">
        <v>190</v>
      </c>
      <c r="O13" s="194" t="s">
        <v>190</v>
      </c>
      <c r="P13" s="194" t="s">
        <v>190</v>
      </c>
      <c r="Q13" s="194" t="s">
        <v>190</v>
      </c>
      <c r="R13" s="194" t="s">
        <v>190</v>
      </c>
      <c r="S13" s="194" t="s">
        <v>190</v>
      </c>
      <c r="T13" s="194" t="s">
        <v>190</v>
      </c>
      <c r="U13" s="194" t="s">
        <v>190</v>
      </c>
      <c r="V13" s="194" t="s">
        <v>190</v>
      </c>
    </row>
    <row r="14" spans="2:22" x14ac:dyDescent="0.3">
      <c r="B14" t="s">
        <v>45</v>
      </c>
      <c r="E14" s="194" t="str">
        <f>'Statements Summary 2023'!V14</f>
        <v>-</v>
      </c>
      <c r="F14" s="194" t="str">
        <f>'Statements Summary 2024'!V14</f>
        <v>-</v>
      </c>
      <c r="G14" s="194" t="str">
        <f>'Statements Summary 2025'!V14</f>
        <v>-</v>
      </c>
      <c r="H14" s="194" t="str">
        <f>'Statements Summary 2026'!V14</f>
        <v>-</v>
      </c>
      <c r="I14" s="194" t="str">
        <f t="shared" si="0"/>
        <v>-</v>
      </c>
      <c r="K14" s="194" t="s">
        <v>190</v>
      </c>
      <c r="L14" s="194" t="s">
        <v>190</v>
      </c>
      <c r="M14" s="194" t="s">
        <v>190</v>
      </c>
      <c r="N14" s="194" t="s">
        <v>190</v>
      </c>
      <c r="O14" s="194" t="s">
        <v>190</v>
      </c>
      <c r="P14" s="194" t="s">
        <v>190</v>
      </c>
      <c r="Q14" s="194" t="s">
        <v>190</v>
      </c>
      <c r="R14" s="194" t="s">
        <v>190</v>
      </c>
      <c r="S14" s="194" t="s">
        <v>190</v>
      </c>
      <c r="T14" s="194" t="s">
        <v>190</v>
      </c>
      <c r="U14" s="194" t="s">
        <v>190</v>
      </c>
      <c r="V14" s="194" t="s">
        <v>190</v>
      </c>
    </row>
    <row r="15" spans="2:22" x14ac:dyDescent="0.3">
      <c r="B15" t="s">
        <v>46</v>
      </c>
      <c r="E15" s="194">
        <f>'Statements Summary 2023'!V15</f>
        <v>-3300</v>
      </c>
      <c r="F15" s="194">
        <f>'Statements Summary 2024'!V15</f>
        <v>-3300</v>
      </c>
      <c r="G15" s="194">
        <f>'Statements Summary 2025'!V15</f>
        <v>-3300</v>
      </c>
      <c r="H15" s="194">
        <f>'Statements Summary 2026'!V15</f>
        <v>-3300</v>
      </c>
      <c r="I15" s="194">
        <f t="shared" si="0"/>
        <v>0</v>
      </c>
      <c r="K15" s="194" t="s">
        <v>190</v>
      </c>
      <c r="L15" s="194">
        <f>'CF 2027'!H54</f>
        <v>0</v>
      </c>
      <c r="M15" s="194">
        <f>'CF 2027'!I54</f>
        <v>0</v>
      </c>
      <c r="N15" s="194">
        <f>'CF 2027'!J54</f>
        <v>0</v>
      </c>
      <c r="O15" s="194">
        <f>'CF 2027'!K54</f>
        <v>0</v>
      </c>
      <c r="P15" s="194">
        <f>'CF 2027'!L54</f>
        <v>0</v>
      </c>
      <c r="Q15" s="194">
        <f>'CF 2027'!M54</f>
        <v>0</v>
      </c>
      <c r="R15" s="194">
        <f>'CF 2027'!N54</f>
        <v>0</v>
      </c>
      <c r="S15" s="194">
        <f>'CF 2027'!O54</f>
        <v>0</v>
      </c>
      <c r="T15" s="194">
        <f>'CF 2027'!P54</f>
        <v>0</v>
      </c>
      <c r="U15" s="194">
        <f>'CF 2027'!Q54</f>
        <v>0</v>
      </c>
      <c r="V15" s="194">
        <f>'CF 2027'!R54</f>
        <v>0</v>
      </c>
    </row>
    <row r="16" spans="2:22" x14ac:dyDescent="0.3">
      <c r="B16" t="s">
        <v>195</v>
      </c>
      <c r="E16" s="194">
        <f>'Statements Summary 2023'!V16</f>
        <v>23102.6</v>
      </c>
      <c r="F16" s="194">
        <f>'Statements Summary 2024'!V16</f>
        <v>23102.6</v>
      </c>
      <c r="G16" s="194">
        <f>'Statements Summary 2025'!V16</f>
        <v>43959.8</v>
      </c>
      <c r="H16" s="194">
        <f>'Statements Summary 2026'!V16</f>
        <v>44642.2</v>
      </c>
      <c r="I16" s="194">
        <f t="shared" si="0"/>
        <v>44651</v>
      </c>
      <c r="K16" s="194">
        <f>'CF 2027'!G43</f>
        <v>24137.599999999999</v>
      </c>
      <c r="L16" s="194">
        <f>'CF 2027'!H43</f>
        <v>24302.6</v>
      </c>
      <c r="M16" s="194">
        <f>'CF 2027'!I43</f>
        <v>38701.199999999997</v>
      </c>
      <c r="N16" s="194">
        <f>'CF 2027'!J43</f>
        <v>41813.4</v>
      </c>
      <c r="O16" s="194">
        <f>'CF 2027'!K43</f>
        <v>42816</v>
      </c>
      <c r="P16" s="194">
        <f>'CF 2027'!L43</f>
        <v>44555.4</v>
      </c>
      <c r="Q16" s="194">
        <f>'CF 2027'!M43</f>
        <v>50466.8</v>
      </c>
      <c r="R16" s="194">
        <f>'CF 2027'!N43</f>
        <v>50615.8</v>
      </c>
      <c r="S16" s="194">
        <f>'CF 2027'!O43</f>
        <v>49990.400000000001</v>
      </c>
      <c r="T16" s="194">
        <f>'CF 2027'!P43</f>
        <v>44102.6</v>
      </c>
      <c r="U16" s="194">
        <f>'CF 2027'!Q43</f>
        <v>44190</v>
      </c>
      <c r="V16" s="194">
        <f>'CF 2027'!R43</f>
        <v>44651</v>
      </c>
    </row>
    <row r="17" spans="2:22" x14ac:dyDescent="0.3">
      <c r="B17" t="s">
        <v>47</v>
      </c>
      <c r="E17" s="194">
        <f>'Statements Summary 2023'!V17</f>
        <v>42905.200000000004</v>
      </c>
      <c r="F17" s="194">
        <f>'Statements Summary 2024'!V17</f>
        <v>42905.200000000004</v>
      </c>
      <c r="G17" s="194">
        <f>'Statements Summary 2025'!V17</f>
        <v>84619.6</v>
      </c>
      <c r="H17" s="194">
        <f>'Statements Summary 2026'!V17</f>
        <v>85984.4</v>
      </c>
      <c r="I17" s="194">
        <f t="shared" si="0"/>
        <v>89302</v>
      </c>
      <c r="K17" s="194">
        <f>'CF 2027'!G64+'CF 2027'!G40+'CF 2027'!G41</f>
        <v>48275.199999999997</v>
      </c>
      <c r="L17" s="194">
        <f>'CF 2027'!H64+'CF 2027'!H40+'CF 2027'!H41</f>
        <v>48605.2</v>
      </c>
      <c r="M17" s="194">
        <f>'CF 2027'!I64+'CF 2027'!I40+'CF 2027'!I41</f>
        <v>77402.399999999994</v>
      </c>
      <c r="N17" s="194">
        <f>'CF 2027'!J64+'CF 2027'!J40+'CF 2027'!J41</f>
        <v>83626.799999999988</v>
      </c>
      <c r="O17" s="194">
        <f>'CF 2027'!K64+'CF 2027'!K40+'CF 2027'!K41</f>
        <v>85632</v>
      </c>
      <c r="P17" s="194">
        <f>'CF 2027'!L64+'CF 2027'!L40+'CF 2027'!L41</f>
        <v>89110.799999999988</v>
      </c>
      <c r="Q17" s="194">
        <f>'CF 2027'!M64+'CF 2027'!M40+'CF 2027'!M41</f>
        <v>100933.6</v>
      </c>
      <c r="R17" s="194">
        <f>'CF 2027'!N64+'CF 2027'!N40+'CF 2027'!N41</f>
        <v>101231.6</v>
      </c>
      <c r="S17" s="194">
        <f>'CF 2027'!O64+'CF 2027'!O40+'CF 2027'!O41</f>
        <v>99980.799999999988</v>
      </c>
      <c r="T17" s="194">
        <f>'CF 2027'!P64+'CF 2027'!P40+'CF 2027'!P41</f>
        <v>88205.200000000012</v>
      </c>
      <c r="U17" s="194">
        <f>'CF 2027'!Q64+'CF 2027'!Q40+'CF 2027'!Q41</f>
        <v>88380</v>
      </c>
      <c r="V17" s="194">
        <f>'CF 2027'!R64+'CF 2027'!R40+'CF 2027'!R41</f>
        <v>89302</v>
      </c>
    </row>
    <row r="19" spans="2:22" x14ac:dyDescent="0.3">
      <c r="B19" s="173" t="s">
        <v>220</v>
      </c>
      <c r="C19" s="147"/>
      <c r="D19" s="147"/>
      <c r="E19" s="147"/>
      <c r="F19" s="147"/>
      <c r="G19" s="147"/>
      <c r="H19" s="147"/>
      <c r="I19" s="147"/>
      <c r="K19" s="428" t="s">
        <v>231</v>
      </c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</row>
    <row r="42" spans="2:22" x14ac:dyDescent="0.3">
      <c r="B42" s="173" t="s">
        <v>221</v>
      </c>
      <c r="C42" s="173"/>
      <c r="D42" s="173"/>
      <c r="E42" s="173"/>
      <c r="F42" s="147"/>
      <c r="G42" s="147"/>
      <c r="H42" s="147"/>
      <c r="I42" s="147"/>
      <c r="J42" s="147"/>
      <c r="K42" s="428" t="s">
        <v>223</v>
      </c>
      <c r="L42" s="428"/>
      <c r="M42" s="428"/>
      <c r="N42" s="428"/>
      <c r="O42" s="428"/>
      <c r="P42" s="428"/>
      <c r="Q42" s="428"/>
      <c r="R42" s="428"/>
      <c r="S42" s="428"/>
      <c r="T42" s="428"/>
      <c r="U42" s="428"/>
      <c r="V42" s="428"/>
    </row>
    <row r="44" spans="2:22" x14ac:dyDescent="0.3">
      <c r="B44" s="186" t="s">
        <v>20</v>
      </c>
      <c r="C44" s="186"/>
      <c r="D44" s="186"/>
      <c r="E44" s="187">
        <v>2023</v>
      </c>
      <c r="F44" s="187">
        <v>2024</v>
      </c>
      <c r="G44" s="187">
        <v>2025</v>
      </c>
      <c r="H44" s="187">
        <v>2026</v>
      </c>
      <c r="I44" s="187">
        <v>2027</v>
      </c>
      <c r="J44" s="186"/>
      <c r="K44" s="186" t="s">
        <v>25</v>
      </c>
      <c r="L44" s="186" t="s">
        <v>26</v>
      </c>
      <c r="M44" s="186" t="s">
        <v>27</v>
      </c>
      <c r="N44" s="186" t="s">
        <v>28</v>
      </c>
      <c r="O44" s="186" t="s">
        <v>29</v>
      </c>
      <c r="P44" s="186" t="s">
        <v>30</v>
      </c>
      <c r="Q44" s="186" t="s">
        <v>31</v>
      </c>
      <c r="R44" s="186" t="s">
        <v>32</v>
      </c>
      <c r="S44" s="186" t="s">
        <v>33</v>
      </c>
      <c r="T44" s="186" t="s">
        <v>34</v>
      </c>
      <c r="U44" s="186" t="s">
        <v>35</v>
      </c>
      <c r="V44" s="186" t="s">
        <v>36</v>
      </c>
    </row>
    <row r="45" spans="2:22" x14ac:dyDescent="0.3">
      <c r="B45" s="14" t="s">
        <v>2</v>
      </c>
      <c r="C45" s="14"/>
      <c r="D45" s="14"/>
      <c r="E45" s="188">
        <f>'Statements Summary 2023'!V44</f>
        <v>54409</v>
      </c>
      <c r="F45" s="188">
        <f>'Statements Summary 2024'!V44</f>
        <v>54409</v>
      </c>
      <c r="G45" s="188">
        <f>'Statements Summary 2025'!V45</f>
        <v>54409</v>
      </c>
      <c r="H45" s="188">
        <f>'Statements Summary 2026'!V45</f>
        <v>54409</v>
      </c>
      <c r="I45" s="188">
        <f t="shared" ref="I45:I65" si="1">V45</f>
        <v>54409</v>
      </c>
      <c r="K45" s="188">
        <f>'IS 2027'!F34</f>
        <v>31047</v>
      </c>
      <c r="L45" s="188">
        <f>'IS 2027'!G34</f>
        <v>31047</v>
      </c>
      <c r="M45" s="188">
        <f>'IS 2027'!H34</f>
        <v>48839</v>
      </c>
      <c r="N45" s="188">
        <f>'IS 2027'!I34</f>
        <v>52523</v>
      </c>
      <c r="O45" s="188">
        <f>'IS 2027'!J34</f>
        <v>53570</v>
      </c>
      <c r="P45" s="188">
        <f>'IS 2027'!K34</f>
        <v>55538</v>
      </c>
      <c r="Q45" s="188">
        <f>'IS 2027'!L34</f>
        <v>62721</v>
      </c>
      <c r="R45" s="188">
        <f>'IS 2027'!M34</f>
        <v>62690</v>
      </c>
      <c r="S45" s="188">
        <f>'IS 2027'!N34</f>
        <v>61702</v>
      </c>
      <c r="T45" s="188">
        <f>'IS 2027'!O34</f>
        <v>54136</v>
      </c>
      <c r="U45" s="188">
        <f>'IS 2027'!P34</f>
        <v>54039</v>
      </c>
      <c r="V45" s="188">
        <f>'IS 2027'!Q34</f>
        <v>54409</v>
      </c>
    </row>
    <row r="46" spans="2:22" x14ac:dyDescent="0.3">
      <c r="B46" t="s">
        <v>21</v>
      </c>
      <c r="E46" s="1">
        <f>'Statements Summary 2023'!V45</f>
        <v>6.8469068635615016E-3</v>
      </c>
      <c r="F46" s="2">
        <f>'Statements Summary 2024'!V45</f>
        <v>6.8469068635615016E-3</v>
      </c>
      <c r="G46" s="2">
        <f>'Statements Summary 2025'!V46</f>
        <v>6.8469068635615016E-3</v>
      </c>
      <c r="H46" s="2">
        <f>'Statements Summary 2026'!V46</f>
        <v>6.8469068635615016E-3</v>
      </c>
      <c r="I46" s="2">
        <f t="shared" si="1"/>
        <v>6.8469068635615016E-3</v>
      </c>
      <c r="K46" s="2"/>
      <c r="L46" s="2">
        <f t="shared" ref="L46" si="2">(L45-K45)/K45</f>
        <v>0</v>
      </c>
      <c r="M46" s="2">
        <f>(M45-L45)/L45</f>
        <v>0.57306664089928172</v>
      </c>
      <c r="N46" s="2">
        <f>(N45-M45)/M45</f>
        <v>7.5431519891889676E-2</v>
      </c>
      <c r="O46" s="2">
        <f t="shared" ref="O46:T46" si="3">(O45-N45)/N45</f>
        <v>1.9934124098014202E-2</v>
      </c>
      <c r="P46" s="2">
        <f t="shared" si="3"/>
        <v>3.6736979652790741E-2</v>
      </c>
      <c r="Q46" s="2">
        <f t="shared" si="3"/>
        <v>0.12933486981886277</v>
      </c>
      <c r="R46" s="2">
        <f t="shared" si="3"/>
        <v>-4.9425232378310291E-4</v>
      </c>
      <c r="S46" s="2">
        <f t="shared" si="3"/>
        <v>-1.5760089328441539E-2</v>
      </c>
      <c r="T46" s="2">
        <f t="shared" si="3"/>
        <v>-0.12262163301027519</v>
      </c>
      <c r="U46" s="2">
        <f>(U45-T45)/T45</f>
        <v>-1.791783655977538E-3</v>
      </c>
      <c r="V46" s="2">
        <f t="shared" ref="V46" si="4">(V45-U45)/U45</f>
        <v>6.8469068635615016E-3</v>
      </c>
    </row>
    <row r="47" spans="2:22" x14ac:dyDescent="0.3">
      <c r="B47" t="s">
        <v>3</v>
      </c>
      <c r="E47" s="1">
        <f>'Statements Summary 2023'!V46</f>
        <v>-3334</v>
      </c>
      <c r="F47" s="1">
        <f>'Statements Summary 2024'!V46</f>
        <v>-3334</v>
      </c>
      <c r="G47" s="1">
        <f>'Statements Summary 2025'!V47</f>
        <v>-2545</v>
      </c>
      <c r="H47" s="1">
        <f>'Statements Summary 2026'!V47</f>
        <v>-2545</v>
      </c>
      <c r="I47" s="1">
        <f t="shared" si="1"/>
        <v>-2545</v>
      </c>
      <c r="K47" s="1">
        <f>'IS 2027'!F35</f>
        <v>-2545</v>
      </c>
      <c r="L47" s="1">
        <f>'IS 2027'!G35</f>
        <v>-2545</v>
      </c>
      <c r="M47" s="1">
        <f>'IS 2027'!H35</f>
        <v>-2545</v>
      </c>
      <c r="N47" s="1">
        <f>'IS 2027'!I35</f>
        <v>-2545</v>
      </c>
      <c r="O47" s="1">
        <f>'IS 2027'!J35</f>
        <v>-2545</v>
      </c>
      <c r="P47" s="1">
        <f>'IS 2027'!K35</f>
        <v>-2545</v>
      </c>
      <c r="Q47" s="1">
        <f>'IS 2027'!L35</f>
        <v>-2545</v>
      </c>
      <c r="R47" s="1">
        <f>'IS 2027'!M35</f>
        <v>-2545</v>
      </c>
      <c r="S47" s="1">
        <f>'IS 2027'!N35</f>
        <v>-2545</v>
      </c>
      <c r="T47" s="1">
        <f>'IS 2027'!O35</f>
        <v>-2545</v>
      </c>
      <c r="U47" s="1">
        <f>'IS 2027'!P35</f>
        <v>-2545</v>
      </c>
      <c r="V47" s="1">
        <f>'IS 2027'!Q35</f>
        <v>-2545</v>
      </c>
    </row>
    <row r="48" spans="2:22" x14ac:dyDescent="0.3">
      <c r="B48" t="s">
        <v>22</v>
      </c>
      <c r="E48" s="2">
        <f>'Statements Summary 2023'!V47</f>
        <v>-6.1276627028616588E-2</v>
      </c>
      <c r="F48" s="2">
        <f>'Statements Summary 2024'!V47</f>
        <v>-6.1276627028616588E-2</v>
      </c>
      <c r="G48" s="2">
        <f>'Statements Summary 2025'!V48</f>
        <v>-4.6775349666415486E-2</v>
      </c>
      <c r="H48" s="2">
        <f>'Statements Summary 2026'!V48</f>
        <v>-4.6775349666415486E-2</v>
      </c>
      <c r="I48" s="2">
        <f t="shared" si="1"/>
        <v>-4.6775349666415486E-2</v>
      </c>
      <c r="K48" s="2">
        <f>K47/K45</f>
        <v>-8.197249331658453E-2</v>
      </c>
      <c r="L48" s="2">
        <f t="shared" ref="L48:V48" si="5">L47/L45</f>
        <v>-8.197249331658453E-2</v>
      </c>
      <c r="M48" s="2">
        <f t="shared" si="5"/>
        <v>-5.2109994062122487E-2</v>
      </c>
      <c r="N48" s="2">
        <f t="shared" si="5"/>
        <v>-4.8454962587818673E-2</v>
      </c>
      <c r="O48" s="2">
        <f t="shared" si="5"/>
        <v>-4.7507933544894528E-2</v>
      </c>
      <c r="P48" s="2">
        <f t="shared" si="5"/>
        <v>-4.5824480535849331E-2</v>
      </c>
      <c r="Q48" s="2">
        <f t="shared" si="5"/>
        <v>-4.0576521420257965E-2</v>
      </c>
      <c r="R48" s="2">
        <f t="shared" si="5"/>
        <v>-4.0596586377412668E-2</v>
      </c>
      <c r="S48" s="2">
        <f t="shared" si="5"/>
        <v>-4.1246637062007714E-2</v>
      </c>
      <c r="T48" s="2">
        <f t="shared" si="5"/>
        <v>-4.7011230973843653E-2</v>
      </c>
      <c r="U48" s="2">
        <f t="shared" si="5"/>
        <v>-4.7095616129091952E-2</v>
      </c>
      <c r="V48" s="2">
        <f t="shared" si="5"/>
        <v>-4.6775349666415486E-2</v>
      </c>
    </row>
    <row r="49" spans="2:22" x14ac:dyDescent="0.3">
      <c r="B49" t="s">
        <v>4</v>
      </c>
      <c r="E49" s="1">
        <f>'Statements Summary 2023'!V48</f>
        <v>51075</v>
      </c>
      <c r="F49" s="1">
        <f>'Statements Summary 2024'!V48</f>
        <v>51075</v>
      </c>
      <c r="G49" s="1">
        <f>'Statements Summary 2025'!V49</f>
        <v>51864</v>
      </c>
      <c r="H49" s="1">
        <f>'Statements Summary 2026'!V49</f>
        <v>51864</v>
      </c>
      <c r="I49" s="1">
        <f t="shared" si="1"/>
        <v>51864</v>
      </c>
      <c r="K49" s="1">
        <f>'IS 2027'!F44</f>
        <v>28502</v>
      </c>
      <c r="L49" s="1">
        <f>'IS 2027'!G44</f>
        <v>28502</v>
      </c>
      <c r="M49" s="1">
        <f>'IS 2027'!H44</f>
        <v>46294</v>
      </c>
      <c r="N49" s="1">
        <f>'IS 2027'!I44</f>
        <v>49978</v>
      </c>
      <c r="O49" s="1">
        <f>'IS 2027'!J44</f>
        <v>51025</v>
      </c>
      <c r="P49" s="1">
        <f>'IS 2027'!K44</f>
        <v>52993</v>
      </c>
      <c r="Q49" s="1">
        <f>'IS 2027'!L44</f>
        <v>60176</v>
      </c>
      <c r="R49" s="1">
        <f>'IS 2027'!M44</f>
        <v>60145</v>
      </c>
      <c r="S49" s="1">
        <f>'IS 2027'!N44</f>
        <v>59157</v>
      </c>
      <c r="T49" s="1">
        <f>'IS 2027'!O44</f>
        <v>51591</v>
      </c>
      <c r="U49" s="1">
        <f>'IS 2027'!P44</f>
        <v>51494</v>
      </c>
      <c r="V49" s="1">
        <f>'IS 2027'!Q44</f>
        <v>51864</v>
      </c>
    </row>
    <row r="50" spans="2:22" x14ac:dyDescent="0.3">
      <c r="B50" t="s">
        <v>23</v>
      </c>
      <c r="E50" s="2">
        <f>'Statements Summary 2023'!V49</f>
        <v>0.93872337297138342</v>
      </c>
      <c r="F50" s="2">
        <f>'Statements Summary 2024'!V49</f>
        <v>0.93872337297138342</v>
      </c>
      <c r="G50" s="2">
        <f>'Statements Summary 2025'!V50</f>
        <v>0.9532246503335845</v>
      </c>
      <c r="H50" s="2">
        <f>'Statements Summary 2026'!V50</f>
        <v>0.9532246503335845</v>
      </c>
      <c r="I50" s="2">
        <f t="shared" si="1"/>
        <v>0.9532246503335845</v>
      </c>
      <c r="K50" s="2">
        <f>K49/K45</f>
        <v>0.91802750668341548</v>
      </c>
      <c r="L50" s="2">
        <f t="shared" ref="L50:V50" si="6">L49/L45</f>
        <v>0.91802750668341548</v>
      </c>
      <c r="M50" s="2">
        <f t="shared" si="6"/>
        <v>0.94789000593787753</v>
      </c>
      <c r="N50" s="2">
        <f t="shared" si="6"/>
        <v>0.95154503741218133</v>
      </c>
      <c r="O50" s="2">
        <f t="shared" si="6"/>
        <v>0.95249206645510542</v>
      </c>
      <c r="P50" s="2">
        <f t="shared" si="6"/>
        <v>0.95417551946415069</v>
      </c>
      <c r="Q50" s="2">
        <f t="shared" si="6"/>
        <v>0.95942347857974208</v>
      </c>
      <c r="R50" s="2">
        <f t="shared" si="6"/>
        <v>0.9594034136225873</v>
      </c>
      <c r="S50" s="2">
        <f t="shared" si="6"/>
        <v>0.95875336293799229</v>
      </c>
      <c r="T50" s="2">
        <f t="shared" si="6"/>
        <v>0.95298876902615637</v>
      </c>
      <c r="U50" s="2">
        <f t="shared" si="6"/>
        <v>0.95290438387090803</v>
      </c>
      <c r="V50" s="2">
        <f t="shared" si="6"/>
        <v>0.9532246503335845</v>
      </c>
    </row>
    <row r="51" spans="2:22" x14ac:dyDescent="0.3">
      <c r="B51" t="s">
        <v>5</v>
      </c>
      <c r="E51" s="1">
        <f>'Statements Summary 2023'!V50</f>
        <v>-1443</v>
      </c>
      <c r="F51" s="1">
        <f>'Statements Summary 2024'!V50</f>
        <v>-1443</v>
      </c>
      <c r="G51" s="1">
        <f>'Statements Summary 2025'!V51</f>
        <v>-5549</v>
      </c>
      <c r="H51" s="1">
        <f>'Statements Summary 2026'!V51</f>
        <v>-5549</v>
      </c>
      <c r="I51" s="1">
        <f t="shared" si="1"/>
        <v>-5549</v>
      </c>
      <c r="K51" s="1">
        <f>'IS 2027'!F56</f>
        <v>-5549</v>
      </c>
      <c r="L51" s="1">
        <f>'IS 2027'!G56</f>
        <v>-5549</v>
      </c>
      <c r="M51" s="1">
        <f>'IS 2027'!H56</f>
        <v>-5549</v>
      </c>
      <c r="N51" s="1">
        <f>'IS 2027'!I56</f>
        <v>-5549</v>
      </c>
      <c r="O51" s="1">
        <f>'IS 2027'!J56</f>
        <v>-5549</v>
      </c>
      <c r="P51" s="1">
        <f>'IS 2027'!K56</f>
        <v>-5549</v>
      </c>
      <c r="Q51" s="1">
        <f>'IS 2027'!L56</f>
        <v>-5549</v>
      </c>
      <c r="R51" s="1">
        <f>'IS 2027'!M56</f>
        <v>-5549</v>
      </c>
      <c r="S51" s="1">
        <f>'IS 2027'!N56</f>
        <v>-5549</v>
      </c>
      <c r="T51" s="1">
        <f>'IS 2027'!O56</f>
        <v>-5549</v>
      </c>
      <c r="U51" s="1">
        <f>'IS 2027'!P56</f>
        <v>-5549</v>
      </c>
      <c r="V51" s="1">
        <f>'IS 2027'!Q56</f>
        <v>-5549</v>
      </c>
    </row>
    <row r="52" spans="2:22" x14ac:dyDescent="0.3">
      <c r="B52" t="s">
        <v>22</v>
      </c>
      <c r="E52" s="2">
        <f>'Statements Summary 2023'!V51</f>
        <v>-2.6521347571173887E-2</v>
      </c>
      <c r="F52" s="2">
        <f>'Statements Summary 2024'!V51</f>
        <v>-2.6521347571173887E-2</v>
      </c>
      <c r="G52" s="2">
        <f>'Statements Summary 2025'!V52</f>
        <v>-0.10198680365380727</v>
      </c>
      <c r="H52" s="2">
        <f>'Statements Summary 2026'!V52</f>
        <v>-0.10198680365380727</v>
      </c>
      <c r="I52" s="2">
        <f t="shared" si="1"/>
        <v>-0.10198680365380727</v>
      </c>
      <c r="K52" s="2">
        <f>K51/K45</f>
        <v>-0.17872902373820337</v>
      </c>
      <c r="L52" s="2">
        <f t="shared" ref="L52:V52" si="7">L51/L45</f>
        <v>-0.17872902373820337</v>
      </c>
      <c r="M52" s="2">
        <f t="shared" si="7"/>
        <v>-0.11361821495116607</v>
      </c>
      <c r="N52" s="2">
        <f t="shared" si="7"/>
        <v>-0.10564895379167222</v>
      </c>
      <c r="O52" s="2">
        <f t="shared" si="7"/>
        <v>-0.10358409557588202</v>
      </c>
      <c r="P52" s="2">
        <f t="shared" si="7"/>
        <v>-9.9913572688969721E-2</v>
      </c>
      <c r="Q52" s="2">
        <f t="shared" si="7"/>
        <v>-8.8471165957175427E-2</v>
      </c>
      <c r="R52" s="2">
        <f t="shared" si="7"/>
        <v>-8.8514914659435312E-2</v>
      </c>
      <c r="S52" s="2">
        <f t="shared" si="7"/>
        <v>-8.9932255032251787E-2</v>
      </c>
      <c r="T52" s="2">
        <f t="shared" si="7"/>
        <v>-0.1025011083197872</v>
      </c>
      <c r="U52" s="2">
        <f t="shared" si="7"/>
        <v>-0.10268509779973722</v>
      </c>
      <c r="V52" s="2">
        <f t="shared" si="7"/>
        <v>-0.10198680365380727</v>
      </c>
    </row>
    <row r="53" spans="2:22" x14ac:dyDescent="0.3">
      <c r="B53" t="s">
        <v>191</v>
      </c>
      <c r="E53" s="1">
        <f>'Statements Summary 2023'!V52</f>
        <v>-5063</v>
      </c>
      <c r="F53" s="1">
        <f>'Statements Summary 2024'!V52</f>
        <v>-5063</v>
      </c>
      <c r="G53" s="1">
        <f>'Statements Summary 2025'!V53</f>
        <v>-5063</v>
      </c>
      <c r="H53" s="1">
        <f>'Statements Summary 2026'!V53</f>
        <v>-5063</v>
      </c>
      <c r="I53" s="1">
        <f t="shared" si="1"/>
        <v>-45063</v>
      </c>
      <c r="K53" s="1">
        <f>'IS 2027'!F57</f>
        <v>-45063</v>
      </c>
      <c r="L53" s="1">
        <f>'IS 2027'!G57</f>
        <v>-45063</v>
      </c>
      <c r="M53" s="1">
        <f>'IS 2027'!H57</f>
        <v>-45063</v>
      </c>
      <c r="N53" s="1">
        <f>'IS 2027'!I57</f>
        <v>-45063</v>
      </c>
      <c r="O53" s="1">
        <f>'IS 2027'!J57</f>
        <v>-45063</v>
      </c>
      <c r="P53" s="1">
        <f>'IS 2027'!K57</f>
        <v>-45063</v>
      </c>
      <c r="Q53" s="1">
        <f>'IS 2027'!L57</f>
        <v>-45063</v>
      </c>
      <c r="R53" s="1">
        <f>'IS 2027'!M57</f>
        <v>-45063</v>
      </c>
      <c r="S53" s="1">
        <f>'IS 2027'!N57</f>
        <v>-45063</v>
      </c>
      <c r="T53" s="1">
        <f>'IS 2027'!O57</f>
        <v>-45063</v>
      </c>
      <c r="U53" s="1">
        <f>'IS 2027'!P57</f>
        <v>-45063</v>
      </c>
      <c r="V53" s="1">
        <f>'IS 2027'!Q57</f>
        <v>-45063</v>
      </c>
    </row>
    <row r="54" spans="2:22" x14ac:dyDescent="0.3">
      <c r="B54" t="s">
        <v>22</v>
      </c>
      <c r="E54" s="2">
        <f>'Statements Summary 2023'!V53</f>
        <v>-9.3054457902185306E-2</v>
      </c>
      <c r="F54" s="2">
        <f>'Statements Summary 2024'!V53</f>
        <v>-9.3054457902185306E-2</v>
      </c>
      <c r="G54" s="2">
        <f>'Statements Summary 2025'!V54</f>
        <v>-9.3054457902185306E-2</v>
      </c>
      <c r="H54" s="2">
        <f>'Statements Summary 2026'!V54</f>
        <v>-9.3054457902185306E-2</v>
      </c>
      <c r="I54" s="2">
        <f t="shared" si="1"/>
        <v>-0.82822694774761529</v>
      </c>
      <c r="K54" s="2">
        <f>K53/K45</f>
        <v>-1.4514445840177794</v>
      </c>
      <c r="L54" s="2">
        <f t="shared" ref="L54:V54" si="8">L53/L45</f>
        <v>-1.4514445840177794</v>
      </c>
      <c r="M54" s="2">
        <f t="shared" si="8"/>
        <v>-0.92268473965478404</v>
      </c>
      <c r="N54" s="2">
        <f t="shared" si="8"/>
        <v>-0.85796698589189502</v>
      </c>
      <c r="O54" s="2">
        <f t="shared" si="8"/>
        <v>-0.84119843195818556</v>
      </c>
      <c r="P54" s="2">
        <f t="shared" si="8"/>
        <v>-0.81139039936619972</v>
      </c>
      <c r="Q54" s="2">
        <f t="shared" si="8"/>
        <v>-0.71846749892380546</v>
      </c>
      <c r="R54" s="2">
        <f t="shared" si="8"/>
        <v>-0.71882277875259215</v>
      </c>
      <c r="S54" s="2">
        <f t="shared" si="8"/>
        <v>-0.73033289034391102</v>
      </c>
      <c r="T54" s="2">
        <f t="shared" si="8"/>
        <v>-0.83240357617851335</v>
      </c>
      <c r="U54" s="2">
        <f t="shared" si="8"/>
        <v>-0.83389774052073506</v>
      </c>
      <c r="V54" s="2">
        <f t="shared" si="8"/>
        <v>-0.82822694774761529</v>
      </c>
    </row>
    <row r="55" spans="2:22" x14ac:dyDescent="0.3">
      <c r="B55" t="s">
        <v>24</v>
      </c>
      <c r="E55" s="1">
        <f>'Statements Summary 2023'!V54</f>
        <v>-7800</v>
      </c>
      <c r="F55" s="1">
        <f>'Statements Summary 2024'!V54</f>
        <v>-7800</v>
      </c>
      <c r="G55" s="1">
        <f>'Statements Summary 2025'!V55</f>
        <v>-7250</v>
      </c>
      <c r="H55" s="1">
        <f>'Statements Summary 2026'!V55</f>
        <v>-7250</v>
      </c>
      <c r="I55" s="1">
        <f t="shared" si="1"/>
        <v>-7250</v>
      </c>
      <c r="K55" s="1">
        <f>'IS 2027'!F75</f>
        <v>-7250</v>
      </c>
      <c r="L55" s="1">
        <f>'IS 2027'!G75</f>
        <v>-7250</v>
      </c>
      <c r="M55" s="1">
        <f>'IS 2027'!H75</f>
        <v>-7250</v>
      </c>
      <c r="N55" s="1">
        <f>'IS 2027'!I75</f>
        <v>-7250</v>
      </c>
      <c r="O55" s="1">
        <f>'IS 2027'!J75</f>
        <v>-7250</v>
      </c>
      <c r="P55" s="1">
        <f>'IS 2027'!K75</f>
        <v>-7250</v>
      </c>
      <c r="Q55" s="1">
        <f>'IS 2027'!L75</f>
        <v>-7250</v>
      </c>
      <c r="R55" s="1">
        <f>'IS 2027'!M75</f>
        <v>-7250</v>
      </c>
      <c r="S55" s="1">
        <f>'IS 2027'!N75</f>
        <v>-7250</v>
      </c>
      <c r="T55" s="1">
        <f>'IS 2027'!O75</f>
        <v>-7250</v>
      </c>
      <c r="U55" s="1">
        <f>'IS 2027'!P75</f>
        <v>-7250</v>
      </c>
      <c r="V55" s="1">
        <f>'IS 2027'!Q75</f>
        <v>-7250</v>
      </c>
    </row>
    <row r="56" spans="2:22" x14ac:dyDescent="0.3">
      <c r="B56" t="s">
        <v>22</v>
      </c>
      <c r="E56" s="2">
        <f>'Statements Summary 2023'!V55</f>
        <v>-0.14335863551985883</v>
      </c>
      <c r="F56" s="2">
        <f>'Statements Summary 2024'!V55</f>
        <v>-0.14335863551985883</v>
      </c>
      <c r="G56" s="2">
        <f>'Statements Summary 2025'!V56</f>
        <v>-0.13325001378448417</v>
      </c>
      <c r="H56" s="2">
        <f>'Statements Summary 2026'!V56</f>
        <v>-0.13325001378448417</v>
      </c>
      <c r="I56" s="2">
        <f t="shared" si="1"/>
        <v>-0.13325001378448417</v>
      </c>
      <c r="K56" s="2">
        <f>K55/K45</f>
        <v>-0.23351692595097756</v>
      </c>
      <c r="L56" s="2">
        <f t="shared" ref="L56:V56" si="9">L55/L45</f>
        <v>-0.23351692595097756</v>
      </c>
      <c r="M56" s="2">
        <f t="shared" si="9"/>
        <v>-0.14844693789799135</v>
      </c>
      <c r="N56" s="2">
        <f t="shared" si="9"/>
        <v>-0.13803476572168383</v>
      </c>
      <c r="O56" s="2">
        <f t="shared" si="9"/>
        <v>-0.13533694231846183</v>
      </c>
      <c r="P56" s="2">
        <f t="shared" si="9"/>
        <v>-0.13054125103532715</v>
      </c>
      <c r="Q56" s="2">
        <f t="shared" si="9"/>
        <v>-0.11559126927185472</v>
      </c>
      <c r="R56" s="2">
        <f t="shared" si="9"/>
        <v>-0.11564842877651937</v>
      </c>
      <c r="S56" s="2">
        <f t="shared" si="9"/>
        <v>-0.11750024310395125</v>
      </c>
      <c r="T56" s="2">
        <f t="shared" si="9"/>
        <v>-0.13392197428698094</v>
      </c>
      <c r="U56" s="2">
        <f t="shared" si="9"/>
        <v>-0.13416236421843483</v>
      </c>
      <c r="V56" s="2">
        <f t="shared" si="9"/>
        <v>-0.13325001378448417</v>
      </c>
    </row>
    <row r="57" spans="2:22" x14ac:dyDescent="0.3">
      <c r="B57" s="14" t="s">
        <v>6</v>
      </c>
      <c r="C57" s="14"/>
      <c r="D57" s="14"/>
      <c r="E57" s="188">
        <f>'Statements Summary 2023'!V56</f>
        <v>41832</v>
      </c>
      <c r="F57" s="188">
        <f>'Statements Summary 2024'!V56</f>
        <v>41832</v>
      </c>
      <c r="G57" s="188">
        <f>'Statements Summary 2025'!V57</f>
        <v>39065</v>
      </c>
      <c r="H57" s="188">
        <f>'Statements Summary 2026'!V57</f>
        <v>39065</v>
      </c>
      <c r="I57" s="188">
        <f t="shared" si="1"/>
        <v>39065</v>
      </c>
      <c r="K57" s="188">
        <f>'IS 2027'!F76</f>
        <v>15703</v>
      </c>
      <c r="L57" s="188">
        <f>'IS 2027'!G76</f>
        <v>15703</v>
      </c>
      <c r="M57" s="188">
        <f>'IS 2027'!H76</f>
        <v>33495</v>
      </c>
      <c r="N57" s="188">
        <f>'IS 2027'!I76</f>
        <v>37179</v>
      </c>
      <c r="O57" s="188">
        <f>'IS 2027'!J76</f>
        <v>38226</v>
      </c>
      <c r="P57" s="188">
        <f>'IS 2027'!K76</f>
        <v>40194</v>
      </c>
      <c r="Q57" s="188">
        <f>'IS 2027'!L76</f>
        <v>47377</v>
      </c>
      <c r="R57" s="188">
        <f>'IS 2027'!M76</f>
        <v>47346</v>
      </c>
      <c r="S57" s="188">
        <f>'IS 2027'!N76</f>
        <v>46358</v>
      </c>
      <c r="T57" s="188">
        <f>'IS 2027'!O76</f>
        <v>38792</v>
      </c>
      <c r="U57" s="188">
        <f>'IS 2027'!P76</f>
        <v>38695</v>
      </c>
      <c r="V57" s="188">
        <f>'IS 2027'!Q76</f>
        <v>39065</v>
      </c>
    </row>
    <row r="58" spans="2:22" x14ac:dyDescent="0.3">
      <c r="B58" t="s">
        <v>15</v>
      </c>
      <c r="E58" s="2">
        <f>'Statements Summary 2023'!V57</f>
        <v>0.76884338988035072</v>
      </c>
      <c r="F58" s="2">
        <f>'Statements Summary 2024'!V57</f>
        <v>0.76884338988035072</v>
      </c>
      <c r="G58" s="2">
        <f>'Statements Summary 2025'!V58</f>
        <v>0.71798783289529311</v>
      </c>
      <c r="H58" s="2">
        <f>'Statements Summary 2026'!V58</f>
        <v>0.71798783289529311</v>
      </c>
      <c r="I58" s="2">
        <f t="shared" si="1"/>
        <v>0.71798783289529311</v>
      </c>
      <c r="K58" s="2">
        <f>K57/K45</f>
        <v>0.50578155699423455</v>
      </c>
      <c r="L58" s="2">
        <f t="shared" ref="L58:V58" si="10">L57/L45</f>
        <v>0.50578155699423455</v>
      </c>
      <c r="M58" s="2">
        <f t="shared" si="10"/>
        <v>0.6858248530887201</v>
      </c>
      <c r="N58" s="2">
        <f t="shared" si="10"/>
        <v>0.70786131789882523</v>
      </c>
      <c r="O58" s="2">
        <f t="shared" si="10"/>
        <v>0.7135710285607616</v>
      </c>
      <c r="P58" s="2">
        <f t="shared" si="10"/>
        <v>0.72372069573985376</v>
      </c>
      <c r="Q58" s="2">
        <f t="shared" si="10"/>
        <v>0.75536104335071186</v>
      </c>
      <c r="R58" s="2">
        <f t="shared" si="10"/>
        <v>0.75524007018663264</v>
      </c>
      <c r="S58" s="2">
        <f t="shared" si="10"/>
        <v>0.75132086480178928</v>
      </c>
      <c r="T58" s="2">
        <f t="shared" si="10"/>
        <v>0.71656568641938823</v>
      </c>
      <c r="U58" s="2">
        <f t="shared" si="10"/>
        <v>0.71605692185273595</v>
      </c>
      <c r="V58" s="2">
        <f t="shared" si="10"/>
        <v>0.71798783289529311</v>
      </c>
    </row>
    <row r="59" spans="2:22" x14ac:dyDescent="0.3">
      <c r="B59" t="s">
        <v>7</v>
      </c>
      <c r="E59" s="1">
        <f>'Statements Summary 2023'!V58</f>
        <v>-1711</v>
      </c>
      <c r="F59" s="1">
        <f>'Statements Summary 2024'!V58</f>
        <v>-1850</v>
      </c>
      <c r="G59" s="1">
        <f>'Statements Summary 2025'!V59</f>
        <v>-1911</v>
      </c>
      <c r="H59" s="1">
        <f>'Statements Summary 2026'!V59</f>
        <v>-1756</v>
      </c>
      <c r="I59" s="1">
        <f t="shared" si="1"/>
        <v>-1800</v>
      </c>
      <c r="K59">
        <f>'IS 2027'!F77</f>
        <v>-1756</v>
      </c>
      <c r="L59">
        <f>'IS 2027'!G77</f>
        <v>-1756</v>
      </c>
      <c r="M59">
        <f>'IS 2027'!H77</f>
        <v>-1756</v>
      </c>
      <c r="N59">
        <f>'IS 2027'!I77</f>
        <v>-1756</v>
      </c>
      <c r="O59">
        <f>'IS 2027'!J77</f>
        <v>-1756</v>
      </c>
      <c r="P59">
        <f>'IS 2027'!K77</f>
        <v>-1756</v>
      </c>
      <c r="Q59">
        <f>'IS 2027'!L77</f>
        <v>-1756</v>
      </c>
      <c r="R59">
        <f>'IS 2027'!M77</f>
        <v>-1800</v>
      </c>
      <c r="S59">
        <f>'IS 2027'!N77</f>
        <v>-1800</v>
      </c>
      <c r="T59">
        <f>'IS 2027'!O77</f>
        <v>-1800</v>
      </c>
      <c r="U59">
        <f>'IS 2027'!P77</f>
        <v>-1800</v>
      </c>
      <c r="V59">
        <f>'IS 2027'!Q77</f>
        <v>-1800</v>
      </c>
    </row>
    <row r="60" spans="2:22" x14ac:dyDescent="0.3">
      <c r="B60" t="s">
        <v>8</v>
      </c>
      <c r="E60" s="1">
        <f>'Statements Summary 2023'!V59</f>
        <v>40121</v>
      </c>
      <c r="F60" s="1">
        <f>'Statements Summary 2024'!V59</f>
        <v>39982</v>
      </c>
      <c r="G60" s="1">
        <f>'Statements Summary 2025'!V60</f>
        <v>40976</v>
      </c>
      <c r="H60" s="1">
        <f>'Statements Summary 2026'!V60</f>
        <v>37309</v>
      </c>
      <c r="I60" s="1">
        <f t="shared" si="1"/>
        <v>37265</v>
      </c>
      <c r="K60" s="1">
        <f>'IS 2027'!F78</f>
        <v>13947</v>
      </c>
      <c r="L60" s="1">
        <f>'IS 2027'!G78</f>
        <v>13947</v>
      </c>
      <c r="M60" s="1">
        <f>'IS 2027'!H78</f>
        <v>31739</v>
      </c>
      <c r="N60" s="1">
        <f>'IS 2027'!I78</f>
        <v>35423</v>
      </c>
      <c r="O60" s="1">
        <f>'IS 2027'!J78</f>
        <v>36470</v>
      </c>
      <c r="P60" s="1">
        <f>'IS 2027'!K78</f>
        <v>38438</v>
      </c>
      <c r="Q60" s="1">
        <f>'IS 2027'!L78</f>
        <v>45621</v>
      </c>
      <c r="R60" s="1">
        <f>'IS 2027'!M78</f>
        <v>45546</v>
      </c>
      <c r="S60" s="1">
        <f>'IS 2027'!N78</f>
        <v>44558</v>
      </c>
      <c r="T60" s="1">
        <f>'IS 2027'!O78</f>
        <v>36992</v>
      </c>
      <c r="U60" s="1">
        <f>'IS 2027'!P78</f>
        <v>36895</v>
      </c>
      <c r="V60" s="1">
        <f>'IS 2027'!Q78</f>
        <v>37265</v>
      </c>
    </row>
    <row r="61" spans="2:22" x14ac:dyDescent="0.3">
      <c r="B61" t="s">
        <v>9</v>
      </c>
      <c r="E61" s="1">
        <f>'Statements Summary 2023'!V60</f>
        <v>-22740</v>
      </c>
      <c r="F61" s="1">
        <f>'Statements Summary 2024'!V60</f>
        <v>-7410</v>
      </c>
      <c r="G61" s="1">
        <f>'Statements Summary 2025'!V61</f>
        <v>-2055</v>
      </c>
      <c r="H61" s="1">
        <f>'Statements Summary 2026'!V61</f>
        <v>-75</v>
      </c>
      <c r="I61" s="1">
        <f t="shared" si="1"/>
        <v>0</v>
      </c>
      <c r="K61" s="1">
        <f>'IS 2027'!F79</f>
        <v>0</v>
      </c>
      <c r="L61" s="1">
        <f>'IS 2027'!G79</f>
        <v>0</v>
      </c>
      <c r="M61" s="1">
        <f>'IS 2027'!H79</f>
        <v>0</v>
      </c>
      <c r="N61" s="1">
        <f>'IS 2027'!I79</f>
        <v>0</v>
      </c>
      <c r="O61" s="1">
        <f>'IS 2027'!J79</f>
        <v>0</v>
      </c>
      <c r="P61" s="1">
        <f>'IS 2027'!K79</f>
        <v>0</v>
      </c>
      <c r="Q61" s="1">
        <f>'IS 2027'!L79</f>
        <v>0</v>
      </c>
      <c r="R61" s="1">
        <f>'IS 2027'!M79</f>
        <v>0</v>
      </c>
      <c r="S61" s="1">
        <f>'IS 2027'!N79</f>
        <v>0</v>
      </c>
      <c r="T61" s="1">
        <f>'IS 2027'!O79</f>
        <v>0</v>
      </c>
      <c r="U61" s="1">
        <f>'IS 2027'!P79</f>
        <v>0</v>
      </c>
      <c r="V61" s="1">
        <f>'IS 2027'!Q79</f>
        <v>0</v>
      </c>
    </row>
    <row r="62" spans="2:22" x14ac:dyDescent="0.3">
      <c r="B62" t="s">
        <v>10</v>
      </c>
      <c r="E62" s="1">
        <f>'Statements Summary 2023'!V61</f>
        <v>41832</v>
      </c>
      <c r="F62" s="1">
        <f>'Statements Summary 2024'!V61</f>
        <v>41832</v>
      </c>
      <c r="G62" s="1">
        <f>'Statements Summary 2025'!V62</f>
        <v>39065</v>
      </c>
      <c r="H62" s="1">
        <f>'Statements Summary 2026'!V62</f>
        <v>39065</v>
      </c>
      <c r="I62" s="1">
        <f t="shared" si="1"/>
        <v>39065</v>
      </c>
      <c r="K62" s="1">
        <f>'IS 2027'!F80</f>
        <v>15703</v>
      </c>
      <c r="L62" s="1">
        <f>'IS 2027'!G80</f>
        <v>15703</v>
      </c>
      <c r="M62" s="1">
        <f>'IS 2027'!H80</f>
        <v>33495</v>
      </c>
      <c r="N62" s="1">
        <f>'IS 2027'!I80</f>
        <v>37179</v>
      </c>
      <c r="O62" s="1">
        <f>'IS 2027'!J80</f>
        <v>38226</v>
      </c>
      <c r="P62" s="1">
        <f>'IS 2027'!K80</f>
        <v>40194</v>
      </c>
      <c r="Q62" s="1">
        <f>'IS 2027'!L80</f>
        <v>47377</v>
      </c>
      <c r="R62" s="1">
        <f>'IS 2027'!M80</f>
        <v>47346</v>
      </c>
      <c r="S62" s="1">
        <f>'IS 2027'!N80</f>
        <v>46358</v>
      </c>
      <c r="T62" s="1">
        <f>'IS 2027'!O80</f>
        <v>38792</v>
      </c>
      <c r="U62" s="1">
        <f>'IS 2027'!P80</f>
        <v>38695</v>
      </c>
      <c r="V62" s="1">
        <f>'IS 2027'!Q80</f>
        <v>39065</v>
      </c>
    </row>
    <row r="63" spans="2:22" x14ac:dyDescent="0.3">
      <c r="B63" t="s">
        <v>11</v>
      </c>
      <c r="E63" s="1">
        <f>'Statements Summary 2023'!V62</f>
        <v>-8366.4</v>
      </c>
      <c r="F63" s="1">
        <f>'Statements Summary 2024'!V62</f>
        <v>-8366.4</v>
      </c>
      <c r="G63" s="1">
        <f>'Statements Summary 2025'!V63</f>
        <v>-8194.2000000000007</v>
      </c>
      <c r="H63" s="1">
        <f>'Statements Summary 2026'!V63</f>
        <v>-7461.8</v>
      </c>
      <c r="I63" s="1">
        <f t="shared" si="1"/>
        <v>-7453</v>
      </c>
      <c r="K63" s="1">
        <f>'IS 2027'!F81</f>
        <v>-2789.4</v>
      </c>
      <c r="L63" s="1">
        <f>'IS 2027'!G81</f>
        <v>-2789.4</v>
      </c>
      <c r="M63" s="1">
        <f>'IS 2027'!H81</f>
        <v>-6347.8</v>
      </c>
      <c r="N63" s="1">
        <f>'IS 2027'!I81</f>
        <v>-7084.6</v>
      </c>
      <c r="O63" s="1">
        <f>'IS 2027'!J81</f>
        <v>-7294</v>
      </c>
      <c r="P63" s="1">
        <f>'IS 2027'!K81</f>
        <v>-7687.6</v>
      </c>
      <c r="Q63" s="1">
        <f>'IS 2027'!L81</f>
        <v>-9124.2000000000007</v>
      </c>
      <c r="R63" s="1">
        <f>'IS 2027'!M81</f>
        <v>-9109.2000000000007</v>
      </c>
      <c r="S63" s="1">
        <f>'IS 2027'!N81</f>
        <v>-8911.6</v>
      </c>
      <c r="T63" s="1">
        <f>'IS 2027'!O81</f>
        <v>-7398.4000000000005</v>
      </c>
      <c r="U63" s="1">
        <f>'IS 2027'!P81</f>
        <v>-7379</v>
      </c>
      <c r="V63" s="1">
        <f>'IS 2027'!Q81</f>
        <v>-7453</v>
      </c>
    </row>
    <row r="64" spans="2:22" x14ac:dyDescent="0.3">
      <c r="B64" s="14" t="s">
        <v>12</v>
      </c>
      <c r="C64" s="14"/>
      <c r="D64" s="14"/>
      <c r="E64" s="188">
        <f>'Statements Summary 2023'!V63</f>
        <v>33465.599999999999</v>
      </c>
      <c r="F64" s="188">
        <f>'Statements Summary 2024'!V63</f>
        <v>33465.599999999999</v>
      </c>
      <c r="G64" s="188">
        <f>'Statements Summary 2025'!V64</f>
        <v>30870.799999999999</v>
      </c>
      <c r="H64" s="188">
        <f>'Statements Summary 2026'!V64</f>
        <v>31603.200000000001</v>
      </c>
      <c r="I64" s="188">
        <f t="shared" si="1"/>
        <v>31612</v>
      </c>
      <c r="K64" s="188">
        <f>'IS 2027'!F82</f>
        <v>12913.6</v>
      </c>
      <c r="L64" s="188">
        <f>'IS 2027'!G82</f>
        <v>12913.6</v>
      </c>
      <c r="M64" s="188">
        <f>'IS 2027'!H82</f>
        <v>27147.200000000001</v>
      </c>
      <c r="N64" s="188">
        <f>'IS 2027'!I82</f>
        <v>30094.400000000001</v>
      </c>
      <c r="O64" s="188">
        <f>'IS 2027'!J82</f>
        <v>30932</v>
      </c>
      <c r="P64" s="188">
        <f>'IS 2027'!K82</f>
        <v>32506.400000000001</v>
      </c>
      <c r="Q64" s="188">
        <f>'IS 2027'!L82</f>
        <v>38252.800000000003</v>
      </c>
      <c r="R64" s="188">
        <f>'IS 2027'!M82</f>
        <v>38236.800000000003</v>
      </c>
      <c r="S64" s="188">
        <f>'IS 2027'!N82</f>
        <v>37446.400000000001</v>
      </c>
      <c r="T64" s="188">
        <f>'IS 2027'!O82</f>
        <v>31393.599999999999</v>
      </c>
      <c r="U64" s="188">
        <f>'IS 2027'!P82</f>
        <v>31316</v>
      </c>
      <c r="V64" s="188">
        <f>'IS 2027'!Q82</f>
        <v>31612</v>
      </c>
    </row>
    <row r="65" spans="2:22" x14ac:dyDescent="0.3">
      <c r="B65" t="s">
        <v>13</v>
      </c>
      <c r="E65" s="2">
        <f>'Statements Summary 2023'!V64</f>
        <v>0.61507471190428054</v>
      </c>
      <c r="F65" s="2">
        <f>'Statements Summary 2024'!V64</f>
        <v>0.61507471190428054</v>
      </c>
      <c r="G65" s="2">
        <f>'Statements Summary 2025'!V65</f>
        <v>0.56738407248800748</v>
      </c>
      <c r="H65" s="2">
        <f>'Statements Summary 2026'!V65</f>
        <v>0.58084508077707731</v>
      </c>
      <c r="I65" s="2">
        <f t="shared" si="1"/>
        <v>0.58100681872484328</v>
      </c>
      <c r="K65" s="2">
        <f>K64/K45</f>
        <v>0.41593712758076468</v>
      </c>
      <c r="L65" s="2">
        <f t="shared" ref="L65:V65" si="11">L64/L45</f>
        <v>0.41593712758076468</v>
      </c>
      <c r="M65" s="2">
        <f t="shared" si="11"/>
        <v>0.55585085689715186</v>
      </c>
      <c r="N65" s="2">
        <f t="shared" si="11"/>
        <v>0.5729756487633989</v>
      </c>
      <c r="O65" s="2">
        <f t="shared" si="11"/>
        <v>0.5774127310061602</v>
      </c>
      <c r="P65" s="2">
        <f t="shared" si="11"/>
        <v>0.58530015484893227</v>
      </c>
      <c r="Q65" s="2">
        <f t="shared" si="11"/>
        <v>0.60988823520033164</v>
      </c>
      <c r="R65" s="2">
        <f t="shared" si="11"/>
        <v>0.60993459881958845</v>
      </c>
      <c r="S65" s="2">
        <f t="shared" si="11"/>
        <v>0.60689118667142072</v>
      </c>
      <c r="T65" s="2">
        <f t="shared" si="11"/>
        <v>0.57990246785872612</v>
      </c>
      <c r="U65" s="2">
        <f t="shared" si="11"/>
        <v>0.57950739280889729</v>
      </c>
      <c r="V65" s="2">
        <f t="shared" si="11"/>
        <v>0.58100681872484328</v>
      </c>
    </row>
    <row r="67" spans="2:22" x14ac:dyDescent="0.3">
      <c r="B67" s="173" t="s">
        <v>221</v>
      </c>
      <c r="C67" s="147"/>
      <c r="D67" s="147"/>
      <c r="E67" s="147"/>
      <c r="F67" s="147"/>
      <c r="G67" s="147"/>
      <c r="H67" s="147"/>
      <c r="I67" s="147"/>
      <c r="K67" s="428" t="s">
        <v>223</v>
      </c>
      <c r="L67" s="428"/>
      <c r="M67" s="428"/>
      <c r="N67" s="428"/>
      <c r="O67" s="428"/>
      <c r="P67" s="428"/>
      <c r="Q67" s="428"/>
      <c r="R67" s="428"/>
      <c r="S67" s="428"/>
      <c r="T67" s="428"/>
      <c r="U67" s="428"/>
      <c r="V67" s="428"/>
    </row>
    <row r="85" spans="2:22" x14ac:dyDescent="0.3">
      <c r="B85" s="173" t="s">
        <v>222</v>
      </c>
      <c r="C85" s="173"/>
      <c r="D85" s="173"/>
      <c r="E85" s="173"/>
      <c r="F85" s="147"/>
      <c r="G85" s="147"/>
      <c r="H85" s="147"/>
      <c r="I85" s="147"/>
      <c r="J85" s="147"/>
      <c r="K85" s="428" t="s">
        <v>232</v>
      </c>
      <c r="L85" s="428"/>
      <c r="M85" s="428"/>
      <c r="N85" s="428"/>
      <c r="O85" s="428"/>
      <c r="P85" s="428"/>
      <c r="Q85" s="428"/>
      <c r="R85" s="428"/>
      <c r="S85" s="428"/>
      <c r="T85" s="428"/>
      <c r="U85" s="428"/>
      <c r="V85" s="428"/>
    </row>
    <row r="87" spans="2:22" x14ac:dyDescent="0.3">
      <c r="B87" s="186" t="s">
        <v>20</v>
      </c>
      <c r="C87" s="186"/>
      <c r="D87" s="186"/>
      <c r="E87" s="187">
        <v>2023</v>
      </c>
      <c r="F87" s="187">
        <v>2024</v>
      </c>
      <c r="G87" s="187">
        <v>2025</v>
      </c>
      <c r="H87" s="187">
        <v>2026</v>
      </c>
      <c r="I87" s="187">
        <v>2027</v>
      </c>
      <c r="J87" s="186"/>
      <c r="K87" s="187" t="s">
        <v>25</v>
      </c>
      <c r="L87" s="187" t="s">
        <v>26</v>
      </c>
      <c r="M87" s="187" t="s">
        <v>27</v>
      </c>
      <c r="N87" s="187" t="s">
        <v>28</v>
      </c>
      <c r="O87" s="187" t="s">
        <v>29</v>
      </c>
      <c r="P87" s="187" t="s">
        <v>30</v>
      </c>
      <c r="Q87" s="187" t="s">
        <v>31</v>
      </c>
      <c r="R87" s="187" t="s">
        <v>32</v>
      </c>
      <c r="S87" s="187" t="s">
        <v>33</v>
      </c>
      <c r="T87" s="187" t="s">
        <v>34</v>
      </c>
      <c r="U87" s="187" t="s">
        <v>35</v>
      </c>
      <c r="V87" s="187" t="s">
        <v>36</v>
      </c>
    </row>
    <row r="88" spans="2:22" x14ac:dyDescent="0.3">
      <c r="B88" t="s">
        <v>48</v>
      </c>
      <c r="E88" s="194">
        <f>'Statements Summary 2023'!V86</f>
        <v>19802.599999999999</v>
      </c>
      <c r="F88" s="194">
        <f>'Statements Summary 2024'!V87</f>
        <v>395096.2</v>
      </c>
      <c r="G88" s="194">
        <f>'Statements Summary 2025'!V88</f>
        <v>850182.80000000016</v>
      </c>
      <c r="H88" s="194">
        <f>'Statements Summary 2026'!V88</f>
        <v>1310974.6000000001</v>
      </c>
      <c r="I88" s="194">
        <f t="shared" ref="I88:I99" si="12">V88</f>
        <v>1811317.4000000001</v>
      </c>
      <c r="K88" s="194">
        <f>'BS 2027'!F14</f>
        <v>1335112.2000000002</v>
      </c>
      <c r="L88" s="194">
        <f>'BS 2027'!G14</f>
        <v>1359414.8000000003</v>
      </c>
      <c r="M88" s="194">
        <f>'BS 2027'!H14</f>
        <v>1398116.0000000002</v>
      </c>
      <c r="N88" s="194">
        <f>'BS 2027'!I14</f>
        <v>1439929.4000000001</v>
      </c>
      <c r="O88" s="194">
        <f>'BS 2027'!J14</f>
        <v>1482745.4000000001</v>
      </c>
      <c r="P88" s="194">
        <f>'BS 2027'!K14</f>
        <v>1527300.8</v>
      </c>
      <c r="Q88" s="194">
        <f>'BS 2027'!L14</f>
        <v>1577767.6</v>
      </c>
      <c r="R88" s="194">
        <f>'BS 2027'!M14</f>
        <v>1628383.4000000001</v>
      </c>
      <c r="S88" s="194">
        <f>'BS 2027'!N14</f>
        <v>1678373.8</v>
      </c>
      <c r="T88" s="194">
        <f>'BS 2027'!O14</f>
        <v>1722476.4000000001</v>
      </c>
      <c r="U88" s="194">
        <f>'BS 2027'!P14</f>
        <v>1766666.4000000001</v>
      </c>
      <c r="V88" s="194">
        <f>'BS 2027'!Q14</f>
        <v>1811317.4000000001</v>
      </c>
    </row>
    <row r="89" spans="2:22" x14ac:dyDescent="0.3">
      <c r="B89" t="s">
        <v>49</v>
      </c>
      <c r="E89" s="194">
        <f>'Statements Summary 2023'!V87</f>
        <v>170532</v>
      </c>
      <c r="F89" s="194">
        <f>'Statements Summary 2024'!V88</f>
        <v>188332</v>
      </c>
      <c r="G89" s="194">
        <f>'Statements Summary 2025'!V89</f>
        <v>209481</v>
      </c>
      <c r="H89" s="194">
        <f>'Statements Summary 2026'!V89</f>
        <v>231018</v>
      </c>
      <c r="I89" s="194">
        <f t="shared" si="12"/>
        <v>252400</v>
      </c>
      <c r="K89" s="194">
        <f>'BS 2027'!F19</f>
        <v>232774</v>
      </c>
      <c r="L89" s="194">
        <f>'BS 2027'!G19</f>
        <v>234685</v>
      </c>
      <c r="M89" s="194">
        <f>'BS 2027'!H19</f>
        <v>236596</v>
      </c>
      <c r="N89" s="194">
        <f>'BS 2027'!I19</f>
        <v>238352</v>
      </c>
      <c r="O89" s="194">
        <f>'BS 2027'!J19</f>
        <v>240108</v>
      </c>
      <c r="P89" s="194">
        <f>'BS 2027'!K19</f>
        <v>241864</v>
      </c>
      <c r="Q89" s="194">
        <f>'BS 2027'!L19</f>
        <v>243620</v>
      </c>
      <c r="R89" s="194">
        <f>'BS 2027'!M19</f>
        <v>245376</v>
      </c>
      <c r="S89" s="194">
        <f>'BS 2027'!N19</f>
        <v>247132</v>
      </c>
      <c r="T89" s="194">
        <f>'BS 2027'!O19</f>
        <v>248888</v>
      </c>
      <c r="U89" s="194">
        <f>'BS 2027'!P19</f>
        <v>250644</v>
      </c>
      <c r="V89" s="194">
        <f>'BS 2027'!Q19</f>
        <v>252400</v>
      </c>
    </row>
    <row r="90" spans="2:22" x14ac:dyDescent="0.3">
      <c r="B90" t="s">
        <v>50</v>
      </c>
      <c r="E90" s="194">
        <f>'Statements Summary 2023'!V88</f>
        <v>190334.6</v>
      </c>
      <c r="F90" s="194">
        <f>'Statements Summary 2024'!V89</f>
        <v>583428.19999999995</v>
      </c>
      <c r="G90" s="194">
        <f>'Statements Summary 2025'!V90</f>
        <v>1059663.8000000003</v>
      </c>
      <c r="H90" s="194">
        <f>'Statements Summary 2026'!V90</f>
        <v>1541992.6</v>
      </c>
      <c r="I90" s="194">
        <f t="shared" si="12"/>
        <v>2063717.4000000001</v>
      </c>
      <c r="K90" s="194">
        <f>'BS 2027'!F20</f>
        <v>1567886.2000000002</v>
      </c>
      <c r="L90" s="194">
        <f>'BS 2027'!G20</f>
        <v>1594099.8000000003</v>
      </c>
      <c r="M90" s="194">
        <f>'BS 2027'!H20</f>
        <v>1634712.0000000002</v>
      </c>
      <c r="N90" s="194">
        <f>'BS 2027'!I20</f>
        <v>1678281.4000000001</v>
      </c>
      <c r="O90" s="194">
        <f>'BS 2027'!J20</f>
        <v>1722853.4000000001</v>
      </c>
      <c r="P90" s="194">
        <f>'BS 2027'!K20</f>
        <v>1769164.8</v>
      </c>
      <c r="Q90" s="194">
        <f>'BS 2027'!L20</f>
        <v>1821387.6</v>
      </c>
      <c r="R90" s="194">
        <f>'BS 2027'!M20</f>
        <v>1873759.4000000001</v>
      </c>
      <c r="S90" s="194">
        <f>'BS 2027'!N20</f>
        <v>1925505.8</v>
      </c>
      <c r="T90" s="194">
        <f>'BS 2027'!O20</f>
        <v>1971364.4000000001</v>
      </c>
      <c r="U90" s="194">
        <f>'BS 2027'!P20</f>
        <v>2017310.4000000001</v>
      </c>
      <c r="V90" s="194">
        <f>'BS 2027'!Q20</f>
        <v>2063717.4000000001</v>
      </c>
    </row>
    <row r="91" spans="2:22" x14ac:dyDescent="0.3">
      <c r="B91" t="s">
        <v>51</v>
      </c>
      <c r="E91" s="194">
        <f>'Statements Summary 2023'!V89</f>
        <v>-8366.4</v>
      </c>
      <c r="F91" s="194">
        <f>'Statements Summary 2024'!V90</f>
        <v>-8366.4</v>
      </c>
      <c r="G91" s="194">
        <f>'Statements Summary 2025'!V91</f>
        <v>-8194.2000000000007</v>
      </c>
      <c r="H91" s="194">
        <f>'Statements Summary 2026'!V91</f>
        <v>-7461.8</v>
      </c>
      <c r="I91" s="194">
        <f t="shared" si="12"/>
        <v>-7453</v>
      </c>
      <c r="K91" s="194">
        <f>'BS 2027'!F25</f>
        <v>-2789.4</v>
      </c>
      <c r="L91" s="194">
        <f>'BS 2027'!G25</f>
        <v>-2789.4</v>
      </c>
      <c r="M91" s="194">
        <f>'BS 2027'!H25</f>
        <v>-6347.8</v>
      </c>
      <c r="N91" s="194">
        <f>'BS 2027'!I25</f>
        <v>-7084.6</v>
      </c>
      <c r="O91" s="194">
        <f>'BS 2027'!J25</f>
        <v>-7294</v>
      </c>
      <c r="P91" s="194">
        <f>'BS 2027'!K25</f>
        <v>-7687.6</v>
      </c>
      <c r="Q91" s="194">
        <f>'BS 2027'!L25</f>
        <v>-9124.2000000000007</v>
      </c>
      <c r="R91" s="194">
        <f>'BS 2027'!M25</f>
        <v>-9109.2000000000007</v>
      </c>
      <c r="S91" s="194">
        <f>'BS 2027'!N25</f>
        <v>-8911.6</v>
      </c>
      <c r="T91" s="194">
        <f>'BS 2027'!O25</f>
        <v>-7398.4000000000005</v>
      </c>
      <c r="U91" s="194">
        <f>'BS 2027'!P25</f>
        <v>-7379</v>
      </c>
      <c r="V91" s="194">
        <f>'BS 2027'!Q25</f>
        <v>-7453</v>
      </c>
    </row>
    <row r="92" spans="2:22" x14ac:dyDescent="0.3">
      <c r="B92" t="s">
        <v>196</v>
      </c>
      <c r="E92" s="194">
        <f>'Statements Summary 2023'!V90</f>
        <v>-113700</v>
      </c>
      <c r="F92" s="194">
        <f>'Statements Summary 2024'!V91</f>
        <v>-74100</v>
      </c>
      <c r="G92" s="194">
        <f>'Statements Summary 2025'!V92</f>
        <v>-41100</v>
      </c>
      <c r="H92" s="194">
        <f>'Statements Summary 2026'!V92</f>
        <v>-1500</v>
      </c>
      <c r="I92" s="194">
        <f t="shared" si="12"/>
        <v>0</v>
      </c>
      <c r="K92" s="194">
        <f>'BS 2027'!F27</f>
        <v>0</v>
      </c>
      <c r="L92" s="194">
        <f>'BS 2027'!G27</f>
        <v>0</v>
      </c>
      <c r="M92" s="194">
        <f>'BS 2027'!H27</f>
        <v>0</v>
      </c>
      <c r="N92" s="194">
        <f>'BS 2027'!I27</f>
        <v>0</v>
      </c>
      <c r="O92" s="194">
        <f>'BS 2027'!J27</f>
        <v>0</v>
      </c>
      <c r="P92" s="194">
        <f>'BS 2027'!K27</f>
        <v>0</v>
      </c>
      <c r="Q92" s="194">
        <f>'BS 2027'!L27</f>
        <v>0</v>
      </c>
      <c r="R92" s="194">
        <f>'BS 2027'!M27</f>
        <v>0</v>
      </c>
      <c r="S92" s="194">
        <f>'BS 2027'!N27</f>
        <v>0</v>
      </c>
      <c r="T92" s="194">
        <f>'BS 2027'!O27</f>
        <v>0</v>
      </c>
      <c r="U92" s="194">
        <f>'BS 2027'!P27</f>
        <v>0</v>
      </c>
      <c r="V92" s="194">
        <f>'BS 2027'!Q27</f>
        <v>0</v>
      </c>
    </row>
    <row r="93" spans="2:22" x14ac:dyDescent="0.3">
      <c r="B93" t="s">
        <v>53</v>
      </c>
      <c r="E93" s="194">
        <f>'Statements Summary 2023'!V91</f>
        <v>-122066.4</v>
      </c>
      <c r="F93" s="194">
        <f>'Statements Summary 2024'!V92</f>
        <v>-82466.399999999994</v>
      </c>
      <c r="G93" s="194">
        <f>'Statements Summary 2025'!V93</f>
        <v>-49294.2</v>
      </c>
      <c r="H93" s="194">
        <f>'Statements Summary 2026'!V93</f>
        <v>-8961.7999999999993</v>
      </c>
      <c r="I93" s="194">
        <f t="shared" si="12"/>
        <v>-7453</v>
      </c>
      <c r="K93" s="194">
        <f>'BS 2027'!F32</f>
        <v>-2789.4</v>
      </c>
      <c r="L93" s="194">
        <f>'BS 2027'!G32</f>
        <v>-2789.4</v>
      </c>
      <c r="M93" s="194">
        <f>'BS 2027'!H32</f>
        <v>-6347.8</v>
      </c>
      <c r="N93" s="194">
        <f>'BS 2027'!I32</f>
        <v>-7084.6</v>
      </c>
      <c r="O93" s="194">
        <f>'BS 2027'!J32</f>
        <v>-7294</v>
      </c>
      <c r="P93" s="194">
        <f>'BS 2027'!K32</f>
        <v>-7687.6</v>
      </c>
      <c r="Q93" s="194">
        <f>'BS 2027'!L32</f>
        <v>-9124.2000000000007</v>
      </c>
      <c r="R93" s="194">
        <f>'BS 2027'!M32</f>
        <v>-9109.2000000000007</v>
      </c>
      <c r="S93" s="194">
        <f>'BS 2027'!N32</f>
        <v>-8911.6</v>
      </c>
      <c r="T93" s="194">
        <f>'BS 2027'!O32</f>
        <v>-7398.4000000000005</v>
      </c>
      <c r="U93" s="194">
        <f>'BS 2027'!P32</f>
        <v>-7379</v>
      </c>
      <c r="V93" s="194">
        <f>'BS 2027'!Q32</f>
        <v>-7453</v>
      </c>
    </row>
    <row r="94" spans="2:22" x14ac:dyDescent="0.3">
      <c r="B94" t="s">
        <v>54</v>
      </c>
      <c r="E94" s="194">
        <f>'Statements Summary 2023'!V92</f>
        <v>68268.200000000012</v>
      </c>
      <c r="F94" s="194">
        <f>'Statements Summary 2024'!V93</f>
        <v>500961.79999999993</v>
      </c>
      <c r="G94" s="194">
        <f>'Statements Summary 2025'!V94</f>
        <v>969269.60000000033</v>
      </c>
      <c r="H94" s="194">
        <f>'Statements Summary 2026'!V94</f>
        <v>1533030.8</v>
      </c>
      <c r="I94" s="194">
        <f t="shared" si="12"/>
        <v>2056264.4000000001</v>
      </c>
      <c r="K94" s="194">
        <f>'BS 2027'!F33</f>
        <v>1565096.8000000003</v>
      </c>
      <c r="L94" s="194">
        <f>'BS 2027'!G33</f>
        <v>1591310.4000000004</v>
      </c>
      <c r="M94" s="194">
        <f>'BS 2027'!H33</f>
        <v>1628364.2000000002</v>
      </c>
      <c r="N94" s="194">
        <f>'BS 2027'!I33</f>
        <v>1671196.8</v>
      </c>
      <c r="O94" s="194">
        <f>'BS 2027'!J33</f>
        <v>1715559.4000000001</v>
      </c>
      <c r="P94" s="194">
        <f>'BS 2027'!K33</f>
        <v>1761477.2</v>
      </c>
      <c r="Q94" s="194">
        <f>'BS 2027'!L33</f>
        <v>1812263.4000000001</v>
      </c>
      <c r="R94" s="194">
        <f>'BS 2027'!M33</f>
        <v>1864650.2000000002</v>
      </c>
      <c r="S94" s="194">
        <f>'BS 2027'!N33</f>
        <v>1916594.2</v>
      </c>
      <c r="T94" s="194">
        <f>'BS 2027'!O33</f>
        <v>1963966.0000000002</v>
      </c>
      <c r="U94" s="194">
        <f>'BS 2027'!P33</f>
        <v>2009931.4000000001</v>
      </c>
      <c r="V94" s="194">
        <f>'BS 2027'!Q33</f>
        <v>2056264.4000000001</v>
      </c>
    </row>
    <row r="95" spans="2:22" x14ac:dyDescent="0.3">
      <c r="B95" t="s">
        <v>55</v>
      </c>
      <c r="E95" s="194">
        <f>'Statements Summary 2023'!V93</f>
        <v>19802.599999999999</v>
      </c>
      <c r="F95" s="194">
        <f>'Statements Summary 2024'!V94</f>
        <v>395096.2</v>
      </c>
      <c r="G95" s="194">
        <f>'Statements Summary 2025'!V95</f>
        <v>850182.80000000016</v>
      </c>
      <c r="H95" s="194">
        <f>'Statements Summary 2026'!V95</f>
        <v>1310974.6000000001</v>
      </c>
      <c r="I95" s="194">
        <f t="shared" si="12"/>
        <v>1811317.4000000001</v>
      </c>
      <c r="K95" s="194">
        <f>'BS 2027'!F14</f>
        <v>1335112.2000000002</v>
      </c>
      <c r="L95" s="194">
        <f>'BS 2027'!G14</f>
        <v>1359414.8000000003</v>
      </c>
      <c r="M95" s="194">
        <f>'BS 2027'!H14</f>
        <v>1398116.0000000002</v>
      </c>
      <c r="N95" s="194">
        <f>'BS 2027'!I14</f>
        <v>1439929.4000000001</v>
      </c>
      <c r="O95" s="194">
        <f>'BS 2027'!J14</f>
        <v>1482745.4000000001</v>
      </c>
      <c r="P95" s="194">
        <f>'BS 2027'!K14</f>
        <v>1527300.8</v>
      </c>
      <c r="Q95" s="194">
        <f>'BS 2027'!L14</f>
        <v>1577767.6</v>
      </c>
      <c r="R95" s="194">
        <f>'BS 2027'!M14</f>
        <v>1628383.4000000001</v>
      </c>
      <c r="S95" s="194">
        <f>'BS 2027'!N14</f>
        <v>1678373.8</v>
      </c>
      <c r="T95" s="194">
        <f>'BS 2027'!O14</f>
        <v>1722476.4000000001</v>
      </c>
      <c r="U95" s="194">
        <f>'BS 2027'!P14</f>
        <v>1766666.4000000001</v>
      </c>
      <c r="V95" s="194">
        <f>'BS 2027'!Q14</f>
        <v>1811317.4000000001</v>
      </c>
    </row>
    <row r="96" spans="2:22" x14ac:dyDescent="0.3">
      <c r="B96" t="s">
        <v>56</v>
      </c>
      <c r="E96" s="194" t="str">
        <f>'Statements Summary 2023'!V94</f>
        <v>-</v>
      </c>
      <c r="F96" s="194" t="str">
        <f>'Statements Summary 2024'!V95</f>
        <v>-</v>
      </c>
      <c r="G96" s="194" t="str">
        <f>'Statements Summary 2025'!V96</f>
        <v>-</v>
      </c>
      <c r="H96" s="194" t="str">
        <f>'Statements Summary 2026'!V96</f>
        <v>-</v>
      </c>
      <c r="I96" s="194" t="str">
        <f t="shared" si="12"/>
        <v>-</v>
      </c>
      <c r="K96" s="194" t="s">
        <v>190</v>
      </c>
      <c r="L96" s="194" t="s">
        <v>190</v>
      </c>
      <c r="M96" s="194" t="s">
        <v>190</v>
      </c>
      <c r="N96" s="194" t="s">
        <v>190</v>
      </c>
      <c r="O96" s="194" t="s">
        <v>190</v>
      </c>
      <c r="P96" s="194" t="s">
        <v>190</v>
      </c>
      <c r="Q96" s="194" t="s">
        <v>190</v>
      </c>
      <c r="R96" s="194" t="s">
        <v>190</v>
      </c>
      <c r="S96" s="194" t="s">
        <v>190</v>
      </c>
      <c r="T96" s="194" t="s">
        <v>190</v>
      </c>
      <c r="U96" s="194" t="s">
        <v>190</v>
      </c>
      <c r="V96" s="194" t="s">
        <v>190</v>
      </c>
    </row>
    <row r="97" spans="2:22" x14ac:dyDescent="0.3">
      <c r="B97" t="s">
        <v>57</v>
      </c>
      <c r="E97" s="194">
        <f>'Statements Summary 2023'!V95</f>
        <v>0</v>
      </c>
      <c r="F97" s="194">
        <f>'Statements Summary 2024'!V96</f>
        <v>0</v>
      </c>
      <c r="G97" s="194">
        <f>'Statements Summary 2025'!V97</f>
        <v>0</v>
      </c>
      <c r="H97" s="194">
        <f>'Statements Summary 2026'!V97</f>
        <v>0</v>
      </c>
      <c r="I97" s="194">
        <f t="shared" si="12"/>
        <v>0</v>
      </c>
      <c r="K97" s="194" t="s">
        <v>190</v>
      </c>
      <c r="L97" s="194" t="s">
        <v>190</v>
      </c>
      <c r="M97" s="194" t="s">
        <v>190</v>
      </c>
      <c r="N97" s="194" t="s">
        <v>190</v>
      </c>
      <c r="O97" s="194" t="s">
        <v>190</v>
      </c>
      <c r="P97" s="194" t="s">
        <v>190</v>
      </c>
      <c r="Q97" s="194" t="s">
        <v>190</v>
      </c>
      <c r="R97" s="194" t="s">
        <v>190</v>
      </c>
      <c r="S97" s="194" t="s">
        <v>190</v>
      </c>
      <c r="T97" s="194" t="s">
        <v>190</v>
      </c>
      <c r="U97" s="194" t="s">
        <v>190</v>
      </c>
      <c r="V97" s="194"/>
    </row>
    <row r="98" spans="2:22" x14ac:dyDescent="0.3">
      <c r="B98" t="s">
        <v>58</v>
      </c>
      <c r="E98" s="194">
        <f>'Statements Summary 2023'!V96</f>
        <v>68268.200000000012</v>
      </c>
      <c r="F98" s="194">
        <f>'Statements Summary 2024'!V97</f>
        <v>500961.79999999993</v>
      </c>
      <c r="G98" s="194">
        <f>'Statements Summary 2025'!V98</f>
        <v>969269.60000000033</v>
      </c>
      <c r="H98" s="194">
        <f>'Statements Summary 2026'!V98</f>
        <v>1533030.8</v>
      </c>
      <c r="I98" s="194">
        <f t="shared" si="12"/>
        <v>2056264.4000000001</v>
      </c>
      <c r="K98" s="194">
        <f>K94</f>
        <v>1565096.8000000003</v>
      </c>
      <c r="L98" s="194">
        <f t="shared" ref="L98:V98" si="13">L94</f>
        <v>1591310.4000000004</v>
      </c>
      <c r="M98" s="194">
        <f t="shared" si="13"/>
        <v>1628364.2000000002</v>
      </c>
      <c r="N98" s="194">
        <f t="shared" si="13"/>
        <v>1671196.8</v>
      </c>
      <c r="O98" s="194">
        <f t="shared" si="13"/>
        <v>1715559.4000000001</v>
      </c>
      <c r="P98" s="194">
        <f t="shared" si="13"/>
        <v>1761477.2</v>
      </c>
      <c r="Q98" s="194">
        <f t="shared" si="13"/>
        <v>1812263.4000000001</v>
      </c>
      <c r="R98" s="194">
        <f t="shared" si="13"/>
        <v>1864650.2000000002</v>
      </c>
      <c r="S98" s="194">
        <f t="shared" si="13"/>
        <v>1916594.2</v>
      </c>
      <c r="T98" s="194">
        <f t="shared" si="13"/>
        <v>1963966.0000000002</v>
      </c>
      <c r="U98" s="194">
        <f t="shared" si="13"/>
        <v>2009931.4000000001</v>
      </c>
      <c r="V98" s="194">
        <f t="shared" si="13"/>
        <v>2056264.4000000001</v>
      </c>
    </row>
    <row r="99" spans="2:22" x14ac:dyDescent="0.3">
      <c r="B99" t="s">
        <v>59</v>
      </c>
      <c r="E99" s="194">
        <f>'Statements Summary 2023'!V97</f>
        <v>68268.200000000012</v>
      </c>
      <c r="F99" s="194">
        <f>'Statements Summary 2024'!V98</f>
        <v>500961.79999999993</v>
      </c>
      <c r="G99" s="194">
        <f>'Statements Summary 2025'!V99</f>
        <v>969269.60000000033</v>
      </c>
      <c r="H99" s="194">
        <f>'Statements Summary 2026'!V99</f>
        <v>1533030.8</v>
      </c>
      <c r="I99" s="194">
        <f t="shared" si="12"/>
        <v>2056264.4000000001</v>
      </c>
      <c r="K99" s="194">
        <f>K98</f>
        <v>1565096.8000000003</v>
      </c>
      <c r="L99" s="194">
        <f t="shared" ref="L99:V99" si="14">L98</f>
        <v>1591310.4000000004</v>
      </c>
      <c r="M99" s="194">
        <f t="shared" si="14"/>
        <v>1628364.2000000002</v>
      </c>
      <c r="N99" s="194">
        <f t="shared" si="14"/>
        <v>1671196.8</v>
      </c>
      <c r="O99" s="194">
        <f t="shared" si="14"/>
        <v>1715559.4000000001</v>
      </c>
      <c r="P99" s="194">
        <f t="shared" si="14"/>
        <v>1761477.2</v>
      </c>
      <c r="Q99" s="194">
        <f t="shared" si="14"/>
        <v>1812263.4000000001</v>
      </c>
      <c r="R99" s="194">
        <f t="shared" si="14"/>
        <v>1864650.2000000002</v>
      </c>
      <c r="S99" s="194">
        <f t="shared" si="14"/>
        <v>1916594.2</v>
      </c>
      <c r="T99" s="194">
        <f t="shared" si="14"/>
        <v>1963966.0000000002</v>
      </c>
      <c r="U99" s="194">
        <f t="shared" si="14"/>
        <v>2009931.4000000001</v>
      </c>
      <c r="V99" s="194">
        <f t="shared" si="14"/>
        <v>2056264.4000000001</v>
      </c>
    </row>
    <row r="101" spans="2:22" x14ac:dyDescent="0.3">
      <c r="B101" s="173" t="s">
        <v>222</v>
      </c>
      <c r="C101" s="147"/>
      <c r="D101" s="147"/>
      <c r="E101" s="147"/>
      <c r="F101" s="147"/>
      <c r="G101" s="147"/>
      <c r="H101" s="147"/>
      <c r="I101" s="147"/>
      <c r="K101" s="428" t="s">
        <v>232</v>
      </c>
      <c r="L101" s="428"/>
      <c r="M101" s="428"/>
      <c r="N101" s="428"/>
      <c r="O101" s="428"/>
      <c r="P101" s="428"/>
      <c r="Q101" s="428"/>
      <c r="R101" s="428"/>
      <c r="S101" s="428"/>
      <c r="T101" s="428"/>
      <c r="U101" s="428"/>
      <c r="V101" s="428"/>
    </row>
  </sheetData>
  <mergeCells count="6">
    <mergeCell ref="K101:V101"/>
    <mergeCell ref="K2:V2"/>
    <mergeCell ref="K19:V19"/>
    <mergeCell ref="K42:V42"/>
    <mergeCell ref="K67:V67"/>
    <mergeCell ref="K85:V8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5DB25-5D1D-45A8-82DA-CE97478132E3}">
  <sheetPr codeName="Sheet3"/>
  <dimension ref="E1:S35"/>
  <sheetViews>
    <sheetView showGridLines="0" workbookViewId="0">
      <selection activeCell="S41" sqref="S41"/>
    </sheetView>
  </sheetViews>
  <sheetFormatPr defaultRowHeight="14.4" x14ac:dyDescent="0.3"/>
  <sheetData>
    <row r="1" spans="5:19" ht="21" x14ac:dyDescent="0.4">
      <c r="E1" s="433" t="s">
        <v>16</v>
      </c>
      <c r="F1" s="433"/>
      <c r="G1" s="433"/>
      <c r="H1" s="433"/>
      <c r="I1" s="433"/>
    </row>
    <row r="5" spans="5:19" ht="18" x14ac:dyDescent="0.35">
      <c r="E5" s="430" t="s">
        <v>17</v>
      </c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2"/>
      <c r="R5" s="7"/>
      <c r="S5" s="7"/>
    </row>
    <row r="22" spans="5:17" ht="21" x14ac:dyDescent="0.4">
      <c r="E22" s="435" t="s">
        <v>207</v>
      </c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37"/>
    </row>
    <row r="24" spans="5:17" x14ac:dyDescent="0.3">
      <c r="E24" s="434" t="s">
        <v>0</v>
      </c>
      <c r="F24" s="434"/>
      <c r="H24" s="429">
        <v>2023</v>
      </c>
      <c r="I24" s="429"/>
      <c r="J24" s="429">
        <v>2024</v>
      </c>
      <c r="K24" s="429"/>
      <c r="L24" s="429">
        <v>2025</v>
      </c>
      <c r="M24" s="429"/>
      <c r="N24" s="429">
        <v>2026</v>
      </c>
      <c r="O24" s="429"/>
      <c r="P24" s="429">
        <v>2027</v>
      </c>
      <c r="Q24" s="429"/>
    </row>
    <row r="27" spans="5:17" x14ac:dyDescent="0.3">
      <c r="E27" t="s">
        <v>2</v>
      </c>
      <c r="H27" s="439">
        <f>'IS 2023'!U34</f>
        <v>623061</v>
      </c>
      <c r="I27" s="439"/>
      <c r="J27" s="439">
        <f>'IS 2024'!U34</f>
        <v>622261</v>
      </c>
      <c r="K27" s="439"/>
      <c r="L27" s="439">
        <f>'IS 2025'!U34</f>
        <v>622261</v>
      </c>
      <c r="M27" s="439"/>
      <c r="N27" s="439">
        <f>'IS 2026'!U34</f>
        <v>622261</v>
      </c>
      <c r="O27" s="439"/>
      <c r="P27" s="439">
        <f>'IS 2027'!U34</f>
        <v>622261</v>
      </c>
      <c r="Q27" s="439"/>
    </row>
    <row r="28" spans="5:17" x14ac:dyDescent="0.3">
      <c r="E28" t="s">
        <v>3</v>
      </c>
      <c r="H28" s="438">
        <f>'IS 2023'!U35</f>
        <v>-40008</v>
      </c>
      <c r="I28" s="429"/>
      <c r="J28" s="438">
        <f>'IS 2024'!U35</f>
        <v>-40008</v>
      </c>
      <c r="K28" s="429"/>
      <c r="L28" s="438">
        <f>'IS 2025'!U35</f>
        <v>-30540</v>
      </c>
      <c r="M28" s="429"/>
      <c r="N28" s="438">
        <f>'IS 2026'!U35</f>
        <v>-30540</v>
      </c>
      <c r="O28" s="429"/>
      <c r="P28" s="438">
        <f>'IS 2027'!U35</f>
        <v>-30540</v>
      </c>
      <c r="Q28" s="429"/>
    </row>
    <row r="29" spans="5:17" x14ac:dyDescent="0.3">
      <c r="E29" s="14" t="s">
        <v>18</v>
      </c>
      <c r="H29" s="439">
        <f>'IS 2023'!U44</f>
        <v>583053</v>
      </c>
      <c r="I29" s="439"/>
      <c r="J29" s="439">
        <f>'IS 2024'!U44</f>
        <v>582253</v>
      </c>
      <c r="K29" s="439"/>
      <c r="L29" s="439">
        <f>'IS 2025'!U43</f>
        <v>591721</v>
      </c>
      <c r="M29" s="439"/>
      <c r="N29" s="439">
        <f>'IS 2026'!U44</f>
        <v>591721</v>
      </c>
      <c r="O29" s="439"/>
      <c r="P29" s="439">
        <f>'IS 2027'!U44</f>
        <v>591721</v>
      </c>
      <c r="Q29" s="439"/>
    </row>
    <row r="30" spans="5:17" x14ac:dyDescent="0.3">
      <c r="E30" t="s">
        <v>5</v>
      </c>
      <c r="H30" s="438">
        <f>'IS 2023'!U54</f>
        <v>-17316</v>
      </c>
      <c r="I30" s="429"/>
      <c r="J30" s="438">
        <f>'IS 2024'!U54</f>
        <v>-17316</v>
      </c>
      <c r="K30" s="429"/>
      <c r="L30" s="438">
        <f>'IS 2025'!U55</f>
        <v>-66588</v>
      </c>
      <c r="M30" s="429"/>
      <c r="N30" s="438">
        <f>'IS 2026'!U56</f>
        <v>-66588</v>
      </c>
      <c r="O30" s="429"/>
      <c r="P30" s="438">
        <f>'IS 2027'!U56</f>
        <v>-66588</v>
      </c>
      <c r="Q30" s="429"/>
    </row>
    <row r="31" spans="5:17" x14ac:dyDescent="0.3">
      <c r="E31" t="s">
        <v>6</v>
      </c>
      <c r="H31" s="438">
        <f>'IS 2023'!U68</f>
        <v>472137</v>
      </c>
      <c r="I31" s="429"/>
      <c r="J31" s="438">
        <f>'IS 2024'!U68</f>
        <v>471337</v>
      </c>
      <c r="K31" s="429"/>
      <c r="L31" s="438">
        <f>'IS 2025'!U76</f>
        <v>438133</v>
      </c>
      <c r="M31" s="438"/>
      <c r="N31" s="438">
        <f>'IS 2026'!U77</f>
        <v>438133</v>
      </c>
      <c r="O31" s="438"/>
      <c r="P31" s="438">
        <f>'IS 2027'!U76</f>
        <v>438133</v>
      </c>
      <c r="Q31" s="438"/>
    </row>
    <row r="32" spans="5:17" x14ac:dyDescent="0.3">
      <c r="E32" t="s">
        <v>19</v>
      </c>
      <c r="H32" s="439">
        <f>ABS('IS 2023'!U35)+ABS('IS 2023'!U54)+ABS('IS 2023'!U55)+ABS('IS 2023'!U67)+ABS('IS 2023'!U70)+ABS('IS 2023'!U72)+ABS('IS 2023'!U74)</f>
        <v>643079.4</v>
      </c>
      <c r="I32" s="434"/>
      <c r="J32" s="439">
        <f>ABS('IS 2024'!U35)+ABS('IS 2024'!U54)+ABS('IS 2024'!U55)+ABS('IS 2024'!U67)+ABS('IS 2024'!U70)+ABS('IS 2024'!U72)+ABS('IS 2024'!U74)</f>
        <v>434447.4</v>
      </c>
      <c r="K32" s="434"/>
      <c r="L32" s="439">
        <f>ABS('IS 2025'!U35)+ABS('IS 2025'!U55)+ABS('IS 2025'!U56)+ABS('IS 2025'!U75)+ABS('IS 2025'!U77)+ABS('IS 2025'!U79)+ABS('IS 2025'!U81)</f>
        <v>391207.4</v>
      </c>
      <c r="M32" s="434"/>
      <c r="N32" s="439">
        <f>ABS('IS 2026'!U35)+ABS('IS 2026'!U56)+ABS('IS 2026'!U57)+ABS('IS 2026'!U76)+ABS('IS 2026'!U78)+ABS('IS 2026'!U80)+ABS('IS 2026'!U82)</f>
        <v>361530.2</v>
      </c>
      <c r="O32" s="434"/>
      <c r="P32" s="439">
        <f>ABS('IS 2027'!U35)+ABS('IS 2027'!U56)+ABS('IS 2027'!U57)+ABS('IS 2027'!U75)+ABS('IS 2027'!U77)+ABS('IS 2027'!U79)+ABS('IS 2027'!U81)</f>
        <v>829544.2</v>
      </c>
      <c r="Q32" s="439"/>
    </row>
    <row r="33" spans="5:17" x14ac:dyDescent="0.3">
      <c r="E33" t="s">
        <v>10</v>
      </c>
      <c r="H33" s="439">
        <f>'IS 2023'!U73</f>
        <v>472137</v>
      </c>
      <c r="I33" s="434"/>
      <c r="J33" s="439">
        <f>'IS 2024'!U73</f>
        <v>471337</v>
      </c>
      <c r="K33" s="439"/>
      <c r="L33" s="439">
        <f>'IS 2025'!U80</f>
        <v>438133</v>
      </c>
      <c r="M33" s="439"/>
      <c r="N33" s="439">
        <f>'IS 2026'!U81</f>
        <v>438133</v>
      </c>
      <c r="O33" s="439"/>
      <c r="P33" s="439">
        <f>'IS 2027'!U80</f>
        <v>438133</v>
      </c>
      <c r="Q33" s="439"/>
    </row>
    <row r="34" spans="5:17" x14ac:dyDescent="0.3">
      <c r="E34" t="s">
        <v>12</v>
      </c>
      <c r="H34" s="440">
        <f>'IS 2023'!U75</f>
        <v>377709.59999999992</v>
      </c>
      <c r="I34" s="441"/>
      <c r="J34" s="440">
        <f>'IS 2024'!U75</f>
        <v>377069.59999999992</v>
      </c>
      <c r="K34" s="440"/>
      <c r="L34" s="440">
        <f>'IS 2025'!U82</f>
        <v>348508.6</v>
      </c>
      <c r="M34" s="440"/>
      <c r="N34" s="440">
        <f>'IS 2026'!U83</f>
        <v>354813.80000000005</v>
      </c>
      <c r="O34" s="440"/>
      <c r="P34" s="440">
        <f>'IS 2027'!U82</f>
        <v>354764.79999999999</v>
      </c>
      <c r="Q34" s="440"/>
    </row>
    <row r="35" spans="5:17" x14ac:dyDescent="0.3">
      <c r="J35" s="2"/>
    </row>
  </sheetData>
  <mergeCells count="49">
    <mergeCell ref="L27:M27"/>
    <mergeCell ref="L28:M28"/>
    <mergeCell ref="L29:M29"/>
    <mergeCell ref="L30:M30"/>
    <mergeCell ref="P30:Q30"/>
    <mergeCell ref="N30:O30"/>
    <mergeCell ref="P27:Q27"/>
    <mergeCell ref="P28:Q28"/>
    <mergeCell ref="P29:Q29"/>
    <mergeCell ref="N27:O27"/>
    <mergeCell ref="N28:O28"/>
    <mergeCell ref="N29:O29"/>
    <mergeCell ref="P34:Q34"/>
    <mergeCell ref="L31:M31"/>
    <mergeCell ref="N34:O34"/>
    <mergeCell ref="L32:M32"/>
    <mergeCell ref="L33:M33"/>
    <mergeCell ref="L34:M34"/>
    <mergeCell ref="P31:Q31"/>
    <mergeCell ref="N31:O31"/>
    <mergeCell ref="N32:O32"/>
    <mergeCell ref="N33:O33"/>
    <mergeCell ref="P32:Q32"/>
    <mergeCell ref="P33:Q33"/>
    <mergeCell ref="H34:I34"/>
    <mergeCell ref="J32:K32"/>
    <mergeCell ref="J33:K33"/>
    <mergeCell ref="J34:K34"/>
    <mergeCell ref="H31:I31"/>
    <mergeCell ref="H32:I32"/>
    <mergeCell ref="H33:I33"/>
    <mergeCell ref="J31:K31"/>
    <mergeCell ref="H30:I30"/>
    <mergeCell ref="J27:K27"/>
    <mergeCell ref="J28:K28"/>
    <mergeCell ref="J29:K29"/>
    <mergeCell ref="J30:K30"/>
    <mergeCell ref="H27:I27"/>
    <mergeCell ref="H28:I28"/>
    <mergeCell ref="H29:I29"/>
    <mergeCell ref="N24:O24"/>
    <mergeCell ref="P24:Q24"/>
    <mergeCell ref="E5:Q5"/>
    <mergeCell ref="E1:I1"/>
    <mergeCell ref="E24:F24"/>
    <mergeCell ref="H24:I24"/>
    <mergeCell ref="J24:K24"/>
    <mergeCell ref="L24:M24"/>
    <mergeCell ref="E22:Q22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94AA-C7A6-43C5-A8DC-7ED6875E5A9D}">
  <sheetPr codeName="Sheet17"/>
  <dimension ref="B2:T15"/>
  <sheetViews>
    <sheetView showGridLines="0" workbookViewId="0">
      <selection activeCell="D9" sqref="D9"/>
    </sheetView>
  </sheetViews>
  <sheetFormatPr defaultRowHeight="14.4" x14ac:dyDescent="0.3"/>
  <cols>
    <col min="4" max="4" width="11.44140625" bestFit="1" customWidth="1"/>
    <col min="5" max="8" width="9" bestFit="1" customWidth="1"/>
  </cols>
  <sheetData>
    <row r="2" spans="2:20" ht="21" x14ac:dyDescent="0.4">
      <c r="B2" s="443" t="s">
        <v>63</v>
      </c>
      <c r="C2" s="443"/>
      <c r="D2" s="443"/>
    </row>
    <row r="5" spans="2:20" ht="18" x14ac:dyDescent="0.35">
      <c r="B5" s="442" t="s">
        <v>208</v>
      </c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</row>
    <row r="7" spans="2:20" x14ac:dyDescent="0.3">
      <c r="D7" s="8">
        <v>2020</v>
      </c>
      <c r="E7" s="8">
        <v>2021</v>
      </c>
      <c r="F7" s="8">
        <v>2022</v>
      </c>
      <c r="G7" s="8">
        <v>2023</v>
      </c>
      <c r="H7" s="8">
        <v>2024</v>
      </c>
      <c r="K7" s="8">
        <v>2020</v>
      </c>
      <c r="L7" s="8">
        <v>2021</v>
      </c>
      <c r="M7" s="8">
        <v>2022</v>
      </c>
      <c r="N7" s="8">
        <v>2023</v>
      </c>
      <c r="O7" s="8">
        <v>2024</v>
      </c>
    </row>
    <row r="9" spans="2:20" x14ac:dyDescent="0.3">
      <c r="B9" s="444" t="s">
        <v>218</v>
      </c>
      <c r="C9" s="445"/>
      <c r="D9" s="24">
        <f>ABS('IS 2023'!U60)</f>
        <v>20400</v>
      </c>
      <c r="E9" s="21">
        <f>ABS('IS 2024'!U60)</f>
        <v>20400</v>
      </c>
      <c r="F9" s="21">
        <f>ABS('IS 2025'!U61)</f>
        <v>8400</v>
      </c>
      <c r="G9" s="21">
        <f>ABS('IS 2026'!U62)</f>
        <v>8400</v>
      </c>
      <c r="H9" s="18">
        <f>ABS('IS 2027'!U62)</f>
        <v>8400</v>
      </c>
      <c r="K9" s="25">
        <f>D9/D13</f>
        <v>0.16886858051057912</v>
      </c>
      <c r="L9" s="26">
        <f t="shared" ref="L9:O9" si="0">E9/E13</f>
        <v>0.16886858051057912</v>
      </c>
      <c r="M9" s="26">
        <f t="shared" si="0"/>
        <v>7.9446146861877204E-2</v>
      </c>
      <c r="N9" s="26">
        <f t="shared" si="0"/>
        <v>7.9446146861877204E-2</v>
      </c>
      <c r="O9" s="27">
        <f t="shared" si="0"/>
        <v>1.4173483437272212E-2</v>
      </c>
    </row>
    <row r="10" spans="2:20" x14ac:dyDescent="0.3">
      <c r="B10" s="446" t="s">
        <v>60</v>
      </c>
      <c r="C10" s="447"/>
      <c r="D10" s="20">
        <f>ABS('IS 2023'!U37)+ABS('IS 2023'!U55)</f>
        <v>80604</v>
      </c>
      <c r="E10" s="17">
        <f>ABS('IS 2024'!U37)+ABS('IS 2024'!U55)</f>
        <v>80604</v>
      </c>
      <c r="F10" s="17">
        <f>ABS('IS 2025'!U36)+ABS('IS 2025'!U56)</f>
        <v>80616</v>
      </c>
      <c r="G10" s="17">
        <f>ABS('IS 2026'!U37)+ABS('IS 2026'!U57)</f>
        <v>80616</v>
      </c>
      <c r="H10" s="19">
        <f>ABS('IS 2027'!U37)+ABS('IS 2027'!U57)</f>
        <v>560616</v>
      </c>
      <c r="K10" s="28">
        <f>D10/D13</f>
        <v>0.66722956193503524</v>
      </c>
      <c r="L10" s="12">
        <f t="shared" ref="L10:O10" si="1">E10/E13</f>
        <v>0.66722956193503524</v>
      </c>
      <c r="M10" s="12">
        <f t="shared" si="1"/>
        <v>0.76245602088298714</v>
      </c>
      <c r="N10" s="12">
        <f t="shared" si="1"/>
        <v>0.76245602088298714</v>
      </c>
      <c r="O10" s="29">
        <f t="shared" si="1"/>
        <v>0.94593828460354745</v>
      </c>
    </row>
    <row r="11" spans="2:20" x14ac:dyDescent="0.3">
      <c r="B11" s="446" t="s">
        <v>125</v>
      </c>
      <c r="C11" s="447"/>
      <c r="D11" s="20">
        <f>ABS('IS 2023'!U62)</f>
        <v>10800</v>
      </c>
      <c r="E11" s="17">
        <f>ABS('IS 2024'!U62)</f>
        <v>10800</v>
      </c>
      <c r="F11" s="17">
        <f>ABS('IS 2025'!U63)</f>
        <v>10800</v>
      </c>
      <c r="G11" s="17">
        <f>ABS('IS 2026'!U64)</f>
        <v>10800</v>
      </c>
      <c r="H11" s="19">
        <f>ABS('IS 2027'!U64)</f>
        <v>10800</v>
      </c>
      <c r="K11" s="28">
        <f>D11/D13</f>
        <v>8.9401013211483069E-2</v>
      </c>
      <c r="L11" s="12">
        <f t="shared" ref="L11:O11" si="2">E11/E13</f>
        <v>8.9401013211483069E-2</v>
      </c>
      <c r="M11" s="12">
        <f t="shared" si="2"/>
        <v>0.10214504596527069</v>
      </c>
      <c r="N11" s="12">
        <f t="shared" si="2"/>
        <v>0.10214504596527069</v>
      </c>
      <c r="O11" s="29">
        <f t="shared" si="2"/>
        <v>1.8223050133635701E-2</v>
      </c>
    </row>
    <row r="12" spans="2:20" x14ac:dyDescent="0.3">
      <c r="B12" s="446" t="s">
        <v>61</v>
      </c>
      <c r="C12" s="447"/>
      <c r="D12" s="20">
        <f>ABS('IS 2023'!U48)</f>
        <v>9000</v>
      </c>
      <c r="E12" s="17">
        <f>ABS('IS 2024'!U48)</f>
        <v>9000</v>
      </c>
      <c r="F12" s="17">
        <f>ABS('IS 2025'!U47)</f>
        <v>5916</v>
      </c>
      <c r="G12" s="17">
        <f>ABS('IS 2026'!U48)</f>
        <v>5916</v>
      </c>
      <c r="H12" s="19">
        <f>ABS('IS 2027'!U50)</f>
        <v>12840</v>
      </c>
      <c r="K12" s="28">
        <f>D12/D13</f>
        <v>7.450084434290255E-2</v>
      </c>
      <c r="L12" s="12">
        <f t="shared" ref="L12:O12" si="3">E12/E13</f>
        <v>7.450084434290255E-2</v>
      </c>
      <c r="M12" s="12">
        <f t="shared" si="3"/>
        <v>5.5952786289864942E-2</v>
      </c>
      <c r="N12" s="12">
        <f t="shared" si="3"/>
        <v>5.5952786289864942E-2</v>
      </c>
      <c r="O12" s="29">
        <f t="shared" si="3"/>
        <v>2.1665181825544666E-2</v>
      </c>
    </row>
    <row r="13" spans="2:20" x14ac:dyDescent="0.3">
      <c r="B13" s="448"/>
      <c r="C13" s="449"/>
      <c r="D13" s="213">
        <f>SUM(D9:D12)</f>
        <v>120804</v>
      </c>
      <c r="E13" s="22">
        <f t="shared" ref="E13:H13" si="4">SUM(E9:E12)</f>
        <v>120804</v>
      </c>
      <c r="F13" s="22">
        <f t="shared" si="4"/>
        <v>105732</v>
      </c>
      <c r="G13" s="22">
        <f t="shared" si="4"/>
        <v>105732</v>
      </c>
      <c r="H13" s="23">
        <f t="shared" si="4"/>
        <v>592656</v>
      </c>
      <c r="K13" s="30">
        <v>1</v>
      </c>
      <c r="L13" s="31">
        <v>1</v>
      </c>
      <c r="M13" s="31">
        <v>1</v>
      </c>
      <c r="N13" s="31">
        <v>1</v>
      </c>
      <c r="O13" s="32">
        <v>1</v>
      </c>
    </row>
    <row r="15" spans="2:20" ht="18" x14ac:dyDescent="0.35">
      <c r="B15" s="442" t="s">
        <v>62</v>
      </c>
      <c r="C15" s="442"/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</row>
  </sheetData>
  <mergeCells count="8">
    <mergeCell ref="B15:T15"/>
    <mergeCell ref="B2:D2"/>
    <mergeCell ref="B5:T5"/>
    <mergeCell ref="B9:C9"/>
    <mergeCell ref="B10:C10"/>
    <mergeCell ref="B11:C11"/>
    <mergeCell ref="B12:C12"/>
    <mergeCell ref="B13:C1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19B7F-5C35-48E4-8BB0-61B004BCE33D}">
  <sheetPr codeName="Sheet19"/>
  <dimension ref="C2:Q49"/>
  <sheetViews>
    <sheetView showGridLines="0" workbookViewId="0">
      <selection activeCell="S48" sqref="S48"/>
    </sheetView>
  </sheetViews>
  <sheetFormatPr defaultRowHeight="14.4" x14ac:dyDescent="0.3"/>
  <cols>
    <col min="1" max="1" width="5.44140625" customWidth="1"/>
    <col min="2" max="2" width="5.5546875" customWidth="1"/>
    <col min="8" max="8" width="6.77734375" customWidth="1"/>
    <col min="9" max="9" width="12.44140625" customWidth="1"/>
    <col min="10" max="10" width="10.77734375" customWidth="1"/>
    <col min="11" max="11" width="14.44140625" customWidth="1"/>
    <col min="12" max="12" width="14.33203125" customWidth="1"/>
    <col min="13" max="13" width="14.5546875" customWidth="1"/>
    <col min="14" max="14" width="12.88671875" customWidth="1"/>
    <col min="15" max="15" width="15.109375" customWidth="1"/>
    <col min="16" max="16" width="13.109375" customWidth="1"/>
    <col min="17" max="17" width="13.33203125" customWidth="1"/>
  </cols>
  <sheetData>
    <row r="2" spans="3:17" x14ac:dyDescent="0.3">
      <c r="C2" s="455" t="s">
        <v>69</v>
      </c>
      <c r="D2" s="456"/>
      <c r="E2" s="456"/>
      <c r="F2" s="456"/>
      <c r="G2" s="456"/>
      <c r="H2" s="456"/>
      <c r="I2" s="457"/>
    </row>
    <row r="5" spans="3:17" x14ac:dyDescent="0.3">
      <c r="C5" s="461" t="s">
        <v>209</v>
      </c>
      <c r="D5" s="461"/>
      <c r="E5" s="461"/>
      <c r="F5" s="461"/>
      <c r="G5" s="461"/>
      <c r="H5" s="461"/>
      <c r="I5" s="461"/>
    </row>
    <row r="7" spans="3:17" x14ac:dyDescent="0.3">
      <c r="H7" s="455" t="s">
        <v>71</v>
      </c>
      <c r="I7" s="456"/>
      <c r="J7" s="456"/>
      <c r="K7" s="456"/>
      <c r="L7" s="456"/>
      <c r="M7" s="456"/>
      <c r="N7" s="456"/>
      <c r="O7" s="456"/>
      <c r="P7" s="456"/>
      <c r="Q7" s="457"/>
    </row>
    <row r="8" spans="3:17" x14ac:dyDescent="0.3">
      <c r="C8" s="458" t="s">
        <v>70</v>
      </c>
      <c r="D8" s="459"/>
      <c r="E8" s="459"/>
      <c r="F8" s="460"/>
      <c r="H8" s="450">
        <v>2023</v>
      </c>
      <c r="I8" s="451"/>
      <c r="J8" s="450">
        <v>2024</v>
      </c>
      <c r="K8" s="451"/>
      <c r="L8" s="450">
        <v>2025</v>
      </c>
      <c r="M8" s="451"/>
      <c r="N8" s="450">
        <v>2026</v>
      </c>
      <c r="O8" s="451"/>
      <c r="P8" s="450">
        <v>2027</v>
      </c>
      <c r="Q8" s="451"/>
    </row>
    <row r="9" spans="3:17" x14ac:dyDescent="0.3">
      <c r="C9" s="317" t="s">
        <v>360</v>
      </c>
      <c r="D9" s="318"/>
      <c r="E9" s="318"/>
      <c r="F9" s="319"/>
      <c r="H9" s="217">
        <v>1</v>
      </c>
      <c r="I9" s="218">
        <v>40000</v>
      </c>
      <c r="J9" s="217">
        <v>1</v>
      </c>
      <c r="K9" s="218">
        <v>40000</v>
      </c>
      <c r="L9" s="217">
        <v>1</v>
      </c>
      <c r="M9" s="218">
        <v>45000</v>
      </c>
      <c r="N9" s="217">
        <v>1</v>
      </c>
      <c r="O9" s="218">
        <v>45000</v>
      </c>
      <c r="P9" s="217">
        <v>1</v>
      </c>
      <c r="Q9" s="218">
        <v>46000</v>
      </c>
    </row>
    <row r="10" spans="3:17" x14ac:dyDescent="0.3">
      <c r="C10" s="314" t="s">
        <v>277</v>
      </c>
      <c r="D10" s="315"/>
      <c r="E10" s="315"/>
      <c r="F10" s="316"/>
      <c r="H10" s="220">
        <v>1</v>
      </c>
      <c r="I10" s="221">
        <v>35000</v>
      </c>
      <c r="J10" s="220">
        <v>1</v>
      </c>
      <c r="K10" s="221">
        <v>35000</v>
      </c>
      <c r="L10" s="220">
        <v>1</v>
      </c>
      <c r="M10" s="221">
        <v>35000</v>
      </c>
      <c r="N10" s="220">
        <v>1</v>
      </c>
      <c r="O10" s="221">
        <v>35000</v>
      </c>
      <c r="P10" s="220">
        <v>1</v>
      </c>
      <c r="Q10" s="221">
        <v>35000</v>
      </c>
    </row>
    <row r="11" spans="3:17" x14ac:dyDescent="0.3">
      <c r="C11" s="314" t="s">
        <v>250</v>
      </c>
      <c r="D11" s="315"/>
      <c r="E11" s="315"/>
      <c r="F11" s="316"/>
      <c r="H11" s="220">
        <v>1</v>
      </c>
      <c r="I11" s="221">
        <v>45000</v>
      </c>
      <c r="J11" s="220">
        <v>1</v>
      </c>
      <c r="K11" s="221">
        <v>45000</v>
      </c>
      <c r="L11" s="220">
        <v>1</v>
      </c>
      <c r="M11" s="221">
        <v>45000</v>
      </c>
      <c r="N11" s="220">
        <v>1</v>
      </c>
      <c r="O11" s="221">
        <v>45000</v>
      </c>
      <c r="P11" s="220">
        <v>1</v>
      </c>
      <c r="Q11" s="221">
        <v>45000</v>
      </c>
    </row>
    <row r="12" spans="3:17" x14ac:dyDescent="0.3">
      <c r="C12" s="314" t="s">
        <v>267</v>
      </c>
      <c r="D12" s="315"/>
      <c r="E12" s="315"/>
      <c r="F12" s="316"/>
      <c r="H12" s="220">
        <v>1</v>
      </c>
      <c r="I12" s="221">
        <v>25000</v>
      </c>
      <c r="J12" s="220">
        <v>1</v>
      </c>
      <c r="K12" s="221">
        <v>25000</v>
      </c>
      <c r="L12" s="220">
        <v>1</v>
      </c>
      <c r="M12" s="221">
        <v>25000</v>
      </c>
      <c r="N12" s="220">
        <v>1</v>
      </c>
      <c r="O12" s="221">
        <v>25000</v>
      </c>
      <c r="P12" s="220">
        <v>1</v>
      </c>
      <c r="Q12" s="221">
        <v>25000</v>
      </c>
    </row>
    <row r="13" spans="3:17" x14ac:dyDescent="0.3">
      <c r="C13" s="314" t="s">
        <v>278</v>
      </c>
      <c r="D13" s="315"/>
      <c r="E13" s="315"/>
      <c r="F13" s="316"/>
      <c r="H13" s="220">
        <v>1</v>
      </c>
      <c r="I13" s="221">
        <v>25000</v>
      </c>
      <c r="J13" s="220">
        <v>1</v>
      </c>
      <c r="K13" s="221">
        <v>25000</v>
      </c>
      <c r="L13" s="220">
        <v>1</v>
      </c>
      <c r="M13" s="221">
        <v>25000</v>
      </c>
      <c r="N13" s="220">
        <v>1</v>
      </c>
      <c r="O13" s="221">
        <v>25000</v>
      </c>
      <c r="P13" s="220">
        <v>1</v>
      </c>
      <c r="Q13" s="221">
        <v>25000</v>
      </c>
    </row>
    <row r="14" spans="3:17" x14ac:dyDescent="0.3">
      <c r="C14" s="314" t="s">
        <v>279</v>
      </c>
      <c r="D14" s="315"/>
      <c r="E14" s="315"/>
      <c r="F14" s="316"/>
      <c r="H14" s="220">
        <v>3</v>
      </c>
      <c r="I14" s="221">
        <v>20000</v>
      </c>
      <c r="J14" s="220">
        <v>3</v>
      </c>
      <c r="K14" s="221">
        <v>20000</v>
      </c>
      <c r="L14" s="220">
        <v>4</v>
      </c>
      <c r="M14" s="221">
        <v>20000</v>
      </c>
      <c r="N14" s="220">
        <v>3</v>
      </c>
      <c r="O14" s="221">
        <v>20000</v>
      </c>
      <c r="P14" s="220">
        <v>2</v>
      </c>
      <c r="Q14" s="221">
        <v>20000</v>
      </c>
    </row>
    <row r="15" spans="3:17" x14ac:dyDescent="0.3">
      <c r="C15" s="314" t="s">
        <v>361</v>
      </c>
      <c r="D15" s="315"/>
      <c r="E15" s="315"/>
      <c r="F15" s="316"/>
      <c r="H15" s="220">
        <v>2</v>
      </c>
      <c r="I15" s="221">
        <v>20000</v>
      </c>
      <c r="J15" s="220">
        <v>2</v>
      </c>
      <c r="K15" s="222">
        <v>21000</v>
      </c>
      <c r="L15" s="220">
        <v>2</v>
      </c>
      <c r="M15" s="222">
        <v>21000</v>
      </c>
      <c r="N15" s="220">
        <v>3</v>
      </c>
      <c r="O15" s="222">
        <v>22000</v>
      </c>
      <c r="P15" s="220">
        <v>3</v>
      </c>
      <c r="Q15" s="222">
        <v>22000</v>
      </c>
    </row>
    <row r="16" spans="3:17" x14ac:dyDescent="0.3">
      <c r="C16" s="314"/>
      <c r="D16" s="315"/>
      <c r="E16" s="315"/>
      <c r="F16" s="316"/>
      <c r="H16" s="220"/>
      <c r="I16" s="221"/>
      <c r="J16" s="220"/>
      <c r="K16" s="222"/>
      <c r="L16" s="220"/>
      <c r="M16" s="222"/>
      <c r="N16" s="220"/>
      <c r="O16" s="222"/>
      <c r="P16" s="220"/>
      <c r="Q16" s="222"/>
    </row>
    <row r="17" spans="3:17" x14ac:dyDescent="0.3">
      <c r="C17" s="314"/>
      <c r="D17" s="315"/>
      <c r="E17" s="315"/>
      <c r="F17" s="316"/>
      <c r="H17" s="220"/>
      <c r="I17" s="221"/>
      <c r="J17" s="220"/>
      <c r="K17" s="222"/>
      <c r="L17" s="220"/>
      <c r="M17" s="222"/>
      <c r="N17" s="220"/>
      <c r="O17" s="222"/>
      <c r="P17" s="220"/>
      <c r="Q17" s="222"/>
    </row>
    <row r="18" spans="3:17" x14ac:dyDescent="0.3">
      <c r="C18" s="314"/>
      <c r="D18" s="315"/>
      <c r="E18" s="315"/>
      <c r="F18" s="316"/>
      <c r="H18" s="220"/>
      <c r="I18" s="221"/>
      <c r="J18" s="220"/>
      <c r="K18" s="222"/>
      <c r="L18" s="220"/>
      <c r="M18" s="222"/>
      <c r="N18" s="220"/>
      <c r="O18" s="222"/>
      <c r="P18" s="220"/>
      <c r="Q18" s="222"/>
    </row>
    <row r="19" spans="3:17" x14ac:dyDescent="0.3">
      <c r="C19" s="314"/>
      <c r="D19" s="315"/>
      <c r="E19" s="315"/>
      <c r="F19" s="316"/>
      <c r="H19" s="220"/>
      <c r="I19" s="221"/>
      <c r="J19" s="220"/>
      <c r="K19" s="222"/>
      <c r="L19" s="220"/>
      <c r="M19" s="222"/>
      <c r="N19" s="220"/>
      <c r="O19" s="222"/>
      <c r="P19" s="220"/>
      <c r="Q19" s="222"/>
    </row>
    <row r="20" spans="3:17" x14ac:dyDescent="0.3">
      <c r="C20" s="314"/>
      <c r="D20" s="315"/>
      <c r="E20" s="315"/>
      <c r="F20" s="316"/>
      <c r="H20" s="220"/>
      <c r="I20" s="221"/>
      <c r="J20" s="220"/>
      <c r="K20" s="222"/>
      <c r="L20" s="221"/>
      <c r="M20" s="221"/>
      <c r="N20" s="220"/>
      <c r="O20" s="222"/>
      <c r="P20" s="221"/>
      <c r="Q20" s="222"/>
    </row>
    <row r="21" spans="3:17" x14ac:dyDescent="0.3">
      <c r="C21" s="314"/>
      <c r="D21" s="315"/>
      <c r="E21" s="315"/>
      <c r="F21" s="316"/>
      <c r="H21" s="220"/>
      <c r="I21" s="221"/>
      <c r="J21" s="220"/>
      <c r="K21" s="222"/>
      <c r="L21" s="221"/>
      <c r="M21" s="221"/>
      <c r="N21" s="220"/>
      <c r="O21" s="222"/>
      <c r="P21" s="221"/>
      <c r="Q21" s="222"/>
    </row>
    <row r="22" spans="3:17" x14ac:dyDescent="0.3">
      <c r="C22" s="314"/>
      <c r="D22" s="315"/>
      <c r="E22" s="315"/>
      <c r="F22" s="316"/>
      <c r="H22" s="220"/>
      <c r="I22" s="221"/>
      <c r="J22" s="220"/>
      <c r="K22" s="222"/>
      <c r="L22" s="221"/>
      <c r="M22" s="221"/>
      <c r="N22" s="220"/>
      <c r="O22" s="222"/>
      <c r="P22" s="221"/>
      <c r="Q22" s="222"/>
    </row>
    <row r="23" spans="3:17" x14ac:dyDescent="0.3">
      <c r="C23" s="462"/>
      <c r="D23" s="463"/>
      <c r="E23" s="463"/>
      <c r="F23" s="464"/>
      <c r="H23" s="220"/>
      <c r="I23" s="221"/>
      <c r="J23" s="220"/>
      <c r="K23" s="222"/>
      <c r="L23" s="221"/>
      <c r="M23" s="221"/>
      <c r="N23" s="220"/>
      <c r="O23" s="222"/>
      <c r="P23" s="221"/>
      <c r="Q23" s="222"/>
    </row>
    <row r="24" spans="3:17" x14ac:dyDescent="0.3">
      <c r="C24" s="462"/>
      <c r="D24" s="463"/>
      <c r="E24" s="463"/>
      <c r="F24" s="464"/>
      <c r="H24" s="220"/>
      <c r="I24" s="221"/>
      <c r="J24" s="220"/>
      <c r="K24" s="222"/>
      <c r="L24" s="221"/>
      <c r="M24" s="221"/>
      <c r="N24" s="220"/>
      <c r="O24" s="222"/>
      <c r="P24" s="221"/>
      <c r="Q24" s="222"/>
    </row>
    <row r="25" spans="3:17" x14ac:dyDescent="0.3">
      <c r="C25" s="462"/>
      <c r="D25" s="463"/>
      <c r="E25" s="463"/>
      <c r="F25" s="464"/>
      <c r="H25" s="220"/>
      <c r="I25" s="221"/>
      <c r="J25" s="220"/>
      <c r="K25" s="222"/>
      <c r="L25" s="221"/>
      <c r="M25" s="221"/>
      <c r="N25" s="220"/>
      <c r="O25" s="222"/>
      <c r="P25" s="221"/>
      <c r="Q25" s="222"/>
    </row>
    <row r="26" spans="3:17" x14ac:dyDescent="0.3">
      <c r="C26" s="462"/>
      <c r="D26" s="463"/>
      <c r="E26" s="463"/>
      <c r="F26" s="464"/>
      <c r="H26" s="220"/>
      <c r="I26" s="221"/>
      <c r="J26" s="220"/>
      <c r="K26" s="222"/>
      <c r="L26" s="221"/>
      <c r="M26" s="221"/>
      <c r="N26" s="220"/>
      <c r="O26" s="222"/>
      <c r="P26" s="221"/>
      <c r="Q26" s="222"/>
    </row>
    <row r="27" spans="3:17" x14ac:dyDescent="0.3">
      <c r="C27" s="462"/>
      <c r="D27" s="463"/>
      <c r="E27" s="463"/>
      <c r="F27" s="464"/>
      <c r="H27" s="220"/>
      <c r="I27" s="221"/>
      <c r="J27" s="220"/>
      <c r="K27" s="222"/>
      <c r="L27" s="221"/>
      <c r="M27" s="221"/>
      <c r="N27" s="220"/>
      <c r="O27" s="222"/>
      <c r="P27" s="221"/>
      <c r="Q27" s="222"/>
    </row>
    <row r="28" spans="3:17" x14ac:dyDescent="0.3">
      <c r="C28" s="452"/>
      <c r="D28" s="453"/>
      <c r="E28" s="453"/>
      <c r="F28" s="454"/>
      <c r="H28" s="240"/>
      <c r="I28" s="241"/>
      <c r="J28" s="240"/>
      <c r="K28" s="242"/>
      <c r="L28" s="241"/>
      <c r="M28" s="241"/>
      <c r="N28" s="240"/>
      <c r="O28" s="242"/>
      <c r="P28" s="241"/>
      <c r="Q28" s="242"/>
    </row>
    <row r="29" spans="3:17" x14ac:dyDescent="0.3">
      <c r="C29" s="458" t="s">
        <v>72</v>
      </c>
      <c r="D29" s="459"/>
      <c r="E29" s="459"/>
      <c r="F29" s="460"/>
      <c r="H29" s="450">
        <v>2023</v>
      </c>
      <c r="I29" s="451"/>
      <c r="J29" s="450">
        <v>2024</v>
      </c>
      <c r="K29" s="451"/>
      <c r="L29" s="450">
        <v>2025</v>
      </c>
      <c r="M29" s="451"/>
      <c r="N29" s="450">
        <v>2026</v>
      </c>
      <c r="O29" s="451"/>
      <c r="P29" s="450">
        <v>2027</v>
      </c>
      <c r="Q29" s="451"/>
    </row>
    <row r="30" spans="3:17" x14ac:dyDescent="0.3">
      <c r="C30" s="317" t="str">
        <f>C9</f>
        <v>Shop Manager</v>
      </c>
      <c r="D30" s="318"/>
      <c r="E30" s="318"/>
      <c r="F30" s="319"/>
      <c r="H30" s="217">
        <f>H9</f>
        <v>1</v>
      </c>
      <c r="I30" s="219">
        <f>SUM(H9*I9)</f>
        <v>40000</v>
      </c>
      <c r="J30" s="217">
        <f>J9</f>
        <v>1</v>
      </c>
      <c r="K30" s="219">
        <f>SUM(J9*K9)</f>
        <v>40000</v>
      </c>
      <c r="L30" s="217">
        <f>L9</f>
        <v>1</v>
      </c>
      <c r="M30" s="219">
        <f>SUM(L9*M9)</f>
        <v>45000</v>
      </c>
      <c r="N30" s="217">
        <f>N9</f>
        <v>1</v>
      </c>
      <c r="O30" s="219">
        <f>SUM(N9*O9)</f>
        <v>45000</v>
      </c>
      <c r="P30" s="217">
        <f>P9</f>
        <v>1</v>
      </c>
      <c r="Q30" s="219">
        <f>SUM(P9*Q9)</f>
        <v>46000</v>
      </c>
    </row>
    <row r="31" spans="3:17" x14ac:dyDescent="0.3">
      <c r="C31" s="314" t="str">
        <f t="shared" ref="C31:C36" si="0">C10</f>
        <v>IT Manager</v>
      </c>
      <c r="D31" s="315"/>
      <c r="E31" s="315"/>
      <c r="F31" s="316"/>
      <c r="H31" s="220">
        <f>H10</f>
        <v>1</v>
      </c>
      <c r="I31" s="222">
        <f>SUM(H10*I10)</f>
        <v>35000</v>
      </c>
      <c r="J31" s="220">
        <f>J10</f>
        <v>1</v>
      </c>
      <c r="K31" s="222">
        <f>SUM(J10*K10)</f>
        <v>35000</v>
      </c>
      <c r="L31" s="220">
        <f>L10</f>
        <v>1</v>
      </c>
      <c r="M31" s="222">
        <f>SUM(L10*M10)</f>
        <v>35000</v>
      </c>
      <c r="N31" s="220">
        <f>N10</f>
        <v>1</v>
      </c>
      <c r="O31" s="222">
        <f>SUM(N10*O10)</f>
        <v>35000</v>
      </c>
      <c r="P31" s="220">
        <f>P10</f>
        <v>1</v>
      </c>
      <c r="Q31" s="222">
        <f>SUM(P10*Q10)</f>
        <v>35000</v>
      </c>
    </row>
    <row r="32" spans="3:17" x14ac:dyDescent="0.3">
      <c r="C32" s="314" t="str">
        <f t="shared" si="0"/>
        <v>Chief Operating Officer</v>
      </c>
      <c r="D32" s="315"/>
      <c r="E32" s="315"/>
      <c r="F32" s="316"/>
      <c r="H32" s="220">
        <f>H11</f>
        <v>1</v>
      </c>
      <c r="I32" s="222">
        <f>SUM(H11*I11)</f>
        <v>45000</v>
      </c>
      <c r="J32" s="220">
        <f>J11</f>
        <v>1</v>
      </c>
      <c r="K32" s="222">
        <f>SUM(J11*K11)</f>
        <v>45000</v>
      </c>
      <c r="L32" s="220">
        <f>L11</f>
        <v>1</v>
      </c>
      <c r="M32" s="222">
        <f>SUM(L11*M11)</f>
        <v>45000</v>
      </c>
      <c r="N32" s="220">
        <f>N11</f>
        <v>1</v>
      </c>
      <c r="O32" s="222">
        <f>SUM(N11*O11)</f>
        <v>45000</v>
      </c>
      <c r="P32" s="220">
        <f>P11</f>
        <v>1</v>
      </c>
      <c r="Q32" s="222">
        <f>SUM(P11*Q11)</f>
        <v>45000</v>
      </c>
    </row>
    <row r="33" spans="3:17" x14ac:dyDescent="0.3">
      <c r="C33" s="314" t="str">
        <f t="shared" si="0"/>
        <v>Marketing Manager</v>
      </c>
      <c r="D33" s="315"/>
      <c r="E33" s="315"/>
      <c r="F33" s="316"/>
      <c r="G33" s="320"/>
      <c r="H33" s="220">
        <f>H12</f>
        <v>1</v>
      </c>
      <c r="I33" s="222">
        <f>SUM(H12*I12)</f>
        <v>25000</v>
      </c>
      <c r="J33" s="220">
        <f>J12</f>
        <v>1</v>
      </c>
      <c r="K33" s="222">
        <f>SUM(J12*K12)</f>
        <v>25000</v>
      </c>
      <c r="L33" s="220">
        <f>L12</f>
        <v>1</v>
      </c>
      <c r="M33" s="222">
        <f>SUM(L12*M12)</f>
        <v>25000</v>
      </c>
      <c r="N33" s="220">
        <f>N12</f>
        <v>1</v>
      </c>
      <c r="O33" s="222">
        <f>SUM(N12*O12)</f>
        <v>25000</v>
      </c>
      <c r="P33" s="220">
        <f>P12</f>
        <v>1</v>
      </c>
      <c r="Q33" s="222">
        <f>SUM(P12*Q12)</f>
        <v>25000</v>
      </c>
    </row>
    <row r="34" spans="3:17" x14ac:dyDescent="0.3">
      <c r="C34" s="314" t="str">
        <f t="shared" si="0"/>
        <v>Senior Installer</v>
      </c>
      <c r="D34" s="315"/>
      <c r="E34" s="315"/>
      <c r="F34" s="316"/>
      <c r="G34" s="320"/>
      <c r="H34" s="220">
        <f t="shared" ref="H34:H35" si="1">H13</f>
        <v>1</v>
      </c>
      <c r="I34" s="222">
        <f t="shared" ref="I34:I35" si="2">SUM(H13*I13)</f>
        <v>25000</v>
      </c>
      <c r="J34" s="220">
        <f t="shared" ref="J34:J36" si="3">J13</f>
        <v>1</v>
      </c>
      <c r="K34" s="222">
        <f t="shared" ref="K34:K36" si="4">SUM(J13*K13)</f>
        <v>25000</v>
      </c>
      <c r="L34" s="220">
        <f t="shared" ref="L34:L36" si="5">L13</f>
        <v>1</v>
      </c>
      <c r="M34" s="222">
        <f t="shared" ref="M34:M36" si="6">SUM(L13*M13)</f>
        <v>25000</v>
      </c>
      <c r="N34" s="220">
        <f t="shared" ref="N34:N36" si="7">N13</f>
        <v>1</v>
      </c>
      <c r="O34" s="222">
        <f t="shared" ref="O34:O36" si="8">SUM(N13*O13)</f>
        <v>25000</v>
      </c>
      <c r="P34" s="220">
        <f t="shared" ref="P34:P36" si="9">P13</f>
        <v>1</v>
      </c>
      <c r="Q34" s="222">
        <f t="shared" ref="Q34:Q36" si="10">SUM(P13*Q13)</f>
        <v>25000</v>
      </c>
    </row>
    <row r="35" spans="3:17" x14ac:dyDescent="0.3">
      <c r="C35" s="314" t="str">
        <f t="shared" si="0"/>
        <v>Installer</v>
      </c>
      <c r="D35" s="315"/>
      <c r="E35" s="315"/>
      <c r="F35" s="316"/>
      <c r="G35" s="320"/>
      <c r="H35" s="220">
        <f t="shared" si="1"/>
        <v>3</v>
      </c>
      <c r="I35" s="222">
        <f t="shared" si="2"/>
        <v>60000</v>
      </c>
      <c r="J35" s="220">
        <f t="shared" si="3"/>
        <v>3</v>
      </c>
      <c r="K35" s="222">
        <f t="shared" si="4"/>
        <v>60000</v>
      </c>
      <c r="L35" s="220">
        <f t="shared" si="5"/>
        <v>4</v>
      </c>
      <c r="M35" s="222">
        <f t="shared" si="6"/>
        <v>80000</v>
      </c>
      <c r="N35" s="220">
        <f t="shared" si="7"/>
        <v>3</v>
      </c>
      <c r="O35" s="222">
        <f t="shared" si="8"/>
        <v>60000</v>
      </c>
      <c r="P35" s="220">
        <f t="shared" si="9"/>
        <v>2</v>
      </c>
      <c r="Q35" s="222">
        <f t="shared" si="10"/>
        <v>40000</v>
      </c>
    </row>
    <row r="36" spans="3:17" x14ac:dyDescent="0.3">
      <c r="C36" s="314" t="str">
        <f t="shared" si="0"/>
        <v>Sop Assistant</v>
      </c>
      <c r="D36" s="315"/>
      <c r="E36" s="315"/>
      <c r="F36" s="316"/>
      <c r="G36" s="320"/>
      <c r="H36" s="220">
        <f>H15</f>
        <v>2</v>
      </c>
      <c r="I36" s="222">
        <f>SUM(H15*I15)</f>
        <v>40000</v>
      </c>
      <c r="J36" s="220">
        <f t="shared" si="3"/>
        <v>2</v>
      </c>
      <c r="K36" s="222">
        <f t="shared" si="4"/>
        <v>42000</v>
      </c>
      <c r="L36" s="220">
        <f t="shared" si="5"/>
        <v>2</v>
      </c>
      <c r="M36" s="222">
        <f t="shared" si="6"/>
        <v>42000</v>
      </c>
      <c r="N36" s="220">
        <f t="shared" si="7"/>
        <v>3</v>
      </c>
      <c r="O36" s="222">
        <f t="shared" si="8"/>
        <v>66000</v>
      </c>
      <c r="P36" s="220">
        <f t="shared" si="9"/>
        <v>3</v>
      </c>
      <c r="Q36" s="222">
        <f t="shared" si="10"/>
        <v>66000</v>
      </c>
    </row>
    <row r="37" spans="3:17" x14ac:dyDescent="0.3">
      <c r="C37" s="314"/>
      <c r="D37" s="315"/>
      <c r="E37" s="315"/>
      <c r="F37" s="316"/>
      <c r="H37" s="220"/>
      <c r="I37" s="222"/>
      <c r="J37" s="220"/>
      <c r="K37" s="222"/>
      <c r="L37" s="220"/>
      <c r="M37" s="222"/>
      <c r="N37" s="220"/>
      <c r="O37" s="222"/>
      <c r="P37" s="220"/>
      <c r="Q37" s="222"/>
    </row>
    <row r="38" spans="3:17" x14ac:dyDescent="0.3">
      <c r="C38" s="314"/>
      <c r="D38" s="315"/>
      <c r="E38" s="315"/>
      <c r="F38" s="316"/>
      <c r="H38" s="220"/>
      <c r="I38" s="222"/>
      <c r="J38" s="220"/>
      <c r="K38" s="222"/>
      <c r="L38" s="220"/>
      <c r="M38" s="222"/>
      <c r="N38" s="220"/>
      <c r="O38" s="222"/>
      <c r="P38" s="220"/>
      <c r="Q38" s="222"/>
    </row>
    <row r="39" spans="3:17" x14ac:dyDescent="0.3">
      <c r="C39" s="314"/>
      <c r="D39" s="315"/>
      <c r="E39" s="315"/>
      <c r="F39" s="316"/>
      <c r="H39" s="220"/>
      <c r="I39" s="222"/>
      <c r="J39" s="220"/>
      <c r="K39" s="222"/>
      <c r="L39" s="220"/>
      <c r="M39" s="222"/>
      <c r="N39" s="220"/>
      <c r="O39" s="222"/>
      <c r="P39" s="220"/>
      <c r="Q39" s="222"/>
    </row>
    <row r="40" spans="3:17" x14ac:dyDescent="0.3">
      <c r="C40" s="314"/>
      <c r="D40" s="315"/>
      <c r="E40" s="315"/>
      <c r="F40" s="316"/>
      <c r="H40" s="220"/>
      <c r="I40" s="222"/>
      <c r="J40" s="220"/>
      <c r="K40" s="222"/>
      <c r="L40" s="220"/>
      <c r="M40" s="222"/>
      <c r="N40" s="220"/>
      <c r="O40" s="222"/>
      <c r="P40" s="220"/>
      <c r="Q40" s="222"/>
    </row>
    <row r="41" spans="3:17" x14ac:dyDescent="0.3">
      <c r="C41" s="314"/>
      <c r="D41" s="315"/>
      <c r="E41" s="315"/>
      <c r="F41" s="316"/>
      <c r="H41" s="220"/>
      <c r="I41" s="221"/>
      <c r="J41" s="220"/>
      <c r="K41" s="222"/>
      <c r="L41" s="221"/>
      <c r="M41" s="221"/>
      <c r="N41" s="220"/>
      <c r="O41" s="222"/>
      <c r="P41" s="221"/>
      <c r="Q41" s="222"/>
    </row>
    <row r="42" spans="3:17" x14ac:dyDescent="0.3">
      <c r="C42" s="462"/>
      <c r="D42" s="463"/>
      <c r="E42" s="463"/>
      <c r="F42" s="464"/>
      <c r="H42" s="220"/>
      <c r="I42" s="221"/>
      <c r="J42" s="220"/>
      <c r="K42" s="222"/>
      <c r="L42" s="221"/>
      <c r="M42" s="221"/>
      <c r="N42" s="220"/>
      <c r="O42" s="222"/>
      <c r="P42" s="221"/>
      <c r="Q42" s="222"/>
    </row>
    <row r="43" spans="3:17" x14ac:dyDescent="0.3">
      <c r="C43" s="462"/>
      <c r="D43" s="463"/>
      <c r="E43" s="463"/>
      <c r="F43" s="464"/>
      <c r="H43" s="220"/>
      <c r="I43" s="221"/>
      <c r="J43" s="220"/>
      <c r="K43" s="222"/>
      <c r="L43" s="221"/>
      <c r="M43" s="221"/>
      <c r="N43" s="220"/>
      <c r="O43" s="222"/>
      <c r="P43" s="221"/>
      <c r="Q43" s="222"/>
    </row>
    <row r="44" spans="3:17" x14ac:dyDescent="0.3">
      <c r="C44" s="462"/>
      <c r="D44" s="463"/>
      <c r="E44" s="463"/>
      <c r="F44" s="464"/>
      <c r="H44" s="220"/>
      <c r="I44" s="221"/>
      <c r="J44" s="220"/>
      <c r="K44" s="222"/>
      <c r="L44" s="221"/>
      <c r="M44" s="221"/>
      <c r="N44" s="220"/>
      <c r="O44" s="222"/>
      <c r="P44" s="221"/>
      <c r="Q44" s="222"/>
    </row>
    <row r="45" spans="3:17" x14ac:dyDescent="0.3">
      <c r="C45" s="462"/>
      <c r="D45" s="463"/>
      <c r="E45" s="463"/>
      <c r="F45" s="464"/>
      <c r="H45" s="220"/>
      <c r="I45" s="221"/>
      <c r="J45" s="220"/>
      <c r="K45" s="222"/>
      <c r="L45" s="221"/>
      <c r="M45" s="221"/>
      <c r="N45" s="220"/>
      <c r="O45" s="222"/>
      <c r="P45" s="221"/>
      <c r="Q45" s="222"/>
    </row>
    <row r="46" spans="3:17" x14ac:dyDescent="0.3">
      <c r="C46" s="462"/>
      <c r="D46" s="463"/>
      <c r="E46" s="463"/>
      <c r="F46" s="464"/>
      <c r="H46" s="220"/>
      <c r="I46" s="221"/>
      <c r="J46" s="220"/>
      <c r="K46" s="222"/>
      <c r="L46" s="221"/>
      <c r="M46" s="221"/>
      <c r="N46" s="220"/>
      <c r="O46" s="222"/>
      <c r="P46" s="221"/>
      <c r="Q46" s="222"/>
    </row>
    <row r="47" spans="3:17" x14ac:dyDescent="0.3">
      <c r="C47" s="462"/>
      <c r="D47" s="463"/>
      <c r="E47" s="463"/>
      <c r="F47" s="464"/>
      <c r="H47" s="220"/>
      <c r="I47" s="221"/>
      <c r="J47" s="220"/>
      <c r="K47" s="222"/>
      <c r="L47" s="221"/>
      <c r="M47" s="221"/>
      <c r="N47" s="220"/>
      <c r="O47" s="222"/>
      <c r="P47" s="221"/>
      <c r="Q47" s="222"/>
    </row>
    <row r="48" spans="3:17" x14ac:dyDescent="0.3">
      <c r="C48" s="462"/>
      <c r="D48" s="463"/>
      <c r="E48" s="463"/>
      <c r="F48" s="464"/>
      <c r="H48" s="220"/>
      <c r="I48" s="221"/>
      <c r="J48" s="220"/>
      <c r="K48" s="222"/>
      <c r="L48" s="221"/>
      <c r="M48" s="221"/>
      <c r="N48" s="220"/>
      <c r="O48" s="222"/>
      <c r="P48" s="221"/>
      <c r="Q48" s="222"/>
    </row>
    <row r="49" spans="3:17" x14ac:dyDescent="0.3">
      <c r="C49" s="452"/>
      <c r="D49" s="453"/>
      <c r="E49" s="453"/>
      <c r="F49" s="454"/>
      <c r="H49" s="220"/>
      <c r="I49" s="221"/>
      <c r="J49" s="220"/>
      <c r="K49" s="222"/>
      <c r="L49" s="221"/>
      <c r="M49" s="221"/>
      <c r="N49" s="220"/>
      <c r="O49" s="222"/>
      <c r="P49" s="221"/>
      <c r="Q49" s="222"/>
    </row>
  </sheetData>
  <mergeCells count="29">
    <mergeCell ref="L29:M29"/>
    <mergeCell ref="N29:O29"/>
    <mergeCell ref="P29:Q29"/>
    <mergeCell ref="C48:F48"/>
    <mergeCell ref="C42:F42"/>
    <mergeCell ref="C43:F43"/>
    <mergeCell ref="H29:I29"/>
    <mergeCell ref="J29:K29"/>
    <mergeCell ref="C8:F8"/>
    <mergeCell ref="C46:F46"/>
    <mergeCell ref="C44:F44"/>
    <mergeCell ref="C45:F45"/>
    <mergeCell ref="C47:F47"/>
    <mergeCell ref="N8:O8"/>
    <mergeCell ref="L8:M8"/>
    <mergeCell ref="J8:K8"/>
    <mergeCell ref="C49:F49"/>
    <mergeCell ref="C2:I2"/>
    <mergeCell ref="C29:F29"/>
    <mergeCell ref="C5:I5"/>
    <mergeCell ref="C24:F24"/>
    <mergeCell ref="C25:F25"/>
    <mergeCell ref="C26:F26"/>
    <mergeCell ref="C27:F27"/>
    <mergeCell ref="C28:F28"/>
    <mergeCell ref="H7:Q7"/>
    <mergeCell ref="P8:Q8"/>
    <mergeCell ref="C23:F23"/>
    <mergeCell ref="H8:I8"/>
  </mergeCells>
  <phoneticPr fontId="7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A808-8A50-40B6-9620-FEAE4C53CF38}">
  <sheetPr codeName="Sheet39"/>
  <dimension ref="B2:Q46"/>
  <sheetViews>
    <sheetView showGridLines="0" workbookViewId="0">
      <selection activeCell="S35" sqref="S35"/>
    </sheetView>
  </sheetViews>
  <sheetFormatPr defaultRowHeight="14.4" x14ac:dyDescent="0.3"/>
  <cols>
    <col min="1" max="1" width="5.44140625" customWidth="1"/>
    <col min="2" max="2" width="5.5546875" style="434" customWidth="1"/>
    <col min="8" max="8" width="6.77734375" customWidth="1"/>
    <col min="9" max="9" width="12.44140625" customWidth="1"/>
    <col min="10" max="10" width="10.77734375" customWidth="1"/>
    <col min="11" max="11" width="14.44140625" customWidth="1"/>
    <col min="12" max="12" width="14.33203125" customWidth="1"/>
    <col min="13" max="13" width="14.5546875" customWidth="1"/>
    <col min="14" max="14" width="12.88671875" customWidth="1"/>
    <col min="15" max="15" width="15.109375" customWidth="1"/>
    <col min="16" max="16" width="13.109375" customWidth="1"/>
    <col min="17" max="17" width="13.33203125" customWidth="1"/>
  </cols>
  <sheetData>
    <row r="2" spans="3:17" x14ac:dyDescent="0.3">
      <c r="C2" s="455" t="s">
        <v>215</v>
      </c>
      <c r="D2" s="456"/>
      <c r="E2" s="456"/>
      <c r="F2" s="456"/>
      <c r="G2" s="456"/>
      <c r="H2" s="456"/>
      <c r="I2" s="457"/>
    </row>
    <row r="6" spans="3:17" x14ac:dyDescent="0.3">
      <c r="H6" s="428" t="s">
        <v>272</v>
      </c>
      <c r="I6" s="428"/>
      <c r="J6" s="428"/>
      <c r="K6" s="428"/>
      <c r="L6" s="428"/>
      <c r="M6" s="428"/>
      <c r="N6" s="428"/>
      <c r="O6" s="428"/>
      <c r="P6" s="428"/>
      <c r="Q6" s="428"/>
    </row>
    <row r="7" spans="3:17" x14ac:dyDescent="0.3">
      <c r="H7" s="468">
        <v>2023</v>
      </c>
      <c r="I7" s="468"/>
      <c r="J7" s="468">
        <v>2024</v>
      </c>
      <c r="K7" s="468"/>
      <c r="L7" s="468">
        <v>2025</v>
      </c>
      <c r="M7" s="468"/>
      <c r="N7" s="468">
        <v>2026</v>
      </c>
      <c r="O7" s="468"/>
      <c r="P7" s="468">
        <v>2027</v>
      </c>
      <c r="Q7" s="468"/>
    </row>
    <row r="8" spans="3:17" x14ac:dyDescent="0.3">
      <c r="C8" s="465" t="s">
        <v>362</v>
      </c>
      <c r="D8" s="466"/>
      <c r="E8" s="466"/>
      <c r="F8" s="514"/>
      <c r="H8" s="467"/>
      <c r="I8" s="467"/>
      <c r="J8" s="467">
        <f>(J24-H24)/J24</f>
        <v>0.1111111111111111</v>
      </c>
      <c r="K8" s="467"/>
      <c r="L8" s="467">
        <f t="shared" ref="L8" si="0">(L24-J24)/L24</f>
        <v>4.2553191489361701E-2</v>
      </c>
      <c r="M8" s="467"/>
      <c r="N8" s="467">
        <f t="shared" ref="N8" si="1">(N24-L24)/N24</f>
        <v>2.0833333333333332E-2</v>
      </c>
      <c r="O8" s="467"/>
      <c r="P8" s="467">
        <f t="shared" ref="P8" si="2">(P24-N24)/P24</f>
        <v>0.04</v>
      </c>
      <c r="Q8" s="467"/>
    </row>
    <row r="9" spans="3:17" x14ac:dyDescent="0.3">
      <c r="C9" s="462" t="s">
        <v>362</v>
      </c>
      <c r="D9" s="463"/>
      <c r="E9" s="463"/>
      <c r="F9" s="464"/>
      <c r="H9" s="467"/>
      <c r="I9" s="467"/>
      <c r="J9" s="467">
        <f t="shared" ref="J9:J13" si="3">(J25-H25)/J25</f>
        <v>0.1111111111111111</v>
      </c>
      <c r="K9" s="467"/>
      <c r="L9" s="467">
        <f t="shared" ref="L9:L13" si="4">(L25-J25)/L25</f>
        <v>4.2553191489361701E-2</v>
      </c>
      <c r="M9" s="467"/>
      <c r="N9" s="467">
        <f t="shared" ref="N9:N13" si="5">(N25-L25)/N25</f>
        <v>2.0833333333333332E-2</v>
      </c>
      <c r="O9" s="467"/>
      <c r="P9" s="467">
        <f t="shared" ref="P9:P13" si="6">(P25-N25)/P25</f>
        <v>7.6923076923076927E-2</v>
      </c>
      <c r="Q9" s="467"/>
    </row>
    <row r="10" spans="3:17" x14ac:dyDescent="0.3">
      <c r="C10" s="462" t="s">
        <v>362</v>
      </c>
      <c r="D10" s="463"/>
      <c r="E10" s="463"/>
      <c r="F10" s="464"/>
      <c r="H10" s="467"/>
      <c r="I10" s="467"/>
      <c r="J10" s="467">
        <f t="shared" si="3"/>
        <v>3.8095238095238099E-2</v>
      </c>
      <c r="K10" s="467"/>
      <c r="L10" s="467">
        <f t="shared" si="4"/>
        <v>0.11016949152542373</v>
      </c>
      <c r="M10" s="467"/>
      <c r="N10" s="467">
        <f t="shared" si="5"/>
        <v>2.0746887966804978E-2</v>
      </c>
      <c r="O10" s="467"/>
      <c r="P10" s="467">
        <f t="shared" si="6"/>
        <v>7.662835249042145E-2</v>
      </c>
      <c r="Q10" s="467"/>
    </row>
    <row r="11" spans="3:17" x14ac:dyDescent="0.3">
      <c r="C11" s="462" t="s">
        <v>362</v>
      </c>
      <c r="D11" s="463"/>
      <c r="E11" s="463"/>
      <c r="F11" s="464"/>
      <c r="H11" s="467"/>
      <c r="I11" s="467"/>
      <c r="J11" s="467">
        <f t="shared" si="3"/>
        <v>3.3333333333333333E-2</v>
      </c>
      <c r="K11" s="467"/>
      <c r="L11" s="467">
        <f t="shared" si="4"/>
        <v>0.11392405063291139</v>
      </c>
      <c r="M11" s="467"/>
      <c r="N11" s="467">
        <f t="shared" si="5"/>
        <v>2.0661157024793389E-2</v>
      </c>
      <c r="O11" s="467"/>
      <c r="P11" s="467">
        <f t="shared" si="6"/>
        <v>7.6335877862595422E-2</v>
      </c>
      <c r="Q11" s="467"/>
    </row>
    <row r="12" spans="3:17" x14ac:dyDescent="0.3">
      <c r="C12" s="462" t="s">
        <v>362</v>
      </c>
      <c r="D12" s="463"/>
      <c r="E12" s="463"/>
      <c r="F12" s="464"/>
      <c r="H12" s="467"/>
      <c r="I12" s="467"/>
      <c r="J12" s="467">
        <f t="shared" si="3"/>
        <v>2.8571428571428571E-2</v>
      </c>
      <c r="K12" s="467"/>
      <c r="L12" s="467">
        <f t="shared" si="4"/>
        <v>0.11764705882352941</v>
      </c>
      <c r="M12" s="467"/>
      <c r="N12" s="467">
        <f t="shared" si="5"/>
        <v>2.0576131687242798E-2</v>
      </c>
      <c r="O12" s="467"/>
      <c r="P12" s="467">
        <f t="shared" si="6"/>
        <v>7.6045627376425853E-2</v>
      </c>
      <c r="Q12" s="467"/>
    </row>
    <row r="13" spans="3:17" x14ac:dyDescent="0.3">
      <c r="C13" s="452" t="s">
        <v>362</v>
      </c>
      <c r="D13" s="453"/>
      <c r="E13" s="453"/>
      <c r="F13" s="454"/>
      <c r="H13" s="467"/>
      <c r="I13" s="467"/>
      <c r="J13" s="467">
        <f t="shared" si="3"/>
        <v>2.3809523809523808E-2</v>
      </c>
      <c r="K13" s="467"/>
      <c r="L13" s="467">
        <f t="shared" si="4"/>
        <v>0.12133891213389121</v>
      </c>
      <c r="M13" s="467"/>
      <c r="N13" s="467">
        <f t="shared" si="5"/>
        <v>2.0491803278688523E-2</v>
      </c>
      <c r="O13" s="467"/>
      <c r="P13" s="467">
        <f t="shared" si="6"/>
        <v>7.575757575757576E-2</v>
      </c>
      <c r="Q13" s="467"/>
    </row>
    <row r="15" spans="3:17" x14ac:dyDescent="0.3">
      <c r="H15" s="469" t="s">
        <v>280</v>
      </c>
      <c r="I15" s="469"/>
      <c r="J15" s="469"/>
      <c r="K15" s="469"/>
      <c r="L15" s="469"/>
      <c r="M15" s="469"/>
      <c r="N15" s="469"/>
      <c r="O15" s="469"/>
      <c r="P15" s="469"/>
      <c r="Q15" s="469"/>
    </row>
    <row r="16" spans="3:17" x14ac:dyDescent="0.3">
      <c r="C16" s="465" t="s">
        <v>362</v>
      </c>
      <c r="D16" s="466"/>
      <c r="E16" s="466"/>
      <c r="F16" s="514"/>
      <c r="H16" s="470">
        <v>5</v>
      </c>
      <c r="I16" s="470"/>
      <c r="J16" s="470">
        <v>9</v>
      </c>
      <c r="K16" s="470"/>
      <c r="L16" s="470">
        <v>10</v>
      </c>
      <c r="M16" s="470"/>
      <c r="N16" s="470">
        <v>12</v>
      </c>
      <c r="O16" s="470"/>
      <c r="P16" s="470">
        <v>15</v>
      </c>
      <c r="Q16" s="470"/>
    </row>
    <row r="17" spans="3:17" x14ac:dyDescent="0.3">
      <c r="C17" s="462" t="s">
        <v>362</v>
      </c>
      <c r="D17" s="463"/>
      <c r="E17" s="463"/>
      <c r="F17" s="464"/>
      <c r="H17" s="470">
        <v>6</v>
      </c>
      <c r="I17" s="470"/>
      <c r="J17" s="470">
        <v>9</v>
      </c>
      <c r="K17" s="470"/>
      <c r="L17" s="470">
        <v>12</v>
      </c>
      <c r="M17" s="470"/>
      <c r="N17" s="470">
        <v>12</v>
      </c>
      <c r="O17" s="470"/>
      <c r="P17" s="470">
        <v>16</v>
      </c>
      <c r="Q17" s="470"/>
    </row>
    <row r="18" spans="3:17" x14ac:dyDescent="0.3">
      <c r="C18" s="462" t="s">
        <v>362</v>
      </c>
      <c r="D18" s="463"/>
      <c r="E18" s="463"/>
      <c r="F18" s="464"/>
      <c r="H18" s="470">
        <v>5</v>
      </c>
      <c r="I18" s="470"/>
      <c r="J18" s="470">
        <v>9</v>
      </c>
      <c r="K18" s="470"/>
      <c r="L18" s="470">
        <v>12</v>
      </c>
      <c r="M18" s="470"/>
      <c r="N18" s="470">
        <v>12</v>
      </c>
      <c r="O18" s="470"/>
      <c r="P18" s="470">
        <v>17</v>
      </c>
      <c r="Q18" s="470"/>
    </row>
    <row r="19" spans="3:17" x14ac:dyDescent="0.3">
      <c r="C19" s="462" t="s">
        <v>362</v>
      </c>
      <c r="D19" s="463"/>
      <c r="E19" s="463"/>
      <c r="F19" s="464"/>
      <c r="H19" s="470">
        <v>5</v>
      </c>
      <c r="I19" s="470"/>
      <c r="J19" s="470">
        <v>9</v>
      </c>
      <c r="K19" s="470"/>
      <c r="L19" s="470">
        <v>12</v>
      </c>
      <c r="M19" s="470"/>
      <c r="N19" s="470">
        <v>15</v>
      </c>
      <c r="O19" s="470"/>
      <c r="P19" s="470">
        <v>15</v>
      </c>
      <c r="Q19" s="470"/>
    </row>
    <row r="20" spans="3:17" x14ac:dyDescent="0.3">
      <c r="C20" s="462" t="s">
        <v>362</v>
      </c>
      <c r="D20" s="463"/>
      <c r="E20" s="463"/>
      <c r="F20" s="464"/>
      <c r="H20" s="470">
        <v>7</v>
      </c>
      <c r="I20" s="470"/>
      <c r="J20" s="470">
        <v>9</v>
      </c>
      <c r="K20" s="470"/>
      <c r="L20" s="470">
        <v>12</v>
      </c>
      <c r="M20" s="470"/>
      <c r="N20" s="470">
        <v>15</v>
      </c>
      <c r="O20" s="470"/>
      <c r="P20" s="470">
        <v>15</v>
      </c>
      <c r="Q20" s="470"/>
    </row>
    <row r="21" spans="3:17" x14ac:dyDescent="0.3">
      <c r="C21" s="452" t="s">
        <v>362</v>
      </c>
      <c r="D21" s="453"/>
      <c r="E21" s="453"/>
      <c r="F21" s="454"/>
      <c r="H21" s="470">
        <v>4</v>
      </c>
      <c r="I21" s="470"/>
      <c r="J21" s="470">
        <v>9</v>
      </c>
      <c r="K21" s="470"/>
      <c r="L21" s="470">
        <v>12</v>
      </c>
      <c r="M21" s="470"/>
      <c r="N21" s="470">
        <v>15</v>
      </c>
      <c r="O21" s="470"/>
      <c r="P21" s="470">
        <v>19</v>
      </c>
      <c r="Q21" s="470"/>
    </row>
    <row r="23" spans="3:17" x14ac:dyDescent="0.3">
      <c r="H23" s="469" t="s">
        <v>363</v>
      </c>
      <c r="I23" s="469"/>
      <c r="J23" s="469"/>
      <c r="K23" s="469"/>
      <c r="L23" s="469"/>
      <c r="M23" s="469"/>
      <c r="N23" s="469"/>
      <c r="O23" s="469"/>
      <c r="P23" s="469"/>
      <c r="Q23" s="469"/>
    </row>
    <row r="24" spans="3:17" x14ac:dyDescent="0.3">
      <c r="C24" s="465" t="s">
        <v>362</v>
      </c>
      <c r="D24" s="466"/>
      <c r="E24" s="466"/>
      <c r="F24" s="514"/>
      <c r="H24" s="470">
        <v>200</v>
      </c>
      <c r="I24" s="470"/>
      <c r="J24" s="470">
        <v>225</v>
      </c>
      <c r="K24" s="470"/>
      <c r="L24" s="470">
        <v>235</v>
      </c>
      <c r="M24" s="470"/>
      <c r="N24" s="470">
        <v>240</v>
      </c>
      <c r="O24" s="470"/>
      <c r="P24" s="470">
        <v>250</v>
      </c>
      <c r="Q24" s="470"/>
    </row>
    <row r="25" spans="3:17" x14ac:dyDescent="0.3">
      <c r="C25" s="462" t="s">
        <v>362</v>
      </c>
      <c r="D25" s="463"/>
      <c r="E25" s="463"/>
      <c r="F25" s="464"/>
      <c r="H25" s="470">
        <v>200</v>
      </c>
      <c r="I25" s="470"/>
      <c r="J25" s="470">
        <v>225</v>
      </c>
      <c r="K25" s="470"/>
      <c r="L25" s="470">
        <v>235</v>
      </c>
      <c r="M25" s="470"/>
      <c r="N25" s="470">
        <v>240</v>
      </c>
      <c r="O25" s="470"/>
      <c r="P25" s="470">
        <v>260</v>
      </c>
      <c r="Q25" s="470"/>
    </row>
    <row r="26" spans="3:17" x14ac:dyDescent="0.3">
      <c r="C26" s="462" t="s">
        <v>362</v>
      </c>
      <c r="D26" s="463"/>
      <c r="E26" s="463"/>
      <c r="F26" s="464"/>
      <c r="H26" s="470">
        <v>202</v>
      </c>
      <c r="I26" s="470"/>
      <c r="J26" s="470">
        <v>210</v>
      </c>
      <c r="K26" s="470"/>
      <c r="L26" s="470">
        <v>236</v>
      </c>
      <c r="M26" s="470"/>
      <c r="N26" s="470">
        <v>241</v>
      </c>
      <c r="O26" s="470"/>
      <c r="P26" s="470">
        <v>261</v>
      </c>
      <c r="Q26" s="470"/>
    </row>
    <row r="27" spans="3:17" x14ac:dyDescent="0.3">
      <c r="C27" s="462" t="s">
        <v>362</v>
      </c>
      <c r="D27" s="463"/>
      <c r="E27" s="463"/>
      <c r="F27" s="464"/>
      <c r="H27" s="470">
        <v>203</v>
      </c>
      <c r="I27" s="470"/>
      <c r="J27" s="470">
        <v>210</v>
      </c>
      <c r="K27" s="470"/>
      <c r="L27" s="470">
        <v>237</v>
      </c>
      <c r="M27" s="470"/>
      <c r="N27" s="470">
        <v>242</v>
      </c>
      <c r="O27" s="470"/>
      <c r="P27" s="470">
        <v>262</v>
      </c>
      <c r="Q27" s="470"/>
    </row>
    <row r="28" spans="3:17" x14ac:dyDescent="0.3">
      <c r="C28" s="462" t="s">
        <v>362</v>
      </c>
      <c r="D28" s="463"/>
      <c r="E28" s="463"/>
      <c r="F28" s="464"/>
      <c r="H28" s="470">
        <v>204</v>
      </c>
      <c r="I28" s="470"/>
      <c r="J28" s="470">
        <v>210</v>
      </c>
      <c r="K28" s="470"/>
      <c r="L28" s="470">
        <v>238</v>
      </c>
      <c r="M28" s="470"/>
      <c r="N28" s="470">
        <v>243</v>
      </c>
      <c r="O28" s="470"/>
      <c r="P28" s="470">
        <v>263</v>
      </c>
      <c r="Q28" s="470"/>
    </row>
    <row r="29" spans="3:17" x14ac:dyDescent="0.3">
      <c r="C29" s="452" t="s">
        <v>362</v>
      </c>
      <c r="D29" s="453"/>
      <c r="E29" s="453"/>
      <c r="F29" s="454"/>
      <c r="H29" s="470">
        <v>205</v>
      </c>
      <c r="I29" s="470"/>
      <c r="J29" s="470">
        <v>210</v>
      </c>
      <c r="K29" s="470"/>
      <c r="L29" s="470">
        <v>239</v>
      </c>
      <c r="M29" s="470"/>
      <c r="N29" s="470">
        <v>244</v>
      </c>
      <c r="O29" s="470"/>
      <c r="P29" s="470">
        <v>264</v>
      </c>
      <c r="Q29" s="470"/>
    </row>
    <row r="31" spans="3:17" x14ac:dyDescent="0.3">
      <c r="H31" s="469" t="s">
        <v>364</v>
      </c>
      <c r="I31" s="469"/>
      <c r="J31" s="469"/>
      <c r="K31" s="469"/>
      <c r="L31" s="469"/>
      <c r="M31" s="469"/>
      <c r="N31" s="469"/>
      <c r="O31" s="469"/>
      <c r="P31" s="469"/>
      <c r="Q31" s="469"/>
    </row>
    <row r="32" spans="3:17" x14ac:dyDescent="0.3">
      <c r="C32" s="465" t="s">
        <v>362</v>
      </c>
      <c r="D32" s="466"/>
      <c r="E32" s="466"/>
      <c r="F32" s="514"/>
      <c r="H32" s="470">
        <v>345</v>
      </c>
      <c r="I32" s="470"/>
      <c r="J32" s="470">
        <v>355</v>
      </c>
      <c r="K32" s="470"/>
      <c r="L32" s="470">
        <v>360</v>
      </c>
      <c r="M32" s="470"/>
      <c r="N32" s="470">
        <v>370</v>
      </c>
      <c r="O32" s="470"/>
      <c r="P32" s="470">
        <v>400</v>
      </c>
      <c r="Q32" s="470"/>
    </row>
    <row r="33" spans="3:17" x14ac:dyDescent="0.3">
      <c r="C33" s="462" t="s">
        <v>362</v>
      </c>
      <c r="D33" s="463"/>
      <c r="E33" s="463"/>
      <c r="F33" s="464"/>
      <c r="H33" s="470">
        <v>300</v>
      </c>
      <c r="I33" s="470"/>
      <c r="J33" s="470">
        <v>300</v>
      </c>
      <c r="K33" s="470"/>
      <c r="L33" s="470">
        <v>310</v>
      </c>
      <c r="M33" s="470"/>
      <c r="N33" s="470">
        <v>340</v>
      </c>
      <c r="O33" s="470"/>
      <c r="P33" s="470">
        <v>400</v>
      </c>
      <c r="Q33" s="470"/>
    </row>
    <row r="34" spans="3:17" x14ac:dyDescent="0.3">
      <c r="C34" s="462" t="s">
        <v>362</v>
      </c>
      <c r="D34" s="463"/>
      <c r="E34" s="463"/>
      <c r="F34" s="464"/>
      <c r="H34" s="470">
        <v>280</v>
      </c>
      <c r="I34" s="470"/>
      <c r="J34" s="470">
        <v>281</v>
      </c>
      <c r="K34" s="470"/>
      <c r="L34" s="470">
        <v>282</v>
      </c>
      <c r="M34" s="470"/>
      <c r="N34" s="470">
        <v>290</v>
      </c>
      <c r="O34" s="470"/>
      <c r="P34" s="470">
        <v>320</v>
      </c>
      <c r="Q34" s="470"/>
    </row>
    <row r="35" spans="3:17" x14ac:dyDescent="0.3">
      <c r="C35" s="462" t="s">
        <v>362</v>
      </c>
      <c r="D35" s="463"/>
      <c r="E35" s="463"/>
      <c r="F35" s="464"/>
      <c r="H35" s="470">
        <v>350</v>
      </c>
      <c r="I35" s="470"/>
      <c r="J35" s="470">
        <v>350</v>
      </c>
      <c r="K35" s="470"/>
      <c r="L35" s="470">
        <v>360</v>
      </c>
      <c r="M35" s="470"/>
      <c r="N35" s="470">
        <v>370</v>
      </c>
      <c r="O35" s="470"/>
      <c r="P35" s="470">
        <v>400</v>
      </c>
      <c r="Q35" s="470"/>
    </row>
    <row r="36" spans="3:17" x14ac:dyDescent="0.3">
      <c r="C36" s="462" t="s">
        <v>362</v>
      </c>
      <c r="D36" s="463"/>
      <c r="E36" s="463"/>
      <c r="F36" s="464"/>
      <c r="H36" s="470">
        <v>345</v>
      </c>
      <c r="I36" s="470"/>
      <c r="J36" s="470">
        <v>355</v>
      </c>
      <c r="K36" s="470"/>
      <c r="L36" s="470">
        <v>360</v>
      </c>
      <c r="M36" s="470"/>
      <c r="N36" s="470">
        <v>370</v>
      </c>
      <c r="O36" s="470"/>
      <c r="P36" s="470">
        <v>400</v>
      </c>
      <c r="Q36" s="470"/>
    </row>
    <row r="37" spans="3:17" x14ac:dyDescent="0.3">
      <c r="C37" s="452" t="s">
        <v>362</v>
      </c>
      <c r="D37" s="453"/>
      <c r="E37" s="453"/>
      <c r="F37" s="454"/>
      <c r="H37" s="470">
        <v>345</v>
      </c>
      <c r="I37" s="470"/>
      <c r="J37" s="470">
        <v>355</v>
      </c>
      <c r="K37" s="470"/>
      <c r="L37" s="470">
        <v>360</v>
      </c>
      <c r="M37" s="470"/>
      <c r="N37" s="470">
        <v>370</v>
      </c>
      <c r="O37" s="470"/>
      <c r="P37" s="470">
        <v>400</v>
      </c>
      <c r="Q37" s="470"/>
    </row>
    <row r="38" spans="3:17" x14ac:dyDescent="0.3">
      <c r="H38" s="428" t="s">
        <v>72</v>
      </c>
      <c r="I38" s="428"/>
      <c r="J38" s="428"/>
      <c r="K38" s="428"/>
      <c r="L38" s="428"/>
      <c r="M38" s="428"/>
      <c r="N38" s="428"/>
      <c r="O38" s="428"/>
      <c r="P38" s="428"/>
      <c r="Q38" s="428"/>
    </row>
    <row r="39" spans="3:17" x14ac:dyDescent="0.3">
      <c r="H39" s="471">
        <v>2023</v>
      </c>
      <c r="I39" s="471"/>
      <c r="J39" s="471">
        <v>2024</v>
      </c>
      <c r="K39" s="471"/>
      <c r="L39" s="471">
        <v>2025</v>
      </c>
      <c r="M39" s="471"/>
      <c r="N39" s="471">
        <v>2026</v>
      </c>
      <c r="O39" s="471"/>
      <c r="P39" s="471">
        <v>2027</v>
      </c>
      <c r="Q39" s="471"/>
    </row>
    <row r="40" spans="3:17" x14ac:dyDescent="0.3">
      <c r="C40" s="465" t="s">
        <v>362</v>
      </c>
      <c r="D40" s="466"/>
      <c r="E40" s="466"/>
      <c r="F40" s="514"/>
      <c r="H40" s="472">
        <f>(H16*H24*H32)</f>
        <v>345000</v>
      </c>
      <c r="I40" s="472"/>
      <c r="J40" s="472">
        <f t="shared" ref="J40" si="7">(J16*J24*J32)</f>
        <v>718875</v>
      </c>
      <c r="K40" s="472"/>
      <c r="L40" s="472">
        <f t="shared" ref="L40" si="8">(L16*L24*L32)</f>
        <v>846000</v>
      </c>
      <c r="M40" s="472"/>
      <c r="N40" s="472">
        <f t="shared" ref="N40" si="9">(N16*N24*N32)</f>
        <v>1065600</v>
      </c>
      <c r="O40" s="472"/>
      <c r="P40" s="472">
        <f t="shared" ref="P40" si="10">(P16*P24*P32)</f>
        <v>1500000</v>
      </c>
      <c r="Q40" s="472"/>
    </row>
    <row r="41" spans="3:17" x14ac:dyDescent="0.3">
      <c r="C41" s="462" t="s">
        <v>362</v>
      </c>
      <c r="D41" s="463"/>
      <c r="E41" s="463"/>
      <c r="F41" s="464"/>
      <c r="H41" s="472">
        <f t="shared" ref="H41:P45" si="11">(H17*H25*H33)</f>
        <v>360000</v>
      </c>
      <c r="I41" s="472"/>
      <c r="J41" s="472">
        <f t="shared" si="11"/>
        <v>607500</v>
      </c>
      <c r="K41" s="472"/>
      <c r="L41" s="472">
        <f t="shared" si="11"/>
        <v>874200</v>
      </c>
      <c r="M41" s="472"/>
      <c r="N41" s="472">
        <f t="shared" si="11"/>
        <v>979200</v>
      </c>
      <c r="O41" s="472"/>
      <c r="P41" s="472">
        <f t="shared" si="11"/>
        <v>1664000</v>
      </c>
      <c r="Q41" s="472"/>
    </row>
    <row r="42" spans="3:17" x14ac:dyDescent="0.3">
      <c r="C42" s="462" t="s">
        <v>362</v>
      </c>
      <c r="D42" s="463"/>
      <c r="E42" s="463"/>
      <c r="F42" s="464"/>
      <c r="H42" s="472">
        <f t="shared" si="11"/>
        <v>282800</v>
      </c>
      <c r="I42" s="472"/>
      <c r="J42" s="472">
        <f t="shared" si="11"/>
        <v>531090</v>
      </c>
      <c r="K42" s="472"/>
      <c r="L42" s="472">
        <f t="shared" si="11"/>
        <v>798624</v>
      </c>
      <c r="M42" s="472"/>
      <c r="N42" s="472">
        <f t="shared" si="11"/>
        <v>838680</v>
      </c>
      <c r="O42" s="472"/>
      <c r="P42" s="472">
        <f t="shared" si="11"/>
        <v>1419840</v>
      </c>
      <c r="Q42" s="472"/>
    </row>
    <row r="43" spans="3:17" x14ac:dyDescent="0.3">
      <c r="C43" s="462" t="s">
        <v>362</v>
      </c>
      <c r="D43" s="463"/>
      <c r="E43" s="463"/>
      <c r="F43" s="464"/>
      <c r="H43" s="472">
        <f t="shared" si="11"/>
        <v>355250</v>
      </c>
      <c r="I43" s="472"/>
      <c r="J43" s="472">
        <f t="shared" si="11"/>
        <v>661500</v>
      </c>
      <c r="K43" s="472"/>
      <c r="L43" s="472">
        <f t="shared" si="11"/>
        <v>1023840</v>
      </c>
      <c r="M43" s="472"/>
      <c r="N43" s="472">
        <f t="shared" si="11"/>
        <v>1343100</v>
      </c>
      <c r="O43" s="472"/>
      <c r="P43" s="472">
        <f t="shared" si="11"/>
        <v>1572000</v>
      </c>
      <c r="Q43" s="472"/>
    </row>
    <row r="44" spans="3:17" x14ac:dyDescent="0.3">
      <c r="C44" s="462" t="s">
        <v>362</v>
      </c>
      <c r="D44" s="463"/>
      <c r="E44" s="463"/>
      <c r="F44" s="464"/>
      <c r="H44" s="472">
        <f t="shared" si="11"/>
        <v>492660</v>
      </c>
      <c r="I44" s="472"/>
      <c r="J44" s="472">
        <f t="shared" si="11"/>
        <v>670950</v>
      </c>
      <c r="K44" s="472"/>
      <c r="L44" s="472">
        <f t="shared" si="11"/>
        <v>1028160</v>
      </c>
      <c r="M44" s="472"/>
      <c r="N44" s="472">
        <f t="shared" si="11"/>
        <v>1348650</v>
      </c>
      <c r="O44" s="472"/>
      <c r="P44" s="472">
        <f t="shared" si="11"/>
        <v>1578000</v>
      </c>
      <c r="Q44" s="472"/>
    </row>
    <row r="45" spans="3:17" x14ac:dyDescent="0.3">
      <c r="C45" s="452" t="s">
        <v>362</v>
      </c>
      <c r="D45" s="453"/>
      <c r="E45" s="453"/>
      <c r="F45" s="454"/>
      <c r="H45" s="472">
        <f t="shared" si="11"/>
        <v>282900</v>
      </c>
      <c r="I45" s="472"/>
      <c r="J45" s="472">
        <f t="shared" si="11"/>
        <v>670950</v>
      </c>
      <c r="K45" s="472"/>
      <c r="L45" s="472">
        <f t="shared" si="11"/>
        <v>1032480</v>
      </c>
      <c r="M45" s="472"/>
      <c r="N45" s="472">
        <f t="shared" si="11"/>
        <v>1354200</v>
      </c>
      <c r="O45" s="472"/>
      <c r="P45" s="472">
        <f t="shared" si="11"/>
        <v>2006400</v>
      </c>
      <c r="Q45" s="472"/>
    </row>
    <row r="46" spans="3:17" x14ac:dyDescent="0.3">
      <c r="C46" s="189"/>
      <c r="D46" s="189"/>
      <c r="E46" s="189"/>
      <c r="F46" s="189"/>
    </row>
  </sheetData>
  <mergeCells count="197">
    <mergeCell ref="B1:B1048576"/>
    <mergeCell ref="C9:F9"/>
    <mergeCell ref="C10:F10"/>
    <mergeCell ref="C11:F11"/>
    <mergeCell ref="C12:F12"/>
    <mergeCell ref="C13:F13"/>
    <mergeCell ref="C16:F16"/>
    <mergeCell ref="C17:F17"/>
    <mergeCell ref="C18:F18"/>
    <mergeCell ref="C19:F19"/>
    <mergeCell ref="C20:F20"/>
    <mergeCell ref="C21:F21"/>
    <mergeCell ref="C24:F24"/>
    <mergeCell ref="C25:F25"/>
    <mergeCell ref="C26:F26"/>
    <mergeCell ref="C27:F27"/>
    <mergeCell ref="C28:F28"/>
    <mergeCell ref="C29:F29"/>
    <mergeCell ref="C32:F32"/>
    <mergeCell ref="C33:F33"/>
    <mergeCell ref="C34:F34"/>
    <mergeCell ref="C35:F35"/>
    <mergeCell ref="C36:F36"/>
    <mergeCell ref="C37:F37"/>
    <mergeCell ref="H45:I45"/>
    <mergeCell ref="J45:K45"/>
    <mergeCell ref="L45:M45"/>
    <mergeCell ref="N45:O45"/>
    <mergeCell ref="P45:Q45"/>
    <mergeCell ref="H44:I44"/>
    <mergeCell ref="J44:K44"/>
    <mergeCell ref="L44:M44"/>
    <mergeCell ref="N44:O44"/>
    <mergeCell ref="P44:Q44"/>
    <mergeCell ref="C44:F44"/>
    <mergeCell ref="C45:F45"/>
    <mergeCell ref="H43:I43"/>
    <mergeCell ref="J43:K43"/>
    <mergeCell ref="L43:M43"/>
    <mergeCell ref="N43:O43"/>
    <mergeCell ref="P43:Q43"/>
    <mergeCell ref="H42:I42"/>
    <mergeCell ref="J42:K42"/>
    <mergeCell ref="L42:M42"/>
    <mergeCell ref="N42:O42"/>
    <mergeCell ref="P42:Q42"/>
    <mergeCell ref="C42:F42"/>
    <mergeCell ref="C43:F43"/>
    <mergeCell ref="H41:I41"/>
    <mergeCell ref="J41:K41"/>
    <mergeCell ref="L41:M41"/>
    <mergeCell ref="N41:O41"/>
    <mergeCell ref="P41:Q41"/>
    <mergeCell ref="H40:I40"/>
    <mergeCell ref="J40:K40"/>
    <mergeCell ref="L40:M40"/>
    <mergeCell ref="N40:O40"/>
    <mergeCell ref="P40:Q40"/>
    <mergeCell ref="C40:F40"/>
    <mergeCell ref="C41:F41"/>
    <mergeCell ref="H38:Q38"/>
    <mergeCell ref="H39:I39"/>
    <mergeCell ref="J39:K39"/>
    <mergeCell ref="L39:M39"/>
    <mergeCell ref="N39:O39"/>
    <mergeCell ref="P39:Q39"/>
    <mergeCell ref="H37:I37"/>
    <mergeCell ref="J37:K37"/>
    <mergeCell ref="L37:M37"/>
    <mergeCell ref="N37:O37"/>
    <mergeCell ref="P37:Q37"/>
    <mergeCell ref="H36:I36"/>
    <mergeCell ref="J36:K36"/>
    <mergeCell ref="L36:M36"/>
    <mergeCell ref="N36:O36"/>
    <mergeCell ref="P36:Q36"/>
    <mergeCell ref="H35:I35"/>
    <mergeCell ref="J35:K35"/>
    <mergeCell ref="L35:M35"/>
    <mergeCell ref="N35:O35"/>
    <mergeCell ref="P35:Q35"/>
    <mergeCell ref="H34:I34"/>
    <mergeCell ref="J34:K34"/>
    <mergeCell ref="L34:M34"/>
    <mergeCell ref="N34:O34"/>
    <mergeCell ref="P34:Q34"/>
    <mergeCell ref="H33:I33"/>
    <mergeCell ref="J33:K33"/>
    <mergeCell ref="L33:M33"/>
    <mergeCell ref="N33:O33"/>
    <mergeCell ref="P33:Q33"/>
    <mergeCell ref="H31:Q31"/>
    <mergeCell ref="H32:I32"/>
    <mergeCell ref="J32:K32"/>
    <mergeCell ref="L32:M32"/>
    <mergeCell ref="N32:O32"/>
    <mergeCell ref="P32:Q32"/>
    <mergeCell ref="H29:I29"/>
    <mergeCell ref="J29:K29"/>
    <mergeCell ref="L29:M29"/>
    <mergeCell ref="N29:O29"/>
    <mergeCell ref="P29:Q29"/>
    <mergeCell ref="H28:I28"/>
    <mergeCell ref="J28:K28"/>
    <mergeCell ref="L28:M28"/>
    <mergeCell ref="N28:O28"/>
    <mergeCell ref="P28:Q28"/>
    <mergeCell ref="H27:I27"/>
    <mergeCell ref="J27:K27"/>
    <mergeCell ref="L27:M27"/>
    <mergeCell ref="N27:O27"/>
    <mergeCell ref="P27:Q27"/>
    <mergeCell ref="H26:I26"/>
    <mergeCell ref="J26:K26"/>
    <mergeCell ref="L26:M26"/>
    <mergeCell ref="N26:O26"/>
    <mergeCell ref="P26:Q26"/>
    <mergeCell ref="H25:I25"/>
    <mergeCell ref="J25:K25"/>
    <mergeCell ref="L25:M25"/>
    <mergeCell ref="N25:O25"/>
    <mergeCell ref="P25:Q25"/>
    <mergeCell ref="H23:Q23"/>
    <mergeCell ref="H24:I24"/>
    <mergeCell ref="J24:K24"/>
    <mergeCell ref="L24:M24"/>
    <mergeCell ref="N24:O24"/>
    <mergeCell ref="P24:Q24"/>
    <mergeCell ref="H21:I21"/>
    <mergeCell ref="J21:K21"/>
    <mergeCell ref="L21:M21"/>
    <mergeCell ref="N21:O21"/>
    <mergeCell ref="P21:Q21"/>
    <mergeCell ref="H20:I20"/>
    <mergeCell ref="J20:K20"/>
    <mergeCell ref="L20:M20"/>
    <mergeCell ref="N20:O20"/>
    <mergeCell ref="P20:Q20"/>
    <mergeCell ref="H19:I19"/>
    <mergeCell ref="J19:K19"/>
    <mergeCell ref="L19:M19"/>
    <mergeCell ref="N19:O19"/>
    <mergeCell ref="P19:Q19"/>
    <mergeCell ref="H18:I18"/>
    <mergeCell ref="J18:K18"/>
    <mergeCell ref="L18:M18"/>
    <mergeCell ref="N18:O18"/>
    <mergeCell ref="P18:Q18"/>
    <mergeCell ref="H17:I17"/>
    <mergeCell ref="J17:K17"/>
    <mergeCell ref="L17:M17"/>
    <mergeCell ref="N17:O17"/>
    <mergeCell ref="P17:Q17"/>
    <mergeCell ref="H15:Q15"/>
    <mergeCell ref="H16:I16"/>
    <mergeCell ref="J16:K16"/>
    <mergeCell ref="L16:M16"/>
    <mergeCell ref="N16:O16"/>
    <mergeCell ref="P16:Q16"/>
    <mergeCell ref="H13:I13"/>
    <mergeCell ref="J13:K13"/>
    <mergeCell ref="L13:M13"/>
    <mergeCell ref="N13:O13"/>
    <mergeCell ref="P13:Q13"/>
    <mergeCell ref="H12:I12"/>
    <mergeCell ref="J12:K12"/>
    <mergeCell ref="L12:M12"/>
    <mergeCell ref="N12:O12"/>
    <mergeCell ref="P12:Q12"/>
    <mergeCell ref="H11:I11"/>
    <mergeCell ref="J11:K11"/>
    <mergeCell ref="L11:M11"/>
    <mergeCell ref="N11:O11"/>
    <mergeCell ref="P11:Q11"/>
    <mergeCell ref="H10:I10"/>
    <mergeCell ref="J10:K10"/>
    <mergeCell ref="L10:M10"/>
    <mergeCell ref="N10:O10"/>
    <mergeCell ref="P10:Q10"/>
    <mergeCell ref="H9:I9"/>
    <mergeCell ref="J9:K9"/>
    <mergeCell ref="L9:M9"/>
    <mergeCell ref="N9:O9"/>
    <mergeCell ref="P9:Q9"/>
    <mergeCell ref="C2:I2"/>
    <mergeCell ref="H8:I8"/>
    <mergeCell ref="J8:K8"/>
    <mergeCell ref="L8:M8"/>
    <mergeCell ref="N8:O8"/>
    <mergeCell ref="P8:Q8"/>
    <mergeCell ref="H6:Q6"/>
    <mergeCell ref="H7:I7"/>
    <mergeCell ref="J7:K7"/>
    <mergeCell ref="L7:M7"/>
    <mergeCell ref="N7:O7"/>
    <mergeCell ref="P7:Q7"/>
    <mergeCell ref="C8:F8"/>
  </mergeCells>
  <phoneticPr fontId="7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2982-561E-4408-AA22-943173B7C308}">
  <sheetPr codeName="Sheet5"/>
  <dimension ref="B2:U30"/>
  <sheetViews>
    <sheetView workbookViewId="0">
      <selection activeCell="Q30" sqref="Q30"/>
    </sheetView>
  </sheetViews>
  <sheetFormatPr defaultRowHeight="14.4" x14ac:dyDescent="0.3"/>
  <cols>
    <col min="1" max="1" width="6.109375" customWidth="1"/>
    <col min="7" max="8" width="9.5546875" bestFit="1" customWidth="1"/>
    <col min="9" max="9" width="9.33203125" customWidth="1"/>
    <col min="10" max="10" width="9.77734375" customWidth="1"/>
    <col min="11" max="11" width="9.44140625" customWidth="1"/>
    <col min="12" max="12" width="9.77734375" customWidth="1"/>
    <col min="13" max="13" width="9.6640625" customWidth="1"/>
    <col min="14" max="14" width="9.44140625" customWidth="1"/>
    <col min="15" max="15" width="9.77734375" customWidth="1"/>
    <col min="16" max="16" width="9.6640625" customWidth="1"/>
    <col min="17" max="17" width="9.88671875" customWidth="1"/>
    <col min="18" max="18" width="9.44140625" customWidth="1"/>
    <col min="19" max="19" width="9.88671875" customWidth="1"/>
    <col min="21" max="21" width="9.88671875" bestFit="1" customWidth="1"/>
  </cols>
  <sheetData>
    <row r="2" spans="2:21" ht="18" x14ac:dyDescent="0.35">
      <c r="B2" s="248"/>
      <c r="C2" s="249" t="s">
        <v>217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1"/>
    </row>
    <row r="3" spans="2:21" x14ac:dyDescent="0.3">
      <c r="B3" s="252"/>
      <c r="C3" s="253" t="s">
        <v>140</v>
      </c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4"/>
    </row>
    <row r="4" spans="2:21" x14ac:dyDescent="0.3">
      <c r="B4" s="252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4"/>
    </row>
    <row r="5" spans="2:21" x14ac:dyDescent="0.3">
      <c r="B5" s="264"/>
      <c r="C5" s="265" t="s">
        <v>170</v>
      </c>
      <c r="D5" s="266"/>
      <c r="E5" s="266"/>
      <c r="F5" s="266"/>
      <c r="G5" s="267">
        <v>2023</v>
      </c>
      <c r="H5" s="268">
        <v>2024</v>
      </c>
      <c r="I5" s="268">
        <v>2024</v>
      </c>
      <c r="J5" s="268">
        <v>2024</v>
      </c>
      <c r="K5" s="268">
        <v>2024</v>
      </c>
      <c r="L5" s="268">
        <v>2024</v>
      </c>
      <c r="M5" s="268">
        <v>2024</v>
      </c>
      <c r="N5" s="268">
        <v>2024</v>
      </c>
      <c r="O5" s="268">
        <v>2024</v>
      </c>
      <c r="P5" s="268">
        <v>2024</v>
      </c>
      <c r="Q5" s="268">
        <v>2024</v>
      </c>
      <c r="R5" s="268">
        <v>2024</v>
      </c>
      <c r="S5" s="268">
        <v>2024</v>
      </c>
      <c r="T5" s="286">
        <v>2024</v>
      </c>
      <c r="U5" s="191">
        <v>2023</v>
      </c>
    </row>
    <row r="6" spans="2:21" x14ac:dyDescent="0.3">
      <c r="B6" s="269"/>
      <c r="C6" s="270" t="s">
        <v>64</v>
      </c>
      <c r="D6" s="271"/>
      <c r="E6" s="271"/>
      <c r="F6" s="271"/>
      <c r="G6" s="267" t="s">
        <v>36</v>
      </c>
      <c r="H6" s="272" t="s">
        <v>25</v>
      </c>
      <c r="I6" s="272" t="s">
        <v>26</v>
      </c>
      <c r="J6" s="272" t="s">
        <v>27</v>
      </c>
      <c r="K6" s="272" t="s">
        <v>28</v>
      </c>
      <c r="L6" s="272" t="s">
        <v>29</v>
      </c>
      <c r="M6" s="272" t="s">
        <v>30</v>
      </c>
      <c r="N6" s="272" t="s">
        <v>31</v>
      </c>
      <c r="O6" s="272" t="s">
        <v>32</v>
      </c>
      <c r="P6" s="272" t="s">
        <v>33</v>
      </c>
      <c r="Q6" s="272" t="s">
        <v>34</v>
      </c>
      <c r="R6" s="272" t="s">
        <v>35</v>
      </c>
      <c r="S6" s="273" t="s">
        <v>36</v>
      </c>
      <c r="T6" s="283"/>
      <c r="U6" s="158"/>
    </row>
    <row r="7" spans="2:21" x14ac:dyDescent="0.3">
      <c r="B7" s="252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5"/>
    </row>
    <row r="8" spans="2:21" x14ac:dyDescent="0.3">
      <c r="B8" s="256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8"/>
    </row>
    <row r="9" spans="2:21" x14ac:dyDescent="0.3">
      <c r="B9" s="279" t="s">
        <v>115</v>
      </c>
      <c r="C9" s="271"/>
      <c r="D9" s="271"/>
      <c r="E9" s="280"/>
      <c r="F9" s="281" t="s">
        <v>216</v>
      </c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8"/>
    </row>
    <row r="10" spans="2:21" x14ac:dyDescent="0.3">
      <c r="B10" s="259" t="s">
        <v>201</v>
      </c>
      <c r="C10" s="253"/>
      <c r="D10" s="253"/>
      <c r="E10" s="257"/>
      <c r="F10" s="260">
        <v>0.05</v>
      </c>
      <c r="G10" s="253"/>
      <c r="H10" s="261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8"/>
    </row>
    <row r="11" spans="2:21" x14ac:dyDescent="0.3">
      <c r="B11" s="259" t="s">
        <v>202</v>
      </c>
      <c r="C11" s="253"/>
      <c r="D11" s="253"/>
      <c r="E11" s="257"/>
      <c r="F11" s="260">
        <v>0.05</v>
      </c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8"/>
    </row>
    <row r="12" spans="2:21" x14ac:dyDescent="0.3">
      <c r="B12" s="259" t="s">
        <v>203</v>
      </c>
      <c r="C12" s="253"/>
      <c r="D12" s="253"/>
      <c r="E12" s="257"/>
      <c r="F12" s="260">
        <v>0.1</v>
      </c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8"/>
    </row>
    <row r="13" spans="2:21" x14ac:dyDescent="0.3">
      <c r="B13" s="259" t="s">
        <v>204</v>
      </c>
      <c r="C13" s="253"/>
      <c r="D13" s="253"/>
      <c r="E13" s="257"/>
      <c r="F13" s="260">
        <v>0.1</v>
      </c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8"/>
    </row>
    <row r="14" spans="2:21" x14ac:dyDescent="0.3">
      <c r="B14" s="259" t="s">
        <v>205</v>
      </c>
      <c r="C14" s="253"/>
      <c r="D14" s="253"/>
      <c r="E14" s="257"/>
      <c r="F14" s="260">
        <v>0.15</v>
      </c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8"/>
    </row>
    <row r="15" spans="2:21" x14ac:dyDescent="0.3">
      <c r="B15" s="259" t="s">
        <v>206</v>
      </c>
      <c r="C15" s="253"/>
      <c r="D15" s="253"/>
      <c r="E15" s="257"/>
      <c r="F15" s="260">
        <v>0.05</v>
      </c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8"/>
    </row>
    <row r="16" spans="2:21" x14ac:dyDescent="0.3">
      <c r="B16" s="256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473" t="s">
        <v>72</v>
      </c>
      <c r="U16" s="434"/>
    </row>
    <row r="17" spans="2:21" x14ac:dyDescent="0.3">
      <c r="B17" s="264"/>
      <c r="C17" s="266"/>
      <c r="D17" s="265" t="s">
        <v>114</v>
      </c>
      <c r="E17" s="266"/>
      <c r="F17" s="266"/>
      <c r="G17" s="274">
        <v>-1870127</v>
      </c>
      <c r="H17" s="275">
        <v>-1800127</v>
      </c>
      <c r="I17" s="275">
        <v>-1800127</v>
      </c>
      <c r="J17" s="275">
        <v>-1810127</v>
      </c>
      <c r="K17" s="275">
        <v>-1810127</v>
      </c>
      <c r="L17" s="275">
        <v>-1810127</v>
      </c>
      <c r="M17" s="275">
        <v>-1970664</v>
      </c>
      <c r="N17" s="275">
        <v>-1900127</v>
      </c>
      <c r="O17" s="275">
        <v>-2000127</v>
      </c>
      <c r="P17" s="275">
        <v>-1900127</v>
      </c>
      <c r="Q17" s="275">
        <v>-1998126</v>
      </c>
      <c r="R17" s="275">
        <v>-1998126</v>
      </c>
      <c r="S17" s="276">
        <v>-2000144</v>
      </c>
      <c r="T17" s="284"/>
      <c r="U17" s="287">
        <v>18335403</v>
      </c>
    </row>
    <row r="18" spans="2:21" x14ac:dyDescent="0.3">
      <c r="B18" s="269"/>
      <c r="C18" s="271"/>
      <c r="D18" s="270" t="s">
        <v>115</v>
      </c>
      <c r="E18" s="271"/>
      <c r="F18" s="271"/>
      <c r="G18" s="277">
        <v>-38444</v>
      </c>
      <c r="H18" s="278">
        <f>SUM(H19:H24)</f>
        <v>-3209</v>
      </c>
      <c r="I18" s="278">
        <f t="shared" ref="I18:S18" si="0">SUM(I19:I24)</f>
        <v>-3209</v>
      </c>
      <c r="J18" s="278">
        <f t="shared" si="0"/>
        <v>-3209</v>
      </c>
      <c r="K18" s="278">
        <f t="shared" si="0"/>
        <v>-3209</v>
      </c>
      <c r="L18" s="278">
        <f t="shared" si="0"/>
        <v>-3209</v>
      </c>
      <c r="M18" s="278">
        <f t="shared" si="0"/>
        <v>-3209</v>
      </c>
      <c r="N18" s="278">
        <f t="shared" si="0"/>
        <v>-3209</v>
      </c>
      <c r="O18" s="278">
        <f t="shared" si="0"/>
        <v>-3209</v>
      </c>
      <c r="P18" s="278">
        <f t="shared" si="0"/>
        <v>-3209</v>
      </c>
      <c r="Q18" s="278">
        <f t="shared" si="0"/>
        <v>-3209</v>
      </c>
      <c r="R18" s="278">
        <f t="shared" si="0"/>
        <v>-3209</v>
      </c>
      <c r="S18" s="278">
        <f t="shared" si="0"/>
        <v>-3209</v>
      </c>
      <c r="T18" s="285">
        <f t="shared" ref="T18:T22" si="1">SUM(H18:S18)</f>
        <v>-38508</v>
      </c>
      <c r="U18" s="287">
        <v>449528</v>
      </c>
    </row>
    <row r="19" spans="2:21" x14ac:dyDescent="0.3">
      <c r="B19" s="252"/>
      <c r="C19" s="253"/>
      <c r="D19" s="262" t="s">
        <v>201</v>
      </c>
      <c r="E19" s="253"/>
      <c r="F19" s="297"/>
      <c r="G19" s="298">
        <f>'IS 2023'!F37</f>
        <v>-1654</v>
      </c>
      <c r="H19" s="298">
        <f>'IS 2023'!G37</f>
        <v>-1654</v>
      </c>
      <c r="I19" s="298">
        <f>'IS 2023'!H37</f>
        <v>-1654</v>
      </c>
      <c r="J19" s="298">
        <f>'IS 2023'!I37</f>
        <v>-1654</v>
      </c>
      <c r="K19" s="298">
        <f>'IS 2023'!J37</f>
        <v>-1654</v>
      </c>
      <c r="L19" s="298">
        <f>'IS 2023'!K37</f>
        <v>-1654</v>
      </c>
      <c r="M19" s="298">
        <f>'IS 2023'!L37</f>
        <v>-1654</v>
      </c>
      <c r="N19" s="298">
        <f>'IS 2023'!M37</f>
        <v>-1654</v>
      </c>
      <c r="O19" s="298">
        <f>'IS 2023'!N37</f>
        <v>-1654</v>
      </c>
      <c r="P19" s="298">
        <f>'IS 2023'!O37</f>
        <v>-1654</v>
      </c>
      <c r="Q19" s="298">
        <f>'IS 2023'!P37</f>
        <v>-1654</v>
      </c>
      <c r="R19" s="298">
        <f>'IS 2023'!Q37</f>
        <v>-1654</v>
      </c>
      <c r="S19" s="298">
        <f>'IS 2023'!R37</f>
        <v>-1654</v>
      </c>
      <c r="T19" s="282">
        <f t="shared" si="1"/>
        <v>-19848</v>
      </c>
      <c r="U19" s="287">
        <v>438848</v>
      </c>
    </row>
    <row r="20" spans="2:21" x14ac:dyDescent="0.3">
      <c r="B20" s="252"/>
      <c r="C20" s="253"/>
      <c r="D20" s="262" t="s">
        <v>202</v>
      </c>
      <c r="E20" s="253"/>
      <c r="F20" s="299"/>
      <c r="G20" s="298">
        <f>'IS 2023'!F38</f>
        <v>-750</v>
      </c>
      <c r="H20" s="298">
        <f>'IS 2023'!G38</f>
        <v>-750</v>
      </c>
      <c r="I20" s="298">
        <f>'IS 2023'!H38</f>
        <v>-750</v>
      </c>
      <c r="J20" s="298">
        <f>'IS 2023'!I38</f>
        <v>-750</v>
      </c>
      <c r="K20" s="298">
        <f>'IS 2023'!J38</f>
        <v>-750</v>
      </c>
      <c r="L20" s="298">
        <f>'IS 2023'!K38</f>
        <v>-750</v>
      </c>
      <c r="M20" s="298">
        <f>'IS 2023'!L38</f>
        <v>-750</v>
      </c>
      <c r="N20" s="298">
        <f>'IS 2023'!M38</f>
        <v>-750</v>
      </c>
      <c r="O20" s="298">
        <f>'IS 2023'!N38</f>
        <v>-750</v>
      </c>
      <c r="P20" s="298">
        <f>'IS 2023'!O38</f>
        <v>-750</v>
      </c>
      <c r="Q20" s="298">
        <f>'IS 2023'!P38</f>
        <v>-750</v>
      </c>
      <c r="R20" s="298">
        <f>'IS 2023'!Q38</f>
        <v>-750</v>
      </c>
      <c r="S20" s="298">
        <f>'IS 2023'!R38</f>
        <v>-750</v>
      </c>
      <c r="T20" s="282">
        <f t="shared" si="1"/>
        <v>-9000</v>
      </c>
      <c r="U20" s="287">
        <v>8400</v>
      </c>
    </row>
    <row r="21" spans="2:21" x14ac:dyDescent="0.3">
      <c r="B21" s="252"/>
      <c r="C21" s="253"/>
      <c r="D21" s="262" t="s">
        <v>203</v>
      </c>
      <c r="E21" s="253"/>
      <c r="F21" s="299"/>
      <c r="G21" s="298">
        <f>'IS 2023'!F39</f>
        <v>-600</v>
      </c>
      <c r="H21" s="298">
        <f>'IS 2023'!G39</f>
        <v>-600</v>
      </c>
      <c r="I21" s="298">
        <f>'IS 2023'!H39</f>
        <v>-600</v>
      </c>
      <c r="J21" s="298">
        <f>'IS 2023'!I39</f>
        <v>-600</v>
      </c>
      <c r="K21" s="298">
        <f>'IS 2023'!J39</f>
        <v>-600</v>
      </c>
      <c r="L21" s="298">
        <f>'IS 2023'!K39</f>
        <v>-600</v>
      </c>
      <c r="M21" s="298">
        <f>'IS 2023'!L39</f>
        <v>-600</v>
      </c>
      <c r="N21" s="298">
        <f>'IS 2023'!M39</f>
        <v>-600</v>
      </c>
      <c r="O21" s="298">
        <f>'IS 2023'!N39</f>
        <v>-600</v>
      </c>
      <c r="P21" s="298">
        <f>'IS 2023'!O39</f>
        <v>-600</v>
      </c>
      <c r="Q21" s="298">
        <f>'IS 2023'!P39</f>
        <v>-600</v>
      </c>
      <c r="R21" s="298">
        <f>'IS 2023'!Q39</f>
        <v>-600</v>
      </c>
      <c r="S21" s="298">
        <f>'IS 2023'!R39</f>
        <v>-600</v>
      </c>
      <c r="T21" s="282">
        <f t="shared" si="1"/>
        <v>-7200</v>
      </c>
      <c r="U21" s="287">
        <v>1500</v>
      </c>
    </row>
    <row r="22" spans="2:21" x14ac:dyDescent="0.3">
      <c r="B22" s="252"/>
      <c r="C22" s="253"/>
      <c r="D22" s="262" t="s">
        <v>204</v>
      </c>
      <c r="E22" s="253"/>
      <c r="F22" s="300"/>
      <c r="G22" s="298">
        <f>'IS 2023'!F40</f>
        <v>-205</v>
      </c>
      <c r="H22" s="298">
        <f>'IS 2023'!G40</f>
        <v>-205</v>
      </c>
      <c r="I22" s="298">
        <f>'IS 2023'!H40</f>
        <v>-205</v>
      </c>
      <c r="J22" s="298">
        <f>'IS 2023'!I40</f>
        <v>-205</v>
      </c>
      <c r="K22" s="298">
        <f>'IS 2023'!J40</f>
        <v>-205</v>
      </c>
      <c r="L22" s="298">
        <f>'IS 2023'!K40</f>
        <v>-205</v>
      </c>
      <c r="M22" s="298">
        <f>'IS 2023'!L40</f>
        <v>-205</v>
      </c>
      <c r="N22" s="298">
        <f>'IS 2023'!M40</f>
        <v>-205</v>
      </c>
      <c r="O22" s="298">
        <f>'IS 2023'!N40</f>
        <v>-205</v>
      </c>
      <c r="P22" s="298">
        <f>'IS 2023'!O40</f>
        <v>-205</v>
      </c>
      <c r="Q22" s="298">
        <f>'IS 2023'!P40</f>
        <v>-205</v>
      </c>
      <c r="R22" s="298">
        <f>'IS 2023'!Q40</f>
        <v>-205</v>
      </c>
      <c r="S22" s="298">
        <f>'IS 2023'!R40</f>
        <v>-205</v>
      </c>
      <c r="T22" s="282">
        <f t="shared" si="1"/>
        <v>-2460</v>
      </c>
      <c r="U22" s="288">
        <v>780</v>
      </c>
    </row>
    <row r="23" spans="2:21" x14ac:dyDescent="0.3">
      <c r="B23" s="252"/>
      <c r="C23" s="253"/>
      <c r="D23" s="262" t="s">
        <v>205</v>
      </c>
      <c r="E23" s="253"/>
      <c r="F23" s="253"/>
      <c r="G23" s="25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82"/>
      <c r="U23" s="288"/>
    </row>
    <row r="24" spans="2:21" x14ac:dyDescent="0.3">
      <c r="B24" s="252"/>
      <c r="C24" s="253"/>
      <c r="D24" s="262" t="s">
        <v>206</v>
      </c>
      <c r="E24" s="253"/>
      <c r="F24" s="253"/>
      <c r="G24" s="25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82"/>
      <c r="U24" s="288"/>
    </row>
    <row r="25" spans="2:21" x14ac:dyDescent="0.3"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</row>
    <row r="26" spans="2:21" x14ac:dyDescent="0.3"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</row>
    <row r="27" spans="2:21" x14ac:dyDescent="0.3"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7"/>
    </row>
    <row r="28" spans="2:21" x14ac:dyDescent="0.3"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</row>
    <row r="29" spans="2:21" x14ac:dyDescent="0.3"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</row>
    <row r="30" spans="2:21" x14ac:dyDescent="0.3"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</row>
  </sheetData>
  <mergeCells count="1">
    <mergeCell ref="T16:U16"/>
  </mergeCells>
  <dataValidations count="1">
    <dataValidation type="list" allowBlank="1" showInputMessage="1" showErrorMessage="1" sqref="F10:F15" xr:uid="{A7B9AC77-3BDD-42A8-9C5E-212ECCDE8A37}">
      <formula1>"5%,10%,15%,20%,25%,30%"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F679-812C-4C16-9DCD-AB2979357F89}">
  <sheetPr codeName="Sheet6"/>
  <dimension ref="A2:AB104"/>
  <sheetViews>
    <sheetView showGridLines="0" zoomScale="71" zoomScaleNormal="71" workbookViewId="0">
      <selection activeCell="AB49" sqref="AB49"/>
    </sheetView>
  </sheetViews>
  <sheetFormatPr defaultColWidth="12" defaultRowHeight="15" x14ac:dyDescent="0.25"/>
  <cols>
    <col min="1" max="1" width="3.33203125" style="67" customWidth="1"/>
    <col min="2" max="2" width="26.6640625" style="67" customWidth="1"/>
    <col min="3" max="6" width="13.33203125" style="67" customWidth="1"/>
    <col min="7" max="7" width="3.33203125" style="67" customWidth="1"/>
    <col min="8" max="9" width="14.109375" style="67" customWidth="1"/>
    <col min="10" max="15" width="12" style="67"/>
    <col min="16" max="16" width="3.33203125" style="67" customWidth="1"/>
    <col min="17" max="24" width="12" style="67"/>
    <col min="25" max="25" width="3.33203125" style="67" customWidth="1"/>
    <col min="26" max="16384" width="12" style="67"/>
  </cols>
  <sheetData>
    <row r="2" spans="1:25" ht="21" x14ac:dyDescent="0.4">
      <c r="B2" s="512" t="s">
        <v>356</v>
      </c>
    </row>
    <row r="3" spans="1:25" s="82" customFormat="1" x14ac:dyDescent="0.25">
      <c r="B3" s="507"/>
      <c r="C3" s="508"/>
      <c r="D3" s="508"/>
      <c r="E3" s="509"/>
      <c r="F3" s="507"/>
      <c r="G3" s="507"/>
      <c r="H3" s="507"/>
      <c r="I3" s="508"/>
      <c r="J3" s="508"/>
      <c r="K3" s="508"/>
    </row>
    <row r="4" spans="1:25" ht="21" x14ac:dyDescent="0.4">
      <c r="B4" s="510" t="s">
        <v>288</v>
      </c>
    </row>
    <row r="5" spans="1:25" x14ac:dyDescent="0.2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</row>
    <row r="6" spans="1:25" ht="17.399999999999999" x14ac:dyDescent="0.25">
      <c r="A6" s="82"/>
      <c r="B6" s="474" t="s">
        <v>348</v>
      </c>
      <c r="C6" s="475" t="s">
        <v>354</v>
      </c>
      <c r="D6" s="476"/>
      <c r="E6" s="475" t="s">
        <v>349</v>
      </c>
      <c r="F6" s="479"/>
      <c r="G6" s="82"/>
      <c r="H6" s="481" t="s">
        <v>352</v>
      </c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82"/>
    </row>
    <row r="7" spans="1:25" ht="17.399999999999999" x14ac:dyDescent="0.25">
      <c r="A7" s="82"/>
      <c r="B7" s="474"/>
      <c r="C7" s="477"/>
      <c r="D7" s="478"/>
      <c r="E7" s="477"/>
      <c r="F7" s="480"/>
      <c r="G7" s="82"/>
      <c r="H7" s="68"/>
      <c r="I7" s="68"/>
      <c r="J7" s="68"/>
      <c r="K7" s="68"/>
      <c r="L7" s="68"/>
      <c r="M7" s="68"/>
      <c r="N7" s="68"/>
      <c r="O7" s="68"/>
      <c r="P7" s="69"/>
      <c r="Q7" s="68"/>
      <c r="R7" s="68"/>
      <c r="S7" s="68"/>
      <c r="T7" s="68"/>
      <c r="U7" s="68"/>
      <c r="V7" s="68"/>
      <c r="W7" s="68"/>
      <c r="X7" s="68"/>
      <c r="Y7" s="82"/>
    </row>
    <row r="8" spans="1:25" s="72" customFormat="1" ht="30" x14ac:dyDescent="0.3">
      <c r="A8" s="83"/>
      <c r="B8" s="71">
        <f>SUM(D12:D36)</f>
        <v>56.2</v>
      </c>
      <c r="C8" s="483">
        <f>SUM(E12:E36)</f>
        <v>75</v>
      </c>
      <c r="D8" s="484"/>
      <c r="E8" s="485">
        <f>SUM(D12:D36)/SUM(E12:E36)</f>
        <v>0.74933333333333341</v>
      </c>
      <c r="F8" s="486"/>
      <c r="G8" s="83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83"/>
    </row>
    <row r="9" spans="1:25" x14ac:dyDescent="0.25">
      <c r="A9" s="82"/>
      <c r="B9" s="82"/>
      <c r="C9" s="82"/>
      <c r="D9" s="82"/>
      <c r="E9" s="82"/>
      <c r="F9" s="82"/>
      <c r="G9" s="82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82"/>
    </row>
    <row r="10" spans="1:25" ht="17.399999999999999" x14ac:dyDescent="0.25">
      <c r="A10" s="82"/>
      <c r="B10" s="489" t="s">
        <v>353</v>
      </c>
      <c r="C10" s="489"/>
      <c r="D10" s="489"/>
      <c r="E10" s="489"/>
      <c r="F10" s="489"/>
      <c r="G10" s="82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82"/>
    </row>
    <row r="11" spans="1:25" ht="26.4" x14ac:dyDescent="0.25">
      <c r="A11" s="82"/>
      <c r="B11" s="490" t="s">
        <v>94</v>
      </c>
      <c r="C11" s="490"/>
      <c r="D11" s="73" t="s">
        <v>350</v>
      </c>
      <c r="E11" s="73" t="s">
        <v>351</v>
      </c>
      <c r="F11" s="73" t="s">
        <v>95</v>
      </c>
      <c r="G11" s="82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82"/>
    </row>
    <row r="12" spans="1:25" ht="19.95" customHeight="1" x14ac:dyDescent="0.25">
      <c r="A12" s="82"/>
      <c r="B12" s="487" t="s">
        <v>323</v>
      </c>
      <c r="C12" s="487"/>
      <c r="D12" s="74">
        <v>2.5</v>
      </c>
      <c r="E12" s="74">
        <v>3</v>
      </c>
      <c r="F12" s="75">
        <f>D12/E12</f>
        <v>0.83333333333333337</v>
      </c>
      <c r="G12" s="82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82"/>
    </row>
    <row r="13" spans="1:25" ht="19.95" customHeight="1" x14ac:dyDescent="0.25">
      <c r="A13" s="82"/>
      <c r="B13" s="487" t="s">
        <v>324</v>
      </c>
      <c r="C13" s="487"/>
      <c r="D13" s="74">
        <v>2.2000000000000002</v>
      </c>
      <c r="E13" s="74">
        <v>3</v>
      </c>
      <c r="F13" s="76">
        <f t="shared" ref="F13:F36" si="0">D13/E13</f>
        <v>0.73333333333333339</v>
      </c>
      <c r="G13" s="82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82"/>
    </row>
    <row r="14" spans="1:25" ht="19.95" customHeight="1" x14ac:dyDescent="0.25">
      <c r="A14" s="82"/>
      <c r="B14" s="487" t="s">
        <v>325</v>
      </c>
      <c r="C14" s="487"/>
      <c r="D14" s="74">
        <v>2</v>
      </c>
      <c r="E14" s="74">
        <v>3</v>
      </c>
      <c r="F14" s="75">
        <f t="shared" si="0"/>
        <v>0.66666666666666663</v>
      </c>
      <c r="G14" s="82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82"/>
    </row>
    <row r="15" spans="1:25" ht="19.95" customHeight="1" x14ac:dyDescent="0.25">
      <c r="A15" s="82"/>
      <c r="B15" s="487" t="s">
        <v>326</v>
      </c>
      <c r="C15" s="487"/>
      <c r="D15" s="74">
        <v>2</v>
      </c>
      <c r="E15" s="74">
        <v>3</v>
      </c>
      <c r="F15" s="76">
        <f t="shared" si="0"/>
        <v>0.66666666666666663</v>
      </c>
      <c r="G15" s="82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82"/>
    </row>
    <row r="16" spans="1:25" ht="19.95" customHeight="1" x14ac:dyDescent="0.25">
      <c r="A16" s="82"/>
      <c r="B16" s="487" t="s">
        <v>327</v>
      </c>
      <c r="C16" s="487"/>
      <c r="D16" s="74">
        <v>2</v>
      </c>
      <c r="E16" s="74">
        <v>3</v>
      </c>
      <c r="F16" s="75">
        <f t="shared" si="0"/>
        <v>0.66666666666666663</v>
      </c>
      <c r="G16" s="82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82"/>
    </row>
    <row r="17" spans="1:28" ht="19.95" customHeight="1" x14ac:dyDescent="0.25">
      <c r="A17" s="82"/>
      <c r="B17" s="487" t="s">
        <v>328</v>
      </c>
      <c r="C17" s="487"/>
      <c r="D17" s="74">
        <v>2</v>
      </c>
      <c r="E17" s="74">
        <v>3</v>
      </c>
      <c r="F17" s="76">
        <f t="shared" si="0"/>
        <v>0.66666666666666663</v>
      </c>
      <c r="G17" s="82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82"/>
    </row>
    <row r="18" spans="1:28" ht="19.95" customHeight="1" x14ac:dyDescent="0.25">
      <c r="A18" s="82"/>
      <c r="B18" s="487" t="s">
        <v>329</v>
      </c>
      <c r="C18" s="487"/>
      <c r="D18" s="74">
        <v>2</v>
      </c>
      <c r="E18" s="74">
        <v>3</v>
      </c>
      <c r="F18" s="75">
        <f t="shared" si="0"/>
        <v>0.66666666666666663</v>
      </c>
      <c r="G18" s="82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82"/>
    </row>
    <row r="19" spans="1:28" ht="19.95" customHeight="1" x14ac:dyDescent="0.25">
      <c r="A19" s="82"/>
      <c r="B19" s="487" t="s">
        <v>330</v>
      </c>
      <c r="C19" s="487"/>
      <c r="D19" s="74">
        <v>2</v>
      </c>
      <c r="E19" s="74">
        <v>3</v>
      </c>
      <c r="F19" s="76">
        <f t="shared" si="0"/>
        <v>0.66666666666666663</v>
      </c>
      <c r="G19" s="82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82"/>
    </row>
    <row r="20" spans="1:28" ht="19.95" customHeight="1" x14ac:dyDescent="0.25">
      <c r="A20" s="82"/>
      <c r="B20" s="487" t="s">
        <v>331</v>
      </c>
      <c r="C20" s="487"/>
      <c r="D20" s="74">
        <v>2</v>
      </c>
      <c r="E20" s="74">
        <v>3</v>
      </c>
      <c r="F20" s="75">
        <f t="shared" si="0"/>
        <v>0.66666666666666663</v>
      </c>
      <c r="G20" s="82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82"/>
    </row>
    <row r="21" spans="1:28" ht="19.95" customHeight="1" x14ac:dyDescent="0.25">
      <c r="A21" s="82"/>
      <c r="B21" s="487" t="s">
        <v>332</v>
      </c>
      <c r="C21" s="487"/>
      <c r="D21" s="74">
        <v>3</v>
      </c>
      <c r="E21" s="74">
        <v>3</v>
      </c>
      <c r="F21" s="76">
        <f t="shared" si="0"/>
        <v>1</v>
      </c>
      <c r="G21" s="82"/>
      <c r="H21" s="481" t="s">
        <v>210</v>
      </c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82"/>
    </row>
    <row r="22" spans="1:28" ht="19.95" customHeight="1" x14ac:dyDescent="0.25">
      <c r="A22" s="82"/>
      <c r="B22" s="487" t="s">
        <v>333</v>
      </c>
      <c r="C22" s="487"/>
      <c r="D22" s="74">
        <v>3</v>
      </c>
      <c r="E22" s="74">
        <v>3</v>
      </c>
      <c r="F22" s="75">
        <f t="shared" si="0"/>
        <v>1</v>
      </c>
      <c r="G22" s="82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82"/>
    </row>
    <row r="23" spans="1:28" ht="19.95" customHeight="1" x14ac:dyDescent="0.25">
      <c r="A23" s="82"/>
      <c r="B23" s="487" t="s">
        <v>334</v>
      </c>
      <c r="C23" s="487"/>
      <c r="D23" s="74">
        <v>2</v>
      </c>
      <c r="E23" s="74">
        <v>3</v>
      </c>
      <c r="F23" s="76">
        <f t="shared" si="0"/>
        <v>0.66666666666666663</v>
      </c>
      <c r="G23" s="82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82"/>
    </row>
    <row r="24" spans="1:28" ht="19.95" customHeight="1" x14ac:dyDescent="0.25">
      <c r="A24" s="82"/>
      <c r="B24" s="487" t="s">
        <v>335</v>
      </c>
      <c r="C24" s="487"/>
      <c r="D24" s="74">
        <v>2</v>
      </c>
      <c r="E24" s="74">
        <v>3</v>
      </c>
      <c r="F24" s="75">
        <f t="shared" si="0"/>
        <v>0.66666666666666663</v>
      </c>
      <c r="G24" s="82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82"/>
    </row>
    <row r="25" spans="1:28" ht="19.95" customHeight="1" x14ac:dyDescent="0.25">
      <c r="A25" s="82"/>
      <c r="B25" s="487" t="s">
        <v>336</v>
      </c>
      <c r="C25" s="487"/>
      <c r="D25" s="74">
        <v>2.5</v>
      </c>
      <c r="E25" s="74">
        <v>3</v>
      </c>
      <c r="F25" s="76">
        <f t="shared" si="0"/>
        <v>0.83333333333333337</v>
      </c>
      <c r="G25" s="82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82"/>
    </row>
    <row r="26" spans="1:28" ht="19.95" customHeight="1" x14ac:dyDescent="0.25">
      <c r="A26" s="82"/>
      <c r="B26" s="487" t="s">
        <v>337</v>
      </c>
      <c r="C26" s="487"/>
      <c r="D26" s="74">
        <v>2.5</v>
      </c>
      <c r="E26" s="74">
        <v>3</v>
      </c>
      <c r="F26" s="75">
        <f t="shared" si="0"/>
        <v>0.83333333333333337</v>
      </c>
      <c r="G26" s="82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82"/>
    </row>
    <row r="27" spans="1:28" ht="19.95" customHeight="1" x14ac:dyDescent="0.25">
      <c r="A27" s="82"/>
      <c r="B27" s="487" t="s">
        <v>338</v>
      </c>
      <c r="C27" s="487"/>
      <c r="D27" s="74">
        <v>2.5</v>
      </c>
      <c r="E27" s="74">
        <v>3</v>
      </c>
      <c r="F27" s="76">
        <f t="shared" si="0"/>
        <v>0.83333333333333337</v>
      </c>
      <c r="G27" s="82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82"/>
    </row>
    <row r="28" spans="1:28" ht="19.95" customHeight="1" x14ac:dyDescent="0.25">
      <c r="A28" s="82"/>
      <c r="B28" s="487" t="s">
        <v>339</v>
      </c>
      <c r="C28" s="487"/>
      <c r="D28" s="74">
        <v>2.5</v>
      </c>
      <c r="E28" s="74">
        <v>3</v>
      </c>
      <c r="F28" s="75">
        <f t="shared" si="0"/>
        <v>0.83333333333333337</v>
      </c>
      <c r="G28" s="82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82"/>
    </row>
    <row r="29" spans="1:28" ht="19.95" customHeight="1" x14ac:dyDescent="0.25">
      <c r="A29" s="82"/>
      <c r="B29" s="487" t="s">
        <v>340</v>
      </c>
      <c r="C29" s="487"/>
      <c r="D29" s="74">
        <v>2.5</v>
      </c>
      <c r="E29" s="74">
        <v>3</v>
      </c>
      <c r="F29" s="76">
        <f t="shared" si="0"/>
        <v>0.83333333333333337</v>
      </c>
      <c r="G29" s="82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82"/>
      <c r="AB29" s="77"/>
    </row>
    <row r="30" spans="1:28" ht="19.95" customHeight="1" x14ac:dyDescent="0.25">
      <c r="A30" s="82"/>
      <c r="B30" s="487" t="s">
        <v>341</v>
      </c>
      <c r="C30" s="487"/>
      <c r="D30" s="74">
        <v>2.5</v>
      </c>
      <c r="E30" s="74">
        <v>3</v>
      </c>
      <c r="F30" s="75">
        <f t="shared" si="0"/>
        <v>0.83333333333333337</v>
      </c>
      <c r="G30" s="82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82"/>
    </row>
    <row r="31" spans="1:28" ht="19.95" customHeight="1" x14ac:dyDescent="0.25">
      <c r="A31" s="82"/>
      <c r="B31" s="487" t="s">
        <v>342</v>
      </c>
      <c r="C31" s="487"/>
      <c r="D31" s="74">
        <v>2.5</v>
      </c>
      <c r="E31" s="74">
        <v>3</v>
      </c>
      <c r="F31" s="76">
        <f t="shared" si="0"/>
        <v>0.83333333333333337</v>
      </c>
      <c r="G31" s="82"/>
      <c r="H31" s="488"/>
      <c r="I31" s="488"/>
      <c r="J31" s="488"/>
      <c r="K31" s="488"/>
      <c r="L31" s="488"/>
      <c r="M31" s="488"/>
      <c r="N31" s="488"/>
      <c r="O31" s="488"/>
      <c r="P31" s="488"/>
      <c r="Q31" s="488"/>
      <c r="R31" s="488"/>
      <c r="S31" s="488"/>
      <c r="T31" s="488"/>
      <c r="U31" s="488"/>
      <c r="V31" s="488"/>
      <c r="W31" s="488"/>
      <c r="X31" s="488"/>
      <c r="Y31" s="82"/>
    </row>
    <row r="32" spans="1:28" ht="19.95" customHeight="1" x14ac:dyDescent="0.25">
      <c r="A32" s="82"/>
      <c r="B32" s="487" t="s">
        <v>343</v>
      </c>
      <c r="C32" s="487"/>
      <c r="D32" s="74">
        <v>2</v>
      </c>
      <c r="E32" s="74">
        <v>3</v>
      </c>
      <c r="F32" s="75">
        <f t="shared" si="0"/>
        <v>0.66666666666666663</v>
      </c>
      <c r="G32" s="82"/>
      <c r="H32" s="78"/>
      <c r="I32" s="78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82"/>
    </row>
    <row r="33" spans="1:25" ht="19.95" customHeight="1" x14ac:dyDescent="0.25">
      <c r="A33" s="82"/>
      <c r="B33" s="487" t="s">
        <v>344</v>
      </c>
      <c r="C33" s="487"/>
      <c r="D33" s="74">
        <v>2</v>
      </c>
      <c r="E33" s="74">
        <v>3</v>
      </c>
      <c r="F33" s="76">
        <f t="shared" si="0"/>
        <v>0.66666666666666663</v>
      </c>
      <c r="G33" s="82"/>
      <c r="H33" s="79"/>
      <c r="I33" s="80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82"/>
    </row>
    <row r="34" spans="1:25" ht="19.95" customHeight="1" x14ac:dyDescent="0.25">
      <c r="A34" s="82"/>
      <c r="B34" s="487" t="s">
        <v>345</v>
      </c>
      <c r="C34" s="487"/>
      <c r="D34" s="74">
        <v>2</v>
      </c>
      <c r="E34" s="74">
        <v>3</v>
      </c>
      <c r="F34" s="75">
        <f t="shared" si="0"/>
        <v>0.66666666666666663</v>
      </c>
      <c r="G34" s="82"/>
      <c r="H34" s="81"/>
      <c r="I34" s="80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82"/>
    </row>
    <row r="35" spans="1:25" ht="19.95" customHeight="1" x14ac:dyDescent="0.25">
      <c r="A35" s="82"/>
      <c r="B35" s="487" t="s">
        <v>346</v>
      </c>
      <c r="C35" s="487"/>
      <c r="D35" s="74">
        <v>2</v>
      </c>
      <c r="E35" s="74">
        <v>3</v>
      </c>
      <c r="F35" s="76">
        <f t="shared" si="0"/>
        <v>0.66666666666666663</v>
      </c>
      <c r="G35" s="82"/>
      <c r="H35" s="81"/>
      <c r="I35" s="80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82"/>
    </row>
    <row r="36" spans="1:25" ht="27" customHeight="1" x14ac:dyDescent="0.25">
      <c r="A36" s="82"/>
      <c r="B36" s="487" t="s">
        <v>347</v>
      </c>
      <c r="C36" s="487"/>
      <c r="D36" s="74">
        <v>2</v>
      </c>
      <c r="E36" s="74">
        <v>3</v>
      </c>
      <c r="F36" s="75">
        <f t="shared" si="0"/>
        <v>0.66666666666666663</v>
      </c>
      <c r="G36" s="82"/>
      <c r="H36" s="81"/>
      <c r="I36" s="80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82"/>
    </row>
    <row r="37" spans="1:25" x14ac:dyDescent="0.25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</row>
    <row r="38" spans="1:25" ht="21" x14ac:dyDescent="0.4">
      <c r="B38" s="510" t="s">
        <v>287</v>
      </c>
    </row>
    <row r="39" spans="1:25" s="82" customFormat="1" ht="21" x14ac:dyDescent="0.4">
      <c r="B39" s="511"/>
    </row>
    <row r="40" spans="1:25" ht="17.399999999999999" x14ac:dyDescent="0.25">
      <c r="A40" s="82"/>
      <c r="B40" s="474" t="s">
        <v>348</v>
      </c>
      <c r="C40" s="475" t="s">
        <v>357</v>
      </c>
      <c r="D40" s="476"/>
      <c r="E40" s="475" t="s">
        <v>349</v>
      </c>
      <c r="F40" s="479"/>
      <c r="G40" s="82"/>
      <c r="H40" s="481" t="s">
        <v>352</v>
      </c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82"/>
    </row>
    <row r="41" spans="1:25" ht="17.399999999999999" x14ac:dyDescent="0.25">
      <c r="A41" s="82"/>
      <c r="B41" s="474"/>
      <c r="C41" s="477"/>
      <c r="D41" s="478"/>
      <c r="E41" s="477"/>
      <c r="F41" s="480"/>
      <c r="G41" s="82"/>
      <c r="H41" s="68"/>
      <c r="I41" s="68"/>
      <c r="J41" s="68"/>
      <c r="K41" s="68"/>
      <c r="L41" s="68"/>
      <c r="M41" s="68"/>
      <c r="N41" s="68"/>
      <c r="O41" s="68"/>
      <c r="P41" s="69"/>
      <c r="Q41" s="68"/>
      <c r="R41" s="68"/>
      <c r="S41" s="68"/>
      <c r="T41" s="68"/>
      <c r="U41" s="68"/>
      <c r="V41" s="68"/>
      <c r="W41" s="68"/>
      <c r="X41" s="68"/>
      <c r="Y41" s="82"/>
    </row>
    <row r="42" spans="1:25" s="72" customFormat="1" ht="30" x14ac:dyDescent="0.3">
      <c r="A42" s="83"/>
      <c r="B42" s="71">
        <f>SUM(D46:D70)</f>
        <v>1290</v>
      </c>
      <c r="C42" s="483">
        <f>SUM(E46:E70)</f>
        <v>1500</v>
      </c>
      <c r="D42" s="484"/>
      <c r="E42" s="485">
        <f>SUM(D46:D70)/SUM(E46:E70)</f>
        <v>0.86</v>
      </c>
      <c r="F42" s="486"/>
      <c r="G42" s="83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83"/>
    </row>
    <row r="43" spans="1:25" x14ac:dyDescent="0.25">
      <c r="A43" s="82"/>
      <c r="B43" s="82"/>
      <c r="C43" s="82"/>
      <c r="D43" s="82"/>
      <c r="E43" s="82"/>
      <c r="F43" s="82"/>
      <c r="G43" s="82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82"/>
    </row>
    <row r="44" spans="1:25" ht="17.399999999999999" x14ac:dyDescent="0.25">
      <c r="A44" s="82"/>
      <c r="B44" s="489" t="s">
        <v>358</v>
      </c>
      <c r="C44" s="489"/>
      <c r="D44" s="489"/>
      <c r="E44" s="489"/>
      <c r="F44" s="489"/>
      <c r="G44" s="82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82"/>
    </row>
    <row r="45" spans="1:25" ht="26.4" x14ac:dyDescent="0.25">
      <c r="A45" s="82"/>
      <c r="B45" s="490" t="s">
        <v>94</v>
      </c>
      <c r="C45" s="490"/>
      <c r="D45" s="73" t="s">
        <v>350</v>
      </c>
      <c r="E45" s="73" t="s">
        <v>351</v>
      </c>
      <c r="F45" s="73" t="s">
        <v>95</v>
      </c>
      <c r="G45" s="82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82"/>
    </row>
    <row r="46" spans="1:25" ht="19.95" customHeight="1" x14ac:dyDescent="0.25">
      <c r="A46" s="82"/>
      <c r="B46" s="487" t="s">
        <v>323</v>
      </c>
      <c r="C46" s="487"/>
      <c r="D46" s="74">
        <v>45</v>
      </c>
      <c r="E46" s="74">
        <v>60</v>
      </c>
      <c r="F46" s="75">
        <f>D46/E46</f>
        <v>0.75</v>
      </c>
      <c r="G46" s="82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82"/>
    </row>
    <row r="47" spans="1:25" ht="19.95" customHeight="1" x14ac:dyDescent="0.25">
      <c r="A47" s="82"/>
      <c r="B47" s="487" t="s">
        <v>324</v>
      </c>
      <c r="C47" s="487"/>
      <c r="D47" s="74">
        <v>60</v>
      </c>
      <c r="E47" s="74">
        <v>60</v>
      </c>
      <c r="F47" s="76">
        <f t="shared" ref="F47:F70" si="1">D47/E47</f>
        <v>1</v>
      </c>
      <c r="G47" s="82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82"/>
    </row>
    <row r="48" spans="1:25" ht="19.95" customHeight="1" x14ac:dyDescent="0.25">
      <c r="A48" s="82"/>
      <c r="B48" s="487" t="s">
        <v>325</v>
      </c>
      <c r="C48" s="487"/>
      <c r="D48" s="74">
        <v>60</v>
      </c>
      <c r="E48" s="74">
        <v>60</v>
      </c>
      <c r="F48" s="75">
        <f t="shared" si="1"/>
        <v>1</v>
      </c>
      <c r="G48" s="82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82"/>
    </row>
    <row r="49" spans="1:28" ht="19.95" customHeight="1" x14ac:dyDescent="0.25">
      <c r="A49" s="82"/>
      <c r="B49" s="487" t="s">
        <v>326</v>
      </c>
      <c r="C49" s="487"/>
      <c r="D49" s="74">
        <v>60</v>
      </c>
      <c r="E49" s="74">
        <v>60</v>
      </c>
      <c r="F49" s="76">
        <f t="shared" si="1"/>
        <v>1</v>
      </c>
      <c r="G49" s="82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82"/>
    </row>
    <row r="50" spans="1:28" ht="19.95" customHeight="1" x14ac:dyDescent="0.25">
      <c r="A50" s="82"/>
      <c r="B50" s="487" t="s">
        <v>327</v>
      </c>
      <c r="C50" s="487"/>
      <c r="D50" s="74">
        <v>60</v>
      </c>
      <c r="E50" s="74">
        <v>60</v>
      </c>
      <c r="F50" s="75">
        <f t="shared" si="1"/>
        <v>1</v>
      </c>
      <c r="G50" s="82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82"/>
    </row>
    <row r="51" spans="1:28" ht="19.95" customHeight="1" x14ac:dyDescent="0.25">
      <c r="A51" s="82"/>
      <c r="B51" s="487" t="s">
        <v>328</v>
      </c>
      <c r="C51" s="487"/>
      <c r="D51" s="74">
        <v>60</v>
      </c>
      <c r="E51" s="74">
        <v>60</v>
      </c>
      <c r="F51" s="76">
        <f t="shared" si="1"/>
        <v>1</v>
      </c>
      <c r="G51" s="82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82"/>
    </row>
    <row r="52" spans="1:28" ht="19.95" customHeight="1" x14ac:dyDescent="0.25">
      <c r="A52" s="82"/>
      <c r="B52" s="487" t="s">
        <v>329</v>
      </c>
      <c r="C52" s="487"/>
      <c r="D52" s="74">
        <v>60</v>
      </c>
      <c r="E52" s="74">
        <v>60</v>
      </c>
      <c r="F52" s="75">
        <f t="shared" si="1"/>
        <v>1</v>
      </c>
      <c r="G52" s="82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82"/>
    </row>
    <row r="53" spans="1:28" ht="19.95" customHeight="1" x14ac:dyDescent="0.25">
      <c r="A53" s="82"/>
      <c r="B53" s="487" t="s">
        <v>330</v>
      </c>
      <c r="C53" s="487"/>
      <c r="D53" s="74">
        <v>60</v>
      </c>
      <c r="E53" s="74">
        <v>60</v>
      </c>
      <c r="F53" s="76">
        <f t="shared" si="1"/>
        <v>1</v>
      </c>
      <c r="G53" s="82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82"/>
    </row>
    <row r="54" spans="1:28" ht="19.95" customHeight="1" x14ac:dyDescent="0.25">
      <c r="A54" s="82"/>
      <c r="B54" s="487" t="s">
        <v>331</v>
      </c>
      <c r="C54" s="487"/>
      <c r="D54" s="74">
        <v>60</v>
      </c>
      <c r="E54" s="74">
        <v>60</v>
      </c>
      <c r="F54" s="75">
        <f t="shared" si="1"/>
        <v>1</v>
      </c>
      <c r="G54" s="82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82"/>
    </row>
    <row r="55" spans="1:28" ht="19.95" customHeight="1" x14ac:dyDescent="0.25">
      <c r="A55" s="82"/>
      <c r="B55" s="487" t="s">
        <v>332</v>
      </c>
      <c r="C55" s="487"/>
      <c r="D55" s="74">
        <v>45</v>
      </c>
      <c r="E55" s="74">
        <v>60</v>
      </c>
      <c r="F55" s="76">
        <f t="shared" si="1"/>
        <v>0.75</v>
      </c>
      <c r="G55" s="82"/>
      <c r="H55" s="481" t="s">
        <v>210</v>
      </c>
      <c r="I55" s="482"/>
      <c r="J55" s="482"/>
      <c r="K55" s="482"/>
      <c r="L55" s="482"/>
      <c r="M55" s="482"/>
      <c r="N55" s="482"/>
      <c r="O55" s="482"/>
      <c r="P55" s="482"/>
      <c r="Q55" s="482"/>
      <c r="R55" s="482"/>
      <c r="S55" s="482"/>
      <c r="T55" s="482"/>
      <c r="U55" s="482"/>
      <c r="V55" s="482"/>
      <c r="W55" s="482"/>
      <c r="X55" s="482"/>
      <c r="Y55" s="82"/>
    </row>
    <row r="56" spans="1:28" ht="19.95" customHeight="1" x14ac:dyDescent="0.25">
      <c r="A56" s="82"/>
      <c r="B56" s="487" t="s">
        <v>333</v>
      </c>
      <c r="C56" s="487"/>
      <c r="D56" s="74">
        <v>45</v>
      </c>
      <c r="E56" s="74">
        <v>60</v>
      </c>
      <c r="F56" s="75">
        <f t="shared" si="1"/>
        <v>0.75</v>
      </c>
      <c r="G56" s="82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82"/>
    </row>
    <row r="57" spans="1:28" ht="19.95" customHeight="1" x14ac:dyDescent="0.25">
      <c r="A57" s="82"/>
      <c r="B57" s="487" t="s">
        <v>334</v>
      </c>
      <c r="C57" s="487"/>
      <c r="D57" s="74">
        <v>45</v>
      </c>
      <c r="E57" s="74">
        <v>60</v>
      </c>
      <c r="F57" s="76">
        <f t="shared" si="1"/>
        <v>0.75</v>
      </c>
      <c r="G57" s="82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82"/>
    </row>
    <row r="58" spans="1:28" ht="19.95" customHeight="1" x14ac:dyDescent="0.25">
      <c r="A58" s="82"/>
      <c r="B58" s="487" t="s">
        <v>335</v>
      </c>
      <c r="C58" s="487"/>
      <c r="D58" s="74">
        <v>65</v>
      </c>
      <c r="E58" s="74">
        <v>60</v>
      </c>
      <c r="F58" s="75">
        <f t="shared" si="1"/>
        <v>1.0833333333333333</v>
      </c>
      <c r="G58" s="82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82"/>
    </row>
    <row r="59" spans="1:28" ht="19.95" customHeight="1" x14ac:dyDescent="0.25">
      <c r="A59" s="82"/>
      <c r="B59" s="487" t="s">
        <v>336</v>
      </c>
      <c r="C59" s="487"/>
      <c r="D59" s="74">
        <v>45</v>
      </c>
      <c r="E59" s="74">
        <v>60</v>
      </c>
      <c r="F59" s="76">
        <f t="shared" si="1"/>
        <v>0.75</v>
      </c>
      <c r="G59" s="82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82"/>
    </row>
    <row r="60" spans="1:28" ht="19.95" customHeight="1" x14ac:dyDescent="0.25">
      <c r="A60" s="82"/>
      <c r="B60" s="487" t="s">
        <v>337</v>
      </c>
      <c r="C60" s="487"/>
      <c r="D60" s="74">
        <v>70</v>
      </c>
      <c r="E60" s="74">
        <v>60</v>
      </c>
      <c r="F60" s="75">
        <f t="shared" si="1"/>
        <v>1.1666666666666667</v>
      </c>
      <c r="G60" s="82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82"/>
    </row>
    <row r="61" spans="1:28" ht="19.95" customHeight="1" x14ac:dyDescent="0.25">
      <c r="A61" s="82"/>
      <c r="B61" s="487" t="s">
        <v>338</v>
      </c>
      <c r="C61" s="487"/>
      <c r="D61" s="74">
        <v>45</v>
      </c>
      <c r="E61" s="74">
        <v>60</v>
      </c>
      <c r="F61" s="76">
        <f t="shared" si="1"/>
        <v>0.75</v>
      </c>
      <c r="G61" s="82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82"/>
    </row>
    <row r="62" spans="1:28" ht="19.95" customHeight="1" x14ac:dyDescent="0.25">
      <c r="A62" s="82"/>
      <c r="B62" s="487" t="s">
        <v>339</v>
      </c>
      <c r="C62" s="487"/>
      <c r="D62" s="74">
        <v>45</v>
      </c>
      <c r="E62" s="74">
        <v>60</v>
      </c>
      <c r="F62" s="75">
        <f t="shared" si="1"/>
        <v>0.75</v>
      </c>
      <c r="G62" s="82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82"/>
    </row>
    <row r="63" spans="1:28" ht="19.95" customHeight="1" x14ac:dyDescent="0.25">
      <c r="A63" s="82"/>
      <c r="B63" s="487" t="s">
        <v>340</v>
      </c>
      <c r="C63" s="487"/>
      <c r="D63" s="74">
        <v>40</v>
      </c>
      <c r="E63" s="74">
        <v>60</v>
      </c>
      <c r="F63" s="76">
        <f t="shared" si="1"/>
        <v>0.66666666666666663</v>
      </c>
      <c r="G63" s="82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82"/>
      <c r="AB63" s="77"/>
    </row>
    <row r="64" spans="1:28" ht="19.95" customHeight="1" x14ac:dyDescent="0.25">
      <c r="A64" s="82"/>
      <c r="B64" s="487" t="s">
        <v>341</v>
      </c>
      <c r="C64" s="487"/>
      <c r="D64" s="74">
        <v>45</v>
      </c>
      <c r="E64" s="74">
        <v>60</v>
      </c>
      <c r="F64" s="75">
        <f t="shared" si="1"/>
        <v>0.75</v>
      </c>
      <c r="G64" s="82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82"/>
    </row>
    <row r="65" spans="1:25" ht="19.95" customHeight="1" x14ac:dyDescent="0.25">
      <c r="A65" s="82"/>
      <c r="B65" s="487" t="s">
        <v>342</v>
      </c>
      <c r="C65" s="487"/>
      <c r="D65" s="74">
        <v>45</v>
      </c>
      <c r="E65" s="74">
        <v>60</v>
      </c>
      <c r="F65" s="76">
        <f t="shared" si="1"/>
        <v>0.75</v>
      </c>
      <c r="G65" s="82"/>
      <c r="H65" s="488"/>
      <c r="I65" s="488"/>
      <c r="J65" s="488"/>
      <c r="K65" s="488"/>
      <c r="L65" s="488"/>
      <c r="M65" s="488"/>
      <c r="N65" s="488"/>
      <c r="O65" s="488"/>
      <c r="P65" s="488"/>
      <c r="Q65" s="488"/>
      <c r="R65" s="488"/>
      <c r="S65" s="488"/>
      <c r="T65" s="488"/>
      <c r="U65" s="488"/>
      <c r="V65" s="488"/>
      <c r="W65" s="488"/>
      <c r="X65" s="488"/>
      <c r="Y65" s="82"/>
    </row>
    <row r="66" spans="1:25" ht="19.95" customHeight="1" x14ac:dyDescent="0.25">
      <c r="A66" s="82"/>
      <c r="B66" s="487" t="s">
        <v>343</v>
      </c>
      <c r="C66" s="487"/>
      <c r="D66" s="74">
        <v>45</v>
      </c>
      <c r="E66" s="74">
        <v>60</v>
      </c>
      <c r="F66" s="75">
        <f t="shared" si="1"/>
        <v>0.75</v>
      </c>
      <c r="G66" s="82"/>
      <c r="H66" s="78"/>
      <c r="I66" s="78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82"/>
    </row>
    <row r="67" spans="1:25" ht="19.95" customHeight="1" x14ac:dyDescent="0.25">
      <c r="A67" s="82"/>
      <c r="B67" s="487" t="s">
        <v>344</v>
      </c>
      <c r="C67" s="487"/>
      <c r="D67" s="74">
        <v>50</v>
      </c>
      <c r="E67" s="74">
        <v>60</v>
      </c>
      <c r="F67" s="76">
        <f t="shared" si="1"/>
        <v>0.83333333333333337</v>
      </c>
      <c r="G67" s="82"/>
      <c r="H67" s="79"/>
      <c r="I67" s="80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82"/>
    </row>
    <row r="68" spans="1:25" ht="19.95" customHeight="1" x14ac:dyDescent="0.25">
      <c r="A68" s="82"/>
      <c r="B68" s="487" t="s">
        <v>345</v>
      </c>
      <c r="C68" s="487"/>
      <c r="D68" s="74">
        <v>45</v>
      </c>
      <c r="E68" s="74">
        <v>60</v>
      </c>
      <c r="F68" s="75">
        <f t="shared" si="1"/>
        <v>0.75</v>
      </c>
      <c r="G68" s="82"/>
      <c r="H68" s="81"/>
      <c r="I68" s="80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82"/>
    </row>
    <row r="69" spans="1:25" ht="19.95" customHeight="1" x14ac:dyDescent="0.25">
      <c r="A69" s="82"/>
      <c r="B69" s="487" t="s">
        <v>346</v>
      </c>
      <c r="C69" s="487"/>
      <c r="D69" s="74">
        <v>45</v>
      </c>
      <c r="E69" s="74">
        <v>60</v>
      </c>
      <c r="F69" s="76">
        <f t="shared" si="1"/>
        <v>0.75</v>
      </c>
      <c r="G69" s="82"/>
      <c r="H69" s="81"/>
      <c r="I69" s="80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82"/>
    </row>
    <row r="70" spans="1:25" ht="27" customHeight="1" x14ac:dyDescent="0.25">
      <c r="A70" s="82"/>
      <c r="B70" s="487" t="s">
        <v>347</v>
      </c>
      <c r="C70" s="487"/>
      <c r="D70" s="74">
        <v>45</v>
      </c>
      <c r="E70" s="74">
        <v>60</v>
      </c>
      <c r="F70" s="75">
        <f t="shared" si="1"/>
        <v>0.75</v>
      </c>
      <c r="G70" s="82"/>
      <c r="H70" s="81"/>
      <c r="I70" s="80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82"/>
    </row>
    <row r="71" spans="1:25" ht="21.6" customHeight="1" x14ac:dyDescent="0.25"/>
    <row r="72" spans="1:25" ht="21" x14ac:dyDescent="0.4">
      <c r="B72" s="510" t="s">
        <v>286</v>
      </c>
    </row>
    <row r="73" spans="1:25" s="82" customFormat="1" ht="21" x14ac:dyDescent="0.4">
      <c r="B73" s="511"/>
    </row>
    <row r="74" spans="1:25" ht="17.399999999999999" x14ac:dyDescent="0.25">
      <c r="A74" s="82"/>
      <c r="B74" s="474" t="s">
        <v>348</v>
      </c>
      <c r="C74" s="475" t="s">
        <v>354</v>
      </c>
      <c r="D74" s="476"/>
      <c r="E74" s="475" t="s">
        <v>349</v>
      </c>
      <c r="F74" s="479"/>
      <c r="G74" s="82"/>
      <c r="H74" s="481" t="s">
        <v>352</v>
      </c>
      <c r="I74" s="482"/>
      <c r="J74" s="482"/>
      <c r="K74" s="482"/>
      <c r="L74" s="482"/>
      <c r="M74" s="482"/>
      <c r="N74" s="482"/>
      <c r="O74" s="482"/>
      <c r="P74" s="482"/>
      <c r="Q74" s="482"/>
      <c r="R74" s="482"/>
      <c r="S74" s="482"/>
      <c r="T74" s="482"/>
      <c r="U74" s="482"/>
      <c r="V74" s="482"/>
      <c r="W74" s="482"/>
      <c r="X74" s="482"/>
      <c r="Y74" s="82"/>
    </row>
    <row r="75" spans="1:25" ht="17.399999999999999" x14ac:dyDescent="0.25">
      <c r="A75" s="82"/>
      <c r="B75" s="474"/>
      <c r="C75" s="477"/>
      <c r="D75" s="478"/>
      <c r="E75" s="477"/>
      <c r="F75" s="480"/>
      <c r="G75" s="82"/>
      <c r="H75" s="68"/>
      <c r="I75" s="68"/>
      <c r="J75" s="68"/>
      <c r="K75" s="68"/>
      <c r="L75" s="68"/>
      <c r="M75" s="68"/>
      <c r="N75" s="68"/>
      <c r="O75" s="68"/>
      <c r="P75" s="69"/>
      <c r="Q75" s="68"/>
      <c r="R75" s="68"/>
      <c r="S75" s="68"/>
      <c r="T75" s="68"/>
      <c r="U75" s="68"/>
      <c r="V75" s="68"/>
      <c r="W75" s="68"/>
      <c r="X75" s="68"/>
      <c r="Y75" s="82"/>
    </row>
    <row r="76" spans="1:25" s="72" customFormat="1" ht="30" x14ac:dyDescent="0.3">
      <c r="A76" s="83"/>
      <c r="B76" s="71">
        <f>SUM(D80:D104)</f>
        <v>1333</v>
      </c>
      <c r="C76" s="483">
        <f>SUM(E80:E104)</f>
        <v>1500</v>
      </c>
      <c r="D76" s="484"/>
      <c r="E76" s="485">
        <f>SUM(D80:D104)/SUM(E80:E104)</f>
        <v>0.88866666666666672</v>
      </c>
      <c r="F76" s="486"/>
      <c r="G76" s="83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83"/>
    </row>
    <row r="77" spans="1:25" x14ac:dyDescent="0.25">
      <c r="A77" s="82"/>
      <c r="B77" s="82"/>
      <c r="C77" s="82"/>
      <c r="D77" s="82"/>
      <c r="E77" s="82"/>
      <c r="F77" s="82"/>
      <c r="G77" s="82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82"/>
    </row>
    <row r="78" spans="1:25" ht="17.399999999999999" x14ac:dyDescent="0.25">
      <c r="A78" s="82"/>
      <c r="B78" s="489" t="s">
        <v>355</v>
      </c>
      <c r="C78" s="489"/>
      <c r="D78" s="489"/>
      <c r="E78" s="489"/>
      <c r="F78" s="489"/>
      <c r="G78" s="82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82"/>
    </row>
    <row r="79" spans="1:25" ht="26.4" x14ac:dyDescent="0.25">
      <c r="A79" s="82"/>
      <c r="B79" s="490" t="s">
        <v>94</v>
      </c>
      <c r="C79" s="490"/>
      <c r="D79" s="73" t="s">
        <v>350</v>
      </c>
      <c r="E79" s="73" t="s">
        <v>351</v>
      </c>
      <c r="F79" s="73" t="s">
        <v>95</v>
      </c>
      <c r="G79" s="82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82"/>
    </row>
    <row r="80" spans="1:25" ht="19.95" customHeight="1" x14ac:dyDescent="0.25">
      <c r="A80" s="82"/>
      <c r="B80" s="487" t="s">
        <v>323</v>
      </c>
      <c r="C80" s="487"/>
      <c r="D80" s="74">
        <v>50</v>
      </c>
      <c r="E80" s="74">
        <v>60</v>
      </c>
      <c r="F80" s="75">
        <f>D80/E80</f>
        <v>0.83333333333333337</v>
      </c>
      <c r="G80" s="82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82"/>
    </row>
    <row r="81" spans="1:25" ht="19.95" customHeight="1" x14ac:dyDescent="0.25">
      <c r="A81" s="82"/>
      <c r="B81" s="487" t="s">
        <v>324</v>
      </c>
      <c r="C81" s="487"/>
      <c r="D81" s="74">
        <v>50</v>
      </c>
      <c r="E81" s="74">
        <v>60</v>
      </c>
      <c r="F81" s="76">
        <f t="shared" ref="F81:F104" si="2">D81/E81</f>
        <v>0.83333333333333337</v>
      </c>
      <c r="G81" s="82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82"/>
    </row>
    <row r="82" spans="1:25" ht="19.95" customHeight="1" x14ac:dyDescent="0.25">
      <c r="A82" s="82"/>
      <c r="B82" s="487" t="s">
        <v>325</v>
      </c>
      <c r="C82" s="487"/>
      <c r="D82" s="74">
        <v>50</v>
      </c>
      <c r="E82" s="74">
        <v>60</v>
      </c>
      <c r="F82" s="75">
        <f t="shared" si="2"/>
        <v>0.83333333333333337</v>
      </c>
      <c r="G82" s="82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82"/>
    </row>
    <row r="83" spans="1:25" ht="19.95" customHeight="1" x14ac:dyDescent="0.25">
      <c r="A83" s="82"/>
      <c r="B83" s="487" t="s">
        <v>326</v>
      </c>
      <c r="C83" s="487"/>
      <c r="D83" s="74">
        <v>50</v>
      </c>
      <c r="E83" s="74">
        <v>60</v>
      </c>
      <c r="F83" s="76">
        <f t="shared" si="2"/>
        <v>0.83333333333333337</v>
      </c>
      <c r="G83" s="82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82"/>
    </row>
    <row r="84" spans="1:25" ht="19.95" customHeight="1" x14ac:dyDescent="0.25">
      <c r="A84" s="82"/>
      <c r="B84" s="487" t="s">
        <v>327</v>
      </c>
      <c r="C84" s="487"/>
      <c r="D84" s="74">
        <v>50</v>
      </c>
      <c r="E84" s="74">
        <v>60</v>
      </c>
      <c r="F84" s="75">
        <f t="shared" si="2"/>
        <v>0.83333333333333337</v>
      </c>
      <c r="G84" s="82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82"/>
    </row>
    <row r="85" spans="1:25" ht="19.95" customHeight="1" x14ac:dyDescent="0.25">
      <c r="A85" s="82"/>
      <c r="B85" s="487" t="s">
        <v>328</v>
      </c>
      <c r="C85" s="487"/>
      <c r="D85" s="74">
        <v>45</v>
      </c>
      <c r="E85" s="74">
        <v>60</v>
      </c>
      <c r="F85" s="76">
        <f t="shared" si="2"/>
        <v>0.75</v>
      </c>
      <c r="G85" s="82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82"/>
    </row>
    <row r="86" spans="1:25" ht="19.95" customHeight="1" x14ac:dyDescent="0.25">
      <c r="A86" s="82"/>
      <c r="B86" s="487" t="s">
        <v>329</v>
      </c>
      <c r="C86" s="487"/>
      <c r="D86" s="74">
        <v>45</v>
      </c>
      <c r="E86" s="74">
        <v>60</v>
      </c>
      <c r="F86" s="75">
        <f t="shared" si="2"/>
        <v>0.75</v>
      </c>
      <c r="G86" s="82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82"/>
    </row>
    <row r="87" spans="1:25" ht="19.95" customHeight="1" x14ac:dyDescent="0.25">
      <c r="A87" s="82"/>
      <c r="B87" s="487" t="s">
        <v>330</v>
      </c>
      <c r="C87" s="487"/>
      <c r="D87" s="74">
        <v>65</v>
      </c>
      <c r="E87" s="74">
        <v>60</v>
      </c>
      <c r="F87" s="76">
        <f t="shared" si="2"/>
        <v>1.0833333333333333</v>
      </c>
      <c r="G87" s="82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82"/>
    </row>
    <row r="88" spans="1:25" ht="19.95" customHeight="1" x14ac:dyDescent="0.25">
      <c r="A88" s="82"/>
      <c r="B88" s="487" t="s">
        <v>331</v>
      </c>
      <c r="C88" s="487"/>
      <c r="D88" s="74">
        <v>70</v>
      </c>
      <c r="E88" s="74">
        <v>60</v>
      </c>
      <c r="F88" s="75">
        <f t="shared" si="2"/>
        <v>1.1666666666666667</v>
      </c>
      <c r="G88" s="82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82"/>
    </row>
    <row r="89" spans="1:25" ht="19.95" customHeight="1" x14ac:dyDescent="0.25">
      <c r="A89" s="82"/>
      <c r="B89" s="487" t="s">
        <v>332</v>
      </c>
      <c r="C89" s="487"/>
      <c r="D89" s="74">
        <v>68</v>
      </c>
      <c r="E89" s="74">
        <v>60</v>
      </c>
      <c r="F89" s="76">
        <f t="shared" si="2"/>
        <v>1.1333333333333333</v>
      </c>
      <c r="G89" s="82"/>
      <c r="H89" s="481" t="s">
        <v>210</v>
      </c>
      <c r="I89" s="482"/>
      <c r="J89" s="482"/>
      <c r="K89" s="482"/>
      <c r="L89" s="482"/>
      <c r="M89" s="482"/>
      <c r="N89" s="482"/>
      <c r="O89" s="482"/>
      <c r="P89" s="482"/>
      <c r="Q89" s="482"/>
      <c r="R89" s="482"/>
      <c r="S89" s="482"/>
      <c r="T89" s="482"/>
      <c r="U89" s="482"/>
      <c r="V89" s="482"/>
      <c r="W89" s="482"/>
      <c r="X89" s="482"/>
      <c r="Y89" s="82"/>
    </row>
    <row r="90" spans="1:25" ht="19.95" customHeight="1" x14ac:dyDescent="0.25">
      <c r="A90" s="82"/>
      <c r="B90" s="487" t="s">
        <v>333</v>
      </c>
      <c r="C90" s="487"/>
      <c r="D90" s="74">
        <v>70</v>
      </c>
      <c r="E90" s="74">
        <v>60</v>
      </c>
      <c r="F90" s="75">
        <f t="shared" si="2"/>
        <v>1.1666666666666667</v>
      </c>
      <c r="G90" s="82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82"/>
    </row>
    <row r="91" spans="1:25" ht="19.95" customHeight="1" x14ac:dyDescent="0.25">
      <c r="A91" s="82"/>
      <c r="B91" s="487" t="s">
        <v>334</v>
      </c>
      <c r="C91" s="487"/>
      <c r="D91" s="74">
        <v>45</v>
      </c>
      <c r="E91" s="74">
        <v>60</v>
      </c>
      <c r="F91" s="76">
        <f t="shared" si="2"/>
        <v>0.75</v>
      </c>
      <c r="G91" s="82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82"/>
    </row>
    <row r="92" spans="1:25" ht="19.95" customHeight="1" x14ac:dyDescent="0.25">
      <c r="A92" s="82"/>
      <c r="B92" s="487" t="s">
        <v>335</v>
      </c>
      <c r="C92" s="487"/>
      <c r="D92" s="74">
        <v>45</v>
      </c>
      <c r="E92" s="74">
        <v>60</v>
      </c>
      <c r="F92" s="75">
        <f t="shared" si="2"/>
        <v>0.75</v>
      </c>
      <c r="G92" s="82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82"/>
    </row>
    <row r="93" spans="1:25" ht="19.95" customHeight="1" x14ac:dyDescent="0.25">
      <c r="A93" s="82"/>
      <c r="B93" s="487" t="s">
        <v>336</v>
      </c>
      <c r="C93" s="487"/>
      <c r="D93" s="74">
        <v>50</v>
      </c>
      <c r="E93" s="74">
        <v>60</v>
      </c>
      <c r="F93" s="76">
        <f t="shared" si="2"/>
        <v>0.83333333333333337</v>
      </c>
      <c r="G93" s="82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82"/>
    </row>
    <row r="94" spans="1:25" ht="19.95" customHeight="1" x14ac:dyDescent="0.25">
      <c r="A94" s="82"/>
      <c r="B94" s="487" t="s">
        <v>337</v>
      </c>
      <c r="C94" s="487"/>
      <c r="D94" s="74">
        <v>50</v>
      </c>
      <c r="E94" s="74">
        <v>60</v>
      </c>
      <c r="F94" s="75">
        <f t="shared" si="2"/>
        <v>0.83333333333333337</v>
      </c>
      <c r="G94" s="82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82"/>
    </row>
    <row r="95" spans="1:25" ht="19.95" customHeight="1" x14ac:dyDescent="0.25">
      <c r="A95" s="82"/>
      <c r="B95" s="487" t="s">
        <v>338</v>
      </c>
      <c r="C95" s="487"/>
      <c r="D95" s="74">
        <v>50</v>
      </c>
      <c r="E95" s="74">
        <v>60</v>
      </c>
      <c r="F95" s="76">
        <f t="shared" si="2"/>
        <v>0.83333333333333337</v>
      </c>
      <c r="G95" s="82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82"/>
    </row>
    <row r="96" spans="1:25" ht="19.95" customHeight="1" x14ac:dyDescent="0.25">
      <c r="A96" s="82"/>
      <c r="B96" s="487" t="s">
        <v>339</v>
      </c>
      <c r="C96" s="487"/>
      <c r="D96" s="74">
        <v>30</v>
      </c>
      <c r="E96" s="74">
        <v>60</v>
      </c>
      <c r="F96" s="75">
        <f t="shared" si="2"/>
        <v>0.5</v>
      </c>
      <c r="G96" s="82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82"/>
    </row>
    <row r="97" spans="1:28" ht="19.95" customHeight="1" x14ac:dyDescent="0.25">
      <c r="A97" s="82"/>
      <c r="B97" s="487" t="s">
        <v>340</v>
      </c>
      <c r="C97" s="487"/>
      <c r="D97" s="74">
        <v>100</v>
      </c>
      <c r="E97" s="74">
        <v>60</v>
      </c>
      <c r="F97" s="76">
        <f t="shared" si="2"/>
        <v>1.6666666666666667</v>
      </c>
      <c r="G97" s="82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82"/>
      <c r="AB97" s="77"/>
    </row>
    <row r="98" spans="1:28" ht="19.95" customHeight="1" x14ac:dyDescent="0.25">
      <c r="A98" s="82"/>
      <c r="B98" s="487" t="s">
        <v>341</v>
      </c>
      <c r="C98" s="487"/>
      <c r="D98" s="74">
        <v>50</v>
      </c>
      <c r="E98" s="74">
        <v>60</v>
      </c>
      <c r="F98" s="75">
        <f t="shared" si="2"/>
        <v>0.83333333333333337</v>
      </c>
      <c r="G98" s="82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82"/>
    </row>
    <row r="99" spans="1:28" ht="19.95" customHeight="1" x14ac:dyDescent="0.25">
      <c r="A99" s="82"/>
      <c r="B99" s="487" t="s">
        <v>342</v>
      </c>
      <c r="C99" s="487"/>
      <c r="D99" s="74">
        <v>50</v>
      </c>
      <c r="E99" s="74">
        <v>60</v>
      </c>
      <c r="F99" s="76">
        <f t="shared" si="2"/>
        <v>0.83333333333333337</v>
      </c>
      <c r="G99" s="82"/>
      <c r="H99" s="488"/>
      <c r="I99" s="488"/>
      <c r="J99" s="488"/>
      <c r="K99" s="488"/>
      <c r="L99" s="488"/>
      <c r="M99" s="488"/>
      <c r="N99" s="488"/>
      <c r="O99" s="488"/>
      <c r="P99" s="488"/>
      <c r="Q99" s="488"/>
      <c r="R99" s="488"/>
      <c r="S99" s="488"/>
      <c r="T99" s="488"/>
      <c r="U99" s="488"/>
      <c r="V99" s="488"/>
      <c r="W99" s="488"/>
      <c r="X99" s="488"/>
      <c r="Y99" s="82"/>
    </row>
    <row r="100" spans="1:28" ht="19.95" customHeight="1" x14ac:dyDescent="0.25">
      <c r="A100" s="82"/>
      <c r="B100" s="487" t="s">
        <v>343</v>
      </c>
      <c r="C100" s="487"/>
      <c r="D100" s="74">
        <v>50</v>
      </c>
      <c r="E100" s="74">
        <v>60</v>
      </c>
      <c r="F100" s="75">
        <f t="shared" si="2"/>
        <v>0.83333333333333337</v>
      </c>
      <c r="G100" s="82"/>
      <c r="H100" s="78"/>
      <c r="I100" s="78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82"/>
    </row>
    <row r="101" spans="1:28" ht="19.95" customHeight="1" x14ac:dyDescent="0.25">
      <c r="A101" s="82"/>
      <c r="B101" s="487" t="s">
        <v>344</v>
      </c>
      <c r="C101" s="487"/>
      <c r="D101" s="74">
        <v>50</v>
      </c>
      <c r="E101" s="74">
        <v>60</v>
      </c>
      <c r="F101" s="76">
        <f t="shared" si="2"/>
        <v>0.83333333333333337</v>
      </c>
      <c r="G101" s="82"/>
      <c r="H101" s="79"/>
      <c r="I101" s="80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82"/>
    </row>
    <row r="102" spans="1:28" ht="19.95" customHeight="1" x14ac:dyDescent="0.25">
      <c r="A102" s="82"/>
      <c r="B102" s="487" t="s">
        <v>345</v>
      </c>
      <c r="C102" s="487"/>
      <c r="D102" s="74">
        <v>50</v>
      </c>
      <c r="E102" s="74">
        <v>60</v>
      </c>
      <c r="F102" s="75">
        <f t="shared" si="2"/>
        <v>0.83333333333333337</v>
      </c>
      <c r="G102" s="82"/>
      <c r="H102" s="81"/>
      <c r="I102" s="80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82"/>
    </row>
    <row r="103" spans="1:28" ht="19.95" customHeight="1" x14ac:dyDescent="0.25">
      <c r="A103" s="82"/>
      <c r="B103" s="487" t="s">
        <v>346</v>
      </c>
      <c r="C103" s="487"/>
      <c r="D103" s="74">
        <v>50</v>
      </c>
      <c r="E103" s="74">
        <v>60</v>
      </c>
      <c r="F103" s="76">
        <f t="shared" si="2"/>
        <v>0.83333333333333337</v>
      </c>
      <c r="G103" s="82"/>
      <c r="H103" s="81"/>
      <c r="I103" s="80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82"/>
    </row>
    <row r="104" spans="1:28" ht="27" customHeight="1" x14ac:dyDescent="0.25">
      <c r="A104" s="82"/>
      <c r="B104" s="487" t="s">
        <v>347</v>
      </c>
      <c r="C104" s="487"/>
      <c r="D104" s="74">
        <v>50</v>
      </c>
      <c r="E104" s="74">
        <v>60</v>
      </c>
      <c r="F104" s="75">
        <f t="shared" si="2"/>
        <v>0.83333333333333337</v>
      </c>
      <c r="G104" s="82"/>
      <c r="H104" s="81"/>
      <c r="I104" s="80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82"/>
    </row>
  </sheetData>
  <mergeCells count="105">
    <mergeCell ref="B102:C102"/>
    <mergeCell ref="B103:C103"/>
    <mergeCell ref="B104:C104"/>
    <mergeCell ref="B98:C98"/>
    <mergeCell ref="B99:C99"/>
    <mergeCell ref="H99:X99"/>
    <mergeCell ref="B100:C100"/>
    <mergeCell ref="B101:C101"/>
    <mergeCell ref="B93:C93"/>
    <mergeCell ref="B94:C94"/>
    <mergeCell ref="B95:C95"/>
    <mergeCell ref="B96:C96"/>
    <mergeCell ref="B97:C97"/>
    <mergeCell ref="B89:C89"/>
    <mergeCell ref="H89:X89"/>
    <mergeCell ref="B90:C90"/>
    <mergeCell ref="B91:C91"/>
    <mergeCell ref="B92:C92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E74:F75"/>
    <mergeCell ref="H74:X74"/>
    <mergeCell ref="C76:D76"/>
    <mergeCell ref="E76:F76"/>
    <mergeCell ref="B78:F78"/>
    <mergeCell ref="B40:B41"/>
    <mergeCell ref="C40:D41"/>
    <mergeCell ref="C42:D42"/>
    <mergeCell ref="B44:F44"/>
    <mergeCell ref="B45:C45"/>
    <mergeCell ref="B67:C67"/>
    <mergeCell ref="B68:C68"/>
    <mergeCell ref="B69:C69"/>
    <mergeCell ref="B70:C70"/>
    <mergeCell ref="B62:C62"/>
    <mergeCell ref="B63:C63"/>
    <mergeCell ref="B64:C64"/>
    <mergeCell ref="B65:C65"/>
    <mergeCell ref="B66:C66"/>
    <mergeCell ref="B58:C58"/>
    <mergeCell ref="B59:C59"/>
    <mergeCell ref="B60:C60"/>
    <mergeCell ref="B61:C61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B74:B75"/>
    <mergeCell ref="C74:D75"/>
    <mergeCell ref="H65:X65"/>
    <mergeCell ref="H55:X55"/>
    <mergeCell ref="B46:C46"/>
    <mergeCell ref="B47:C47"/>
    <mergeCell ref="E40:F41"/>
    <mergeCell ref="H40:X40"/>
    <mergeCell ref="E42:F42"/>
    <mergeCell ref="B32:C32"/>
    <mergeCell ref="B33:C33"/>
    <mergeCell ref="B34:C34"/>
    <mergeCell ref="H31:X31"/>
    <mergeCell ref="H21:X21"/>
    <mergeCell ref="B19:C19"/>
    <mergeCell ref="B20:C20"/>
    <mergeCell ref="B21:C21"/>
    <mergeCell ref="B10:F10"/>
    <mergeCell ref="B11:C11"/>
    <mergeCell ref="B12:C12"/>
    <mergeCell ref="B13:C13"/>
    <mergeCell ref="B14:C14"/>
    <mergeCell ref="B15:C15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6:C16"/>
    <mergeCell ref="B17:C17"/>
    <mergeCell ref="B18:C18"/>
    <mergeCell ref="B6:B7"/>
    <mergeCell ref="C6:D7"/>
    <mergeCell ref="E6:F7"/>
    <mergeCell ref="H6:X6"/>
    <mergeCell ref="C8:D8"/>
    <mergeCell ref="E8:F8"/>
  </mergeCells>
  <phoneticPr fontId="7" type="noConversion"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6E1D-F011-485F-9ED2-43FC1C025345}">
  <sheetPr codeName="Sheet7"/>
  <dimension ref="C2:K46"/>
  <sheetViews>
    <sheetView showGridLines="0" zoomScale="93" zoomScaleNormal="93" workbookViewId="0">
      <selection activeCell="A45" sqref="A45"/>
    </sheetView>
  </sheetViews>
  <sheetFormatPr defaultRowHeight="14.4" x14ac:dyDescent="0.3"/>
  <cols>
    <col min="1" max="1" width="4.44140625" customWidth="1"/>
    <col min="2" max="2" width="2.6640625" customWidth="1"/>
    <col min="3" max="3" width="17.6640625" customWidth="1"/>
    <col min="4" max="11" width="21.77734375" customWidth="1"/>
  </cols>
  <sheetData>
    <row r="2" spans="3:11" ht="16.2" customHeight="1" x14ac:dyDescent="0.3">
      <c r="C2" s="491" t="s">
        <v>212</v>
      </c>
      <c r="D2" s="494"/>
      <c r="E2" s="491" t="s">
        <v>213</v>
      </c>
      <c r="F2" s="492"/>
      <c r="G2" s="492"/>
      <c r="H2" s="94"/>
      <c r="I2" s="95">
        <f>D21/E21</f>
        <v>1.0018429782528566</v>
      </c>
      <c r="J2" s="92" t="s">
        <v>96</v>
      </c>
      <c r="K2" s="96">
        <f>D21/K21</f>
        <v>52.606451612903228</v>
      </c>
    </row>
    <row r="3" spans="3:11" ht="7.8" customHeight="1" x14ac:dyDescent="0.3">
      <c r="C3" s="84"/>
    </row>
    <row r="4" spans="3:11" ht="20.399999999999999" customHeight="1" x14ac:dyDescent="0.4">
      <c r="C4" s="85"/>
      <c r="D4" s="495" t="s">
        <v>281</v>
      </c>
      <c r="E4" s="495"/>
      <c r="F4" s="93"/>
      <c r="G4" s="496" t="s">
        <v>97</v>
      </c>
      <c r="H4" s="496"/>
      <c r="I4" s="496" t="s">
        <v>103</v>
      </c>
      <c r="J4" s="496"/>
      <c r="K4" s="85"/>
    </row>
    <row r="5" spans="3:11" x14ac:dyDescent="0.3">
      <c r="C5" s="86" t="s">
        <v>249</v>
      </c>
      <c r="D5" s="87" t="s">
        <v>93</v>
      </c>
      <c r="E5" s="87" t="s">
        <v>98</v>
      </c>
      <c r="F5" s="87" t="s">
        <v>104</v>
      </c>
      <c r="G5" s="87" t="s">
        <v>99</v>
      </c>
      <c r="H5" s="87" t="s">
        <v>100</v>
      </c>
      <c r="I5" s="98" t="s">
        <v>72</v>
      </c>
      <c r="J5" s="98" t="s">
        <v>102</v>
      </c>
      <c r="K5" s="99" t="s">
        <v>101</v>
      </c>
    </row>
    <row r="6" spans="3:11" ht="15" customHeight="1" x14ac:dyDescent="0.3">
      <c r="C6" s="54" t="s">
        <v>249</v>
      </c>
      <c r="D6" s="223">
        <v>2760</v>
      </c>
      <c r="E6" s="223">
        <v>2760</v>
      </c>
      <c r="F6" s="100">
        <f t="shared" ref="F6:F21" si="0">D6/E6</f>
        <v>1</v>
      </c>
      <c r="G6" s="224">
        <f>IF(ISBLANK(D6-E6),"",(D6-E6))</f>
        <v>0</v>
      </c>
      <c r="H6" s="225">
        <f>AVERAGE($G$6:$G$20)</f>
        <v>5</v>
      </c>
      <c r="I6" s="223">
        <v>35</v>
      </c>
      <c r="J6" s="223">
        <v>15</v>
      </c>
      <c r="K6" s="226">
        <f>SUM(Table132[[#This Row],[Totals]:[Overuns]])</f>
        <v>50</v>
      </c>
    </row>
    <row r="7" spans="3:11" ht="15" customHeight="1" x14ac:dyDescent="0.3">
      <c r="C7" s="54" t="s">
        <v>249</v>
      </c>
      <c r="D7" s="223">
        <v>2660</v>
      </c>
      <c r="E7" s="223">
        <v>2760</v>
      </c>
      <c r="F7" s="100">
        <f t="shared" si="0"/>
        <v>0.96376811594202894</v>
      </c>
      <c r="G7" s="224">
        <f t="shared" ref="G7:G20" si="1">IF(ISBLANK(D7-E7),"",(D7-E7))</f>
        <v>-100</v>
      </c>
      <c r="H7" s="225">
        <f t="shared" ref="H7:H20" si="2">AVERAGE($G$6:$G$20)</f>
        <v>5</v>
      </c>
      <c r="I7" s="223">
        <v>35</v>
      </c>
      <c r="J7" s="223">
        <v>16</v>
      </c>
      <c r="K7" s="226">
        <f>SUM(Table132[[#This Row],[Totals]:[Overuns]])</f>
        <v>51</v>
      </c>
    </row>
    <row r="8" spans="3:11" ht="15" customHeight="1" x14ac:dyDescent="0.3">
      <c r="C8" s="54" t="s">
        <v>249</v>
      </c>
      <c r="D8" s="223">
        <v>2560</v>
      </c>
      <c r="E8" s="223">
        <v>2660</v>
      </c>
      <c r="F8" s="100">
        <f t="shared" si="0"/>
        <v>0.96240601503759393</v>
      </c>
      <c r="G8" s="224">
        <f t="shared" si="1"/>
        <v>-100</v>
      </c>
      <c r="H8" s="225">
        <f t="shared" si="2"/>
        <v>5</v>
      </c>
      <c r="I8" s="223">
        <v>35</v>
      </c>
      <c r="J8" s="223">
        <v>16</v>
      </c>
      <c r="K8" s="226">
        <f>SUM(Table132[[#This Row],[Totals]:[Overuns]])</f>
        <v>51</v>
      </c>
    </row>
    <row r="9" spans="3:11" ht="15" customHeight="1" x14ac:dyDescent="0.3">
      <c r="C9" s="54" t="s">
        <v>249</v>
      </c>
      <c r="D9" s="223">
        <v>2550</v>
      </c>
      <c r="E9" s="223">
        <v>2450</v>
      </c>
      <c r="F9" s="100">
        <f t="shared" si="0"/>
        <v>1.0408163265306123</v>
      </c>
      <c r="G9" s="224">
        <f t="shared" si="1"/>
        <v>100</v>
      </c>
      <c r="H9" s="225">
        <f t="shared" si="2"/>
        <v>5</v>
      </c>
      <c r="I9" s="223">
        <v>35</v>
      </c>
      <c r="J9" s="223">
        <v>16</v>
      </c>
      <c r="K9" s="226">
        <f>SUM(Table132[[#This Row],[Totals]:[Overuns]])</f>
        <v>51</v>
      </c>
    </row>
    <row r="10" spans="3:11" ht="15" customHeight="1" x14ac:dyDescent="0.3">
      <c r="C10" s="54" t="s">
        <v>249</v>
      </c>
      <c r="D10" s="223">
        <v>2550</v>
      </c>
      <c r="E10" s="223">
        <v>2500</v>
      </c>
      <c r="F10" s="100">
        <f t="shared" si="0"/>
        <v>1.02</v>
      </c>
      <c r="G10" s="224">
        <f t="shared" si="1"/>
        <v>50</v>
      </c>
      <c r="H10" s="225">
        <f t="shared" si="2"/>
        <v>5</v>
      </c>
      <c r="I10" s="223">
        <v>35</v>
      </c>
      <c r="J10" s="223">
        <v>16</v>
      </c>
      <c r="K10" s="226">
        <f>SUM(Table132[[#This Row],[Totals]:[Overuns]])</f>
        <v>51</v>
      </c>
    </row>
    <row r="11" spans="3:11" ht="15" customHeight="1" x14ac:dyDescent="0.3">
      <c r="C11" s="54" t="s">
        <v>249</v>
      </c>
      <c r="D11" s="223">
        <v>2760</v>
      </c>
      <c r="E11" s="223">
        <v>2760</v>
      </c>
      <c r="F11" s="100">
        <f t="shared" si="0"/>
        <v>1</v>
      </c>
      <c r="G11" s="224">
        <f t="shared" si="1"/>
        <v>0</v>
      </c>
      <c r="H11" s="225">
        <f t="shared" si="2"/>
        <v>5</v>
      </c>
      <c r="I11" s="223">
        <v>35</v>
      </c>
      <c r="J11" s="223">
        <v>15</v>
      </c>
      <c r="K11" s="226">
        <f>SUM(Table132[[#This Row],[Totals]:[Overuns]])</f>
        <v>50</v>
      </c>
    </row>
    <row r="12" spans="3:11" ht="15" customHeight="1" x14ac:dyDescent="0.3">
      <c r="C12" s="54" t="s">
        <v>249</v>
      </c>
      <c r="D12" s="223">
        <v>2760</v>
      </c>
      <c r="E12" s="223">
        <v>2760</v>
      </c>
      <c r="F12" s="100">
        <f t="shared" si="0"/>
        <v>1</v>
      </c>
      <c r="G12" s="224">
        <f t="shared" si="1"/>
        <v>0</v>
      </c>
      <c r="H12" s="225">
        <f t="shared" si="2"/>
        <v>5</v>
      </c>
      <c r="I12" s="223">
        <v>35</v>
      </c>
      <c r="J12" s="223">
        <v>20</v>
      </c>
      <c r="K12" s="226">
        <f>SUM(Table132[[#This Row],[Totals]:[Overuns]])</f>
        <v>55</v>
      </c>
    </row>
    <row r="13" spans="3:11" ht="15" customHeight="1" x14ac:dyDescent="0.3">
      <c r="C13" s="54" t="s">
        <v>249</v>
      </c>
      <c r="D13" s="223">
        <v>2760</v>
      </c>
      <c r="E13" s="223">
        <v>2700</v>
      </c>
      <c r="F13" s="100">
        <f t="shared" si="0"/>
        <v>1.0222222222222221</v>
      </c>
      <c r="G13" s="224">
        <f t="shared" si="1"/>
        <v>60</v>
      </c>
      <c r="H13" s="225">
        <f t="shared" si="2"/>
        <v>5</v>
      </c>
      <c r="I13" s="223">
        <v>35</v>
      </c>
      <c r="J13" s="223">
        <v>20</v>
      </c>
      <c r="K13" s="226">
        <f>SUM(Table132[[#This Row],[Totals]:[Overuns]])</f>
        <v>55</v>
      </c>
    </row>
    <row r="14" spans="3:11" ht="15" customHeight="1" x14ac:dyDescent="0.3">
      <c r="C14" s="54" t="s">
        <v>249</v>
      </c>
      <c r="D14" s="223">
        <v>2760</v>
      </c>
      <c r="E14" s="223">
        <v>2750</v>
      </c>
      <c r="F14" s="100">
        <f t="shared" si="0"/>
        <v>1.0036363636363637</v>
      </c>
      <c r="G14" s="224">
        <f t="shared" si="1"/>
        <v>10</v>
      </c>
      <c r="H14" s="225">
        <f t="shared" si="2"/>
        <v>5</v>
      </c>
      <c r="I14" s="223">
        <v>35</v>
      </c>
      <c r="J14" s="223">
        <v>20</v>
      </c>
      <c r="K14" s="226">
        <f>SUM(Table132[[#This Row],[Totals]:[Overuns]])</f>
        <v>55</v>
      </c>
    </row>
    <row r="15" spans="3:11" ht="15" customHeight="1" x14ac:dyDescent="0.3">
      <c r="C15" s="54" t="s">
        <v>249</v>
      </c>
      <c r="D15" s="223">
        <v>3000</v>
      </c>
      <c r="E15" s="223">
        <v>3005</v>
      </c>
      <c r="F15" s="100">
        <f t="shared" si="0"/>
        <v>0.99833610648918469</v>
      </c>
      <c r="G15" s="224">
        <f t="shared" si="1"/>
        <v>-5</v>
      </c>
      <c r="H15" s="225">
        <f t="shared" si="2"/>
        <v>5</v>
      </c>
      <c r="I15" s="223">
        <v>35</v>
      </c>
      <c r="J15" s="223">
        <v>15</v>
      </c>
      <c r="K15" s="226">
        <f>SUM(Table132[[#This Row],[Totals]:[Overuns]])</f>
        <v>50</v>
      </c>
    </row>
    <row r="16" spans="3:11" ht="15" customHeight="1" x14ac:dyDescent="0.3">
      <c r="C16" s="54" t="s">
        <v>249</v>
      </c>
      <c r="D16" s="223">
        <v>2970</v>
      </c>
      <c r="E16" s="223">
        <v>2970</v>
      </c>
      <c r="F16" s="100">
        <f t="shared" si="0"/>
        <v>1</v>
      </c>
      <c r="G16" s="224">
        <f t="shared" si="1"/>
        <v>0</v>
      </c>
      <c r="H16" s="225">
        <f t="shared" si="2"/>
        <v>5</v>
      </c>
      <c r="I16" s="223">
        <v>35</v>
      </c>
      <c r="J16" s="223">
        <v>22</v>
      </c>
      <c r="K16" s="226">
        <f>SUM(Table132[[#This Row],[Totals]:[Overuns]])</f>
        <v>57</v>
      </c>
    </row>
    <row r="17" spans="3:11" ht="15" customHeight="1" x14ac:dyDescent="0.3">
      <c r="C17" s="54" t="s">
        <v>249</v>
      </c>
      <c r="D17" s="223">
        <v>2760</v>
      </c>
      <c r="E17" s="223">
        <v>2760</v>
      </c>
      <c r="F17" s="100">
        <f t="shared" si="0"/>
        <v>1</v>
      </c>
      <c r="G17" s="224">
        <f>IF(ISBLANK(D17-E17),"",(D17-E17))</f>
        <v>0</v>
      </c>
      <c r="H17" s="225">
        <f t="shared" si="2"/>
        <v>5</v>
      </c>
      <c r="I17" s="223">
        <v>35</v>
      </c>
      <c r="J17" s="223">
        <v>15</v>
      </c>
      <c r="K17" s="223">
        <f>SUM(Table132[[#This Row],[Totals]:[Overuns]])</f>
        <v>50</v>
      </c>
    </row>
    <row r="18" spans="3:11" ht="15" customHeight="1" x14ac:dyDescent="0.3">
      <c r="C18" s="54" t="s">
        <v>249</v>
      </c>
      <c r="D18" s="223">
        <v>2760</v>
      </c>
      <c r="E18" s="223">
        <v>2760</v>
      </c>
      <c r="F18" s="100">
        <f t="shared" si="0"/>
        <v>1</v>
      </c>
      <c r="G18" s="224">
        <f>IF(ISBLANK(D18-E18),"",(D18-E18))</f>
        <v>0</v>
      </c>
      <c r="H18" s="225">
        <f t="shared" si="2"/>
        <v>5</v>
      </c>
      <c r="I18" s="223">
        <v>35</v>
      </c>
      <c r="J18" s="223">
        <v>16</v>
      </c>
      <c r="K18" s="223">
        <f>SUM(Table132[[#This Row],[Totals]:[Overuns]])</f>
        <v>51</v>
      </c>
    </row>
    <row r="19" spans="3:11" ht="15" customHeight="1" x14ac:dyDescent="0.3">
      <c r="C19" s="54" t="s">
        <v>249</v>
      </c>
      <c r="D19" s="223">
        <v>2400</v>
      </c>
      <c r="E19" s="223">
        <v>2350</v>
      </c>
      <c r="F19" s="100">
        <f t="shared" si="0"/>
        <v>1.0212765957446808</v>
      </c>
      <c r="G19" s="224">
        <f>IF(ISBLANK(D19-E19),"",(D19-E19))</f>
        <v>50</v>
      </c>
      <c r="H19" s="225">
        <f t="shared" si="2"/>
        <v>5</v>
      </c>
      <c r="I19" s="223">
        <v>35</v>
      </c>
      <c r="J19" s="223">
        <v>14</v>
      </c>
      <c r="K19" s="223">
        <f>SUM(Table132[[#This Row],[Totals]:[Overuns]])</f>
        <v>49</v>
      </c>
    </row>
    <row r="20" spans="3:11" ht="15" customHeight="1" x14ac:dyDescent="0.3">
      <c r="C20" s="54" t="s">
        <v>249</v>
      </c>
      <c r="D20" s="223">
        <v>2760</v>
      </c>
      <c r="E20" s="223">
        <v>2750</v>
      </c>
      <c r="F20" s="100">
        <f t="shared" si="0"/>
        <v>1.0036363636363637</v>
      </c>
      <c r="G20" s="224">
        <f t="shared" si="1"/>
        <v>10</v>
      </c>
      <c r="H20" s="225">
        <f t="shared" si="2"/>
        <v>5</v>
      </c>
      <c r="I20" s="223">
        <v>35</v>
      </c>
      <c r="J20" s="223">
        <v>14</v>
      </c>
      <c r="K20" s="226">
        <f>SUM(Table132[[#This Row],[Totals]:[Overuns]])</f>
        <v>49</v>
      </c>
    </row>
    <row r="21" spans="3:11" ht="15" x14ac:dyDescent="0.3">
      <c r="C21" s="97" t="s">
        <v>72</v>
      </c>
      <c r="D21" s="227">
        <f>SUBTOTAL(109,D6:D20)</f>
        <v>40770</v>
      </c>
      <c r="E21" s="227">
        <f>SUBTOTAL(109,E6:E20)</f>
        <v>40695</v>
      </c>
      <c r="F21" s="101">
        <f t="shared" si="0"/>
        <v>1.0018429782528566</v>
      </c>
      <c r="G21" s="228">
        <f>IF(ISBLANK(D21-E21),"",(D21-E21))</f>
        <v>75</v>
      </c>
      <c r="H21" s="227">
        <f>SUBTOTAL(109,H6:H20)</f>
        <v>75</v>
      </c>
      <c r="I21" s="227">
        <f>SUBTOTAL(109,I6:I20)</f>
        <v>525</v>
      </c>
      <c r="J21" s="227">
        <f>SUBTOTAL(109,J6:J20)</f>
        <v>250</v>
      </c>
      <c r="K21" s="227">
        <f>SUM(Table132[[#This Row],[Totals]:[Overuns]])</f>
        <v>775</v>
      </c>
    </row>
    <row r="22" spans="3:11" x14ac:dyDescent="0.3">
      <c r="C22" s="88"/>
      <c r="D22" s="89"/>
      <c r="E22" s="89"/>
      <c r="F22" s="89"/>
      <c r="G22" s="89"/>
      <c r="H22" s="89"/>
      <c r="I22" s="89"/>
      <c r="J22" s="89"/>
      <c r="K22" s="89"/>
    </row>
    <row r="23" spans="3:11" ht="18" x14ac:dyDescent="0.3">
      <c r="C23" s="493"/>
      <c r="D23" s="493"/>
      <c r="E23" s="493"/>
      <c r="F23" s="493"/>
      <c r="G23" s="493"/>
      <c r="H23" s="493"/>
      <c r="I23" s="493"/>
      <c r="J23" s="493"/>
      <c r="K23" s="493"/>
    </row>
    <row r="24" spans="3:11" ht="15.6" x14ac:dyDescent="0.3">
      <c r="C24" s="91"/>
      <c r="D24" s="90"/>
      <c r="E24" s="90"/>
      <c r="F24" s="90"/>
      <c r="G24" s="90"/>
      <c r="H24" s="90"/>
      <c r="I24" s="90"/>
      <c r="J24" s="90"/>
      <c r="K24" s="91"/>
    </row>
    <row r="25" spans="3:11" ht="15.6" x14ac:dyDescent="0.3">
      <c r="C25" s="91"/>
      <c r="D25" s="90"/>
      <c r="E25" s="90"/>
      <c r="F25" s="90"/>
      <c r="G25" s="90"/>
      <c r="H25" s="90"/>
      <c r="I25" s="90"/>
      <c r="J25" s="90"/>
      <c r="K25" s="91"/>
    </row>
    <row r="26" spans="3:11" ht="15.6" x14ac:dyDescent="0.3">
      <c r="C26" s="91"/>
      <c r="D26" s="90"/>
      <c r="E26" s="90"/>
      <c r="F26" s="90"/>
      <c r="G26" s="90"/>
      <c r="H26" s="90"/>
      <c r="I26" s="90"/>
      <c r="J26" s="90"/>
      <c r="K26" s="91"/>
    </row>
    <row r="27" spans="3:11" ht="15.6" x14ac:dyDescent="0.3">
      <c r="C27" s="91"/>
      <c r="D27" s="90"/>
      <c r="E27" s="90"/>
      <c r="F27" s="90"/>
      <c r="G27" s="90"/>
      <c r="H27" s="90"/>
      <c r="I27" s="90"/>
      <c r="J27" s="90"/>
      <c r="K27" s="91"/>
    </row>
    <row r="28" spans="3:11" ht="15.6" x14ac:dyDescent="0.3">
      <c r="C28" s="91"/>
      <c r="D28" s="90"/>
      <c r="E28" s="90"/>
      <c r="F28" s="90"/>
      <c r="G28" s="90"/>
      <c r="H28" s="90"/>
      <c r="I28" s="90"/>
      <c r="J28" s="90"/>
      <c r="K28" s="91"/>
    </row>
    <row r="29" spans="3:11" ht="15.6" x14ac:dyDescent="0.3">
      <c r="C29" s="91"/>
      <c r="D29" s="90"/>
      <c r="E29" s="90"/>
      <c r="F29" s="90"/>
      <c r="G29" s="90"/>
      <c r="H29" s="90"/>
      <c r="I29" s="90"/>
      <c r="J29" s="90"/>
      <c r="K29" s="91"/>
    </row>
    <row r="30" spans="3:11" ht="15.6" x14ac:dyDescent="0.3">
      <c r="C30" s="91"/>
      <c r="D30" s="90"/>
      <c r="E30" s="90"/>
      <c r="F30" s="90"/>
      <c r="G30" s="90"/>
      <c r="H30" s="90"/>
      <c r="I30" s="90"/>
      <c r="J30" s="90"/>
      <c r="K30" s="91"/>
    </row>
    <row r="31" spans="3:11" ht="15.6" x14ac:dyDescent="0.3">
      <c r="C31" s="91"/>
      <c r="D31" s="90"/>
      <c r="E31" s="90"/>
      <c r="F31" s="90"/>
      <c r="G31" s="90"/>
      <c r="H31" s="90"/>
      <c r="I31" s="90"/>
      <c r="J31" s="90"/>
      <c r="K31" s="91"/>
    </row>
    <row r="32" spans="3:11" ht="15.6" x14ac:dyDescent="0.3">
      <c r="C32" s="91"/>
      <c r="D32" s="90"/>
      <c r="E32" s="90"/>
      <c r="F32" s="90"/>
      <c r="G32" s="90"/>
      <c r="H32" s="90"/>
      <c r="I32" s="90"/>
      <c r="J32" s="90"/>
      <c r="K32" s="91"/>
    </row>
    <row r="33" spans="3:11" ht="15.6" x14ac:dyDescent="0.3">
      <c r="C33" s="91"/>
      <c r="D33" s="90"/>
      <c r="E33" s="90"/>
      <c r="F33" s="90"/>
      <c r="G33" s="90"/>
      <c r="H33" s="90"/>
      <c r="I33" s="90"/>
      <c r="J33" s="90"/>
      <c r="K33" s="91"/>
    </row>
    <row r="34" spans="3:11" ht="15.6" x14ac:dyDescent="0.3">
      <c r="C34" s="91"/>
      <c r="D34" s="90"/>
      <c r="E34" s="90"/>
      <c r="F34" s="90"/>
      <c r="G34" s="90"/>
      <c r="H34" s="90"/>
      <c r="I34" s="90"/>
      <c r="J34" s="90"/>
      <c r="K34" s="91"/>
    </row>
    <row r="35" spans="3:11" ht="15.6" x14ac:dyDescent="0.3">
      <c r="C35" s="91"/>
      <c r="D35" s="90"/>
      <c r="E35" s="90"/>
      <c r="F35" s="90"/>
      <c r="G35" s="90"/>
      <c r="H35" s="90"/>
      <c r="I35" s="90"/>
      <c r="J35" s="90"/>
      <c r="K35" s="91"/>
    </row>
    <row r="36" spans="3:11" ht="15.6" x14ac:dyDescent="0.3">
      <c r="C36" s="91"/>
      <c r="D36" s="90"/>
      <c r="E36" s="90"/>
      <c r="F36" s="90"/>
      <c r="G36" s="90"/>
      <c r="H36" s="90"/>
      <c r="I36" s="90"/>
      <c r="J36" s="90"/>
      <c r="K36" s="91"/>
    </row>
    <row r="37" spans="3:11" ht="15.6" x14ac:dyDescent="0.3">
      <c r="C37" s="91"/>
      <c r="D37" s="90"/>
      <c r="E37" s="90"/>
      <c r="F37" s="90"/>
      <c r="G37" s="90"/>
      <c r="H37" s="90"/>
      <c r="I37" s="90"/>
      <c r="J37" s="90"/>
      <c r="K37" s="91"/>
    </row>
    <row r="38" spans="3:11" ht="15.6" x14ac:dyDescent="0.3">
      <c r="C38" s="91"/>
      <c r="D38" s="90"/>
      <c r="E38" s="90"/>
      <c r="F38" s="90"/>
      <c r="G38" s="90"/>
      <c r="H38" s="90"/>
      <c r="I38" s="90"/>
      <c r="J38" s="90"/>
      <c r="K38" s="91"/>
    </row>
    <row r="39" spans="3:11" ht="15.6" x14ac:dyDescent="0.3">
      <c r="C39" s="91"/>
      <c r="D39" s="90"/>
      <c r="E39" s="90"/>
      <c r="F39" s="90"/>
      <c r="G39" s="90"/>
      <c r="H39" s="90"/>
      <c r="I39" s="90"/>
      <c r="J39" s="90"/>
      <c r="K39" s="91"/>
    </row>
    <row r="40" spans="3:11" ht="15.6" x14ac:dyDescent="0.3">
      <c r="C40" s="91"/>
      <c r="D40" s="90"/>
      <c r="E40" s="90"/>
      <c r="F40" s="90"/>
      <c r="G40" s="90"/>
      <c r="H40" s="90"/>
      <c r="I40" s="90"/>
      <c r="J40" s="90"/>
      <c r="K40" s="91"/>
    </row>
    <row r="41" spans="3:11" ht="15.6" x14ac:dyDescent="0.3">
      <c r="C41" s="91"/>
      <c r="D41" s="90"/>
      <c r="E41" s="90"/>
      <c r="F41" s="90"/>
      <c r="G41" s="90"/>
      <c r="H41" s="90"/>
      <c r="I41" s="90"/>
      <c r="J41" s="90"/>
      <c r="K41" s="91"/>
    </row>
    <row r="42" spans="3:11" ht="15.6" x14ac:dyDescent="0.3">
      <c r="C42" s="91"/>
      <c r="D42" s="90"/>
      <c r="E42" s="90"/>
      <c r="F42" s="90"/>
      <c r="G42" s="90"/>
      <c r="H42" s="90"/>
      <c r="I42" s="90"/>
      <c r="J42" s="90"/>
      <c r="K42" s="91"/>
    </row>
    <row r="43" spans="3:11" ht="15.6" x14ac:dyDescent="0.3">
      <c r="C43" s="91"/>
      <c r="D43" s="90"/>
      <c r="E43" s="90"/>
      <c r="F43" s="90"/>
      <c r="G43" s="90"/>
      <c r="H43" s="90"/>
      <c r="I43" s="90"/>
      <c r="J43" s="90"/>
      <c r="K43" s="91"/>
    </row>
    <row r="44" spans="3:11" ht="15.6" x14ac:dyDescent="0.3">
      <c r="C44" s="91"/>
      <c r="D44" s="90"/>
      <c r="E44" s="90"/>
      <c r="F44" s="90"/>
      <c r="G44" s="90"/>
      <c r="H44" s="90"/>
      <c r="I44" s="90"/>
      <c r="J44" s="90"/>
      <c r="K44" s="91"/>
    </row>
    <row r="45" spans="3:11" ht="15.6" x14ac:dyDescent="0.3">
      <c r="C45" s="91"/>
      <c r="D45" s="91"/>
      <c r="E45" s="91"/>
      <c r="F45" s="91"/>
      <c r="G45" s="91"/>
      <c r="H45" s="91"/>
      <c r="I45" s="91"/>
      <c r="J45" s="91"/>
      <c r="K45" s="91"/>
    </row>
    <row r="46" spans="3:11" x14ac:dyDescent="0.3">
      <c r="D46" s="9"/>
      <c r="E46" s="9"/>
      <c r="F46" s="9"/>
      <c r="G46" s="9"/>
      <c r="H46" s="9"/>
      <c r="I46" s="9"/>
      <c r="J46" s="9"/>
    </row>
  </sheetData>
  <mergeCells count="6">
    <mergeCell ref="E2:G2"/>
    <mergeCell ref="C23:K23"/>
    <mergeCell ref="C2:D2"/>
    <mergeCell ref="D4:E4"/>
    <mergeCell ref="G4:H4"/>
    <mergeCell ref="I4:J4"/>
  </mergeCells>
  <phoneticPr fontId="7" type="noConversion"/>
  <pageMargins left="0.7" right="0.7" top="0.75" bottom="0.75" header="0.3" footer="0.3"/>
  <drawing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F52B9-B943-4C2F-92C2-C94BC028D3B5}">
  <sheetPr codeName="Sheet8"/>
  <dimension ref="B2:P44"/>
  <sheetViews>
    <sheetView showGridLines="0" workbookViewId="0"/>
  </sheetViews>
  <sheetFormatPr defaultRowHeight="14.4" x14ac:dyDescent="0.3"/>
  <cols>
    <col min="1" max="1" width="1.44140625" customWidth="1"/>
    <col min="2" max="2" width="29.5546875" customWidth="1"/>
    <col min="3" max="3" width="13.5546875" customWidth="1"/>
    <col min="4" max="4" width="15.44140625" customWidth="1"/>
    <col min="5" max="5" width="15.33203125" customWidth="1"/>
    <col min="6" max="6" width="14.109375" customWidth="1"/>
    <col min="7" max="7" width="14" customWidth="1"/>
    <col min="8" max="8" width="16" customWidth="1"/>
    <col min="9" max="9" width="15.21875" customWidth="1"/>
    <col min="10" max="11" width="11.33203125" customWidth="1"/>
    <col min="12" max="12" width="10.44140625" customWidth="1"/>
    <col min="13" max="13" width="10" customWidth="1"/>
    <col min="14" max="14" width="10.77734375" customWidth="1"/>
    <col min="15" max="15" width="12.33203125" customWidth="1"/>
    <col min="16" max="16" width="14.21875" customWidth="1"/>
  </cols>
  <sheetData>
    <row r="2" spans="2:15" x14ac:dyDescent="0.3">
      <c r="B2" s="102" t="s">
        <v>265</v>
      </c>
      <c r="C2" s="103" t="s">
        <v>266</v>
      </c>
      <c r="D2" s="104"/>
      <c r="E2" s="104" t="s">
        <v>213</v>
      </c>
      <c r="F2" s="104"/>
      <c r="G2" s="105"/>
    </row>
    <row r="4" spans="2:15" x14ac:dyDescent="0.3">
      <c r="B4" s="57" t="s">
        <v>64</v>
      </c>
      <c r="C4" s="58" t="s">
        <v>25</v>
      </c>
      <c r="D4" s="58" t="s">
        <v>26</v>
      </c>
      <c r="E4" s="58" t="s">
        <v>27</v>
      </c>
      <c r="F4" s="58" t="s">
        <v>28</v>
      </c>
      <c r="G4" s="58" t="s">
        <v>29</v>
      </c>
      <c r="H4" s="58" t="s">
        <v>30</v>
      </c>
      <c r="I4" s="58" t="s">
        <v>31</v>
      </c>
      <c r="J4" s="58" t="s">
        <v>32</v>
      </c>
      <c r="K4" s="58" t="s">
        <v>33</v>
      </c>
      <c r="L4" s="58" t="s">
        <v>34</v>
      </c>
      <c r="M4" s="58">
        <v>3500</v>
      </c>
      <c r="N4" s="58" t="s">
        <v>36</v>
      </c>
      <c r="O4" s="58" t="s">
        <v>72</v>
      </c>
    </row>
    <row r="5" spans="2:15" x14ac:dyDescent="0.3">
      <c r="B5" s="59" t="s">
        <v>92</v>
      </c>
      <c r="C5" s="234">
        <v>3500</v>
      </c>
      <c r="D5" s="234">
        <v>4000</v>
      </c>
      <c r="E5" s="234">
        <v>4500</v>
      </c>
      <c r="F5" s="234">
        <v>5500</v>
      </c>
      <c r="G5" s="234">
        <v>6500</v>
      </c>
      <c r="H5" s="234">
        <v>7500</v>
      </c>
      <c r="I5" s="234">
        <v>8500</v>
      </c>
      <c r="J5" s="234">
        <v>11000</v>
      </c>
      <c r="K5" s="234">
        <v>9500</v>
      </c>
      <c r="L5" s="234">
        <v>9600</v>
      </c>
      <c r="M5" s="234">
        <v>9700</v>
      </c>
      <c r="N5" s="234">
        <v>9900</v>
      </c>
      <c r="O5" s="235">
        <f>SUM(C5:N5)</f>
        <v>89700</v>
      </c>
    </row>
    <row r="6" spans="2:15" x14ac:dyDescent="0.3">
      <c r="B6" s="60" t="s">
        <v>253</v>
      </c>
      <c r="C6" s="234">
        <v>4400</v>
      </c>
      <c r="D6" s="234">
        <v>3800</v>
      </c>
      <c r="E6" s="234">
        <v>4500</v>
      </c>
      <c r="F6" s="234">
        <v>5500</v>
      </c>
      <c r="G6" s="234">
        <v>6000</v>
      </c>
      <c r="H6" s="234">
        <v>8500</v>
      </c>
      <c r="I6" s="234">
        <v>9500</v>
      </c>
      <c r="J6" s="234"/>
      <c r="K6" s="234"/>
      <c r="L6" s="234"/>
      <c r="M6" s="234"/>
      <c r="N6" s="234"/>
      <c r="O6" s="235">
        <f t="shared" ref="O6:O11" si="0">SUM(C6:N6)</f>
        <v>42200</v>
      </c>
    </row>
    <row r="7" spans="2:15" x14ac:dyDescent="0.3">
      <c r="B7" s="61" t="s">
        <v>254</v>
      </c>
      <c r="C7" s="234">
        <v>3100</v>
      </c>
      <c r="D7" s="234">
        <v>4150</v>
      </c>
      <c r="E7" s="234">
        <v>4700</v>
      </c>
      <c r="F7" s="234">
        <v>5600</v>
      </c>
      <c r="G7" s="234">
        <v>6900</v>
      </c>
      <c r="H7" s="234">
        <v>7700</v>
      </c>
      <c r="I7" s="234">
        <v>8600</v>
      </c>
      <c r="J7" s="234"/>
      <c r="K7" s="234"/>
      <c r="L7" s="234"/>
      <c r="M7" s="234"/>
      <c r="N7" s="234"/>
      <c r="O7" s="235">
        <f t="shared" si="0"/>
        <v>40750</v>
      </c>
    </row>
    <row r="8" spans="2:15" x14ac:dyDescent="0.3">
      <c r="B8" s="62" t="s">
        <v>255</v>
      </c>
      <c r="C8" s="234">
        <v>6000</v>
      </c>
      <c r="D8" s="234">
        <v>6500</v>
      </c>
      <c r="E8" s="234">
        <v>6700</v>
      </c>
      <c r="F8" s="234">
        <v>6900</v>
      </c>
      <c r="G8" s="234">
        <v>7200</v>
      </c>
      <c r="H8" s="234">
        <v>7800</v>
      </c>
      <c r="I8" s="234">
        <v>8900</v>
      </c>
      <c r="J8" s="234"/>
      <c r="K8" s="234"/>
      <c r="L8" s="234"/>
      <c r="M8" s="234"/>
      <c r="N8" s="234"/>
      <c r="O8" s="235">
        <f t="shared" si="0"/>
        <v>50000</v>
      </c>
    </row>
    <row r="9" spans="2:15" x14ac:dyDescent="0.3">
      <c r="B9" s="63" t="s">
        <v>256</v>
      </c>
      <c r="C9" s="234">
        <v>5700</v>
      </c>
      <c r="D9" s="234">
        <v>6250</v>
      </c>
      <c r="E9" s="234">
        <v>6400</v>
      </c>
      <c r="F9" s="234">
        <v>6500</v>
      </c>
      <c r="G9" s="234">
        <v>7000</v>
      </c>
      <c r="H9" s="234">
        <v>7550</v>
      </c>
      <c r="I9" s="234">
        <v>8600</v>
      </c>
      <c r="J9" s="234"/>
      <c r="K9" s="234"/>
      <c r="L9" s="234"/>
      <c r="M9" s="234"/>
      <c r="N9" s="234"/>
      <c r="O9" s="235">
        <f t="shared" si="0"/>
        <v>48000</v>
      </c>
    </row>
    <row r="10" spans="2:15" x14ac:dyDescent="0.3">
      <c r="B10" s="64" t="s">
        <v>257</v>
      </c>
      <c r="C10" s="234">
        <v>2700</v>
      </c>
      <c r="D10" s="234">
        <v>3100</v>
      </c>
      <c r="E10" s="234">
        <v>3500</v>
      </c>
      <c r="F10" s="234">
        <v>4300</v>
      </c>
      <c r="G10" s="234">
        <v>5100</v>
      </c>
      <c r="H10" s="234">
        <v>6500</v>
      </c>
      <c r="I10" s="234">
        <v>7500</v>
      </c>
      <c r="J10" s="234"/>
      <c r="K10" s="234"/>
      <c r="L10" s="234"/>
      <c r="M10" s="234"/>
      <c r="N10" s="234"/>
      <c r="O10" s="235">
        <f t="shared" si="0"/>
        <v>32700</v>
      </c>
    </row>
    <row r="11" spans="2:15" x14ac:dyDescent="0.3">
      <c r="B11" s="65" t="s">
        <v>258</v>
      </c>
      <c r="C11" s="234">
        <v>3600</v>
      </c>
      <c r="D11" s="234">
        <v>3950</v>
      </c>
      <c r="E11" s="234">
        <v>4100</v>
      </c>
      <c r="F11" s="234">
        <v>5500</v>
      </c>
      <c r="G11" s="234">
        <v>7100</v>
      </c>
      <c r="H11" s="234">
        <v>7450</v>
      </c>
      <c r="I11" s="234">
        <v>8800</v>
      </c>
      <c r="J11" s="234"/>
      <c r="K11" s="234"/>
      <c r="L11" s="234"/>
      <c r="M11" s="234"/>
      <c r="N11" s="234"/>
      <c r="O11" s="235">
        <f t="shared" si="0"/>
        <v>40500</v>
      </c>
    </row>
    <row r="32" spans="2:16" ht="37.799999999999997" customHeight="1" x14ac:dyDescent="0.3">
      <c r="B32" s="497" t="s">
        <v>211</v>
      </c>
      <c r="C32" s="499"/>
      <c r="D32" s="497" t="s">
        <v>74</v>
      </c>
      <c r="E32" s="498"/>
      <c r="F32" s="499"/>
      <c r="G32" s="497" t="s">
        <v>75</v>
      </c>
      <c r="H32" s="499"/>
      <c r="I32" s="497" t="s">
        <v>76</v>
      </c>
      <c r="J32" s="498"/>
      <c r="K32" s="499"/>
      <c r="L32" s="497" t="s">
        <v>77</v>
      </c>
      <c r="M32" s="499"/>
      <c r="N32" s="497" t="s">
        <v>78</v>
      </c>
      <c r="O32" s="498"/>
      <c r="P32" s="499"/>
    </row>
    <row r="33" spans="2:16" ht="25.2" x14ac:dyDescent="0.3">
      <c r="B33" s="43" t="s">
        <v>79</v>
      </c>
      <c r="C33" s="43" t="s">
        <v>80</v>
      </c>
      <c r="D33" s="44" t="s">
        <v>81</v>
      </c>
      <c r="E33" s="45" t="s">
        <v>82</v>
      </c>
      <c r="F33" s="43" t="s">
        <v>83</v>
      </c>
      <c r="G33" s="43" t="s">
        <v>84</v>
      </c>
      <c r="H33" s="43" t="s">
        <v>85</v>
      </c>
      <c r="I33" s="44" t="s">
        <v>81</v>
      </c>
      <c r="J33" s="45" t="s">
        <v>82</v>
      </c>
      <c r="K33" s="43" t="s">
        <v>83</v>
      </c>
      <c r="L33" s="46" t="s">
        <v>86</v>
      </c>
      <c r="M33" s="47" t="s">
        <v>87</v>
      </c>
      <c r="N33" s="48" t="s">
        <v>88</v>
      </c>
      <c r="O33" s="49" t="s">
        <v>89</v>
      </c>
      <c r="P33" s="50" t="s">
        <v>90</v>
      </c>
    </row>
    <row r="34" spans="2:16" x14ac:dyDescent="0.3">
      <c r="B34" s="51">
        <v>1</v>
      </c>
      <c r="C34" s="51" t="s">
        <v>235</v>
      </c>
      <c r="D34" s="229">
        <v>15860</v>
      </c>
      <c r="E34" s="229">
        <v>15650</v>
      </c>
      <c r="F34" s="229">
        <f t="shared" ref="F34:F43" si="1">(D34-E34)</f>
        <v>210</v>
      </c>
      <c r="G34" s="230">
        <v>9283</v>
      </c>
      <c r="H34" s="230">
        <f t="shared" ref="H34:H43" si="2">G34+E34</f>
        <v>24933</v>
      </c>
      <c r="I34" s="229">
        <v>35916</v>
      </c>
      <c r="J34" s="229">
        <v>37957</v>
      </c>
      <c r="K34" s="229">
        <f t="shared" ref="K34:K43" si="3">J34-I34</f>
        <v>2041</v>
      </c>
      <c r="L34" s="52">
        <f t="shared" ref="L34:L43" si="4">(J34-E34)/J34</f>
        <v>0.58769133493163317</v>
      </c>
      <c r="M34" s="52">
        <f t="shared" ref="M34:M43" si="5">(J34-H34)/J34</f>
        <v>0.34312511526200701</v>
      </c>
      <c r="N34" s="53" t="s">
        <v>26</v>
      </c>
      <c r="O34" s="230">
        <v>3613439</v>
      </c>
      <c r="P34" s="230">
        <v>3293202</v>
      </c>
    </row>
    <row r="35" spans="2:16" x14ac:dyDescent="0.3">
      <c r="B35" s="54">
        <v>2</v>
      </c>
      <c r="C35" s="51" t="s">
        <v>236</v>
      </c>
      <c r="D35" s="231">
        <v>13760</v>
      </c>
      <c r="E35" s="231">
        <v>13018</v>
      </c>
      <c r="F35" s="231">
        <f t="shared" si="1"/>
        <v>742</v>
      </c>
      <c r="G35" s="232">
        <v>6598</v>
      </c>
      <c r="H35" s="232">
        <f t="shared" si="2"/>
        <v>19616</v>
      </c>
      <c r="I35" s="231">
        <v>15534</v>
      </c>
      <c r="J35" s="231">
        <v>15900</v>
      </c>
      <c r="K35" s="231">
        <f t="shared" si="3"/>
        <v>366</v>
      </c>
      <c r="L35" s="55">
        <f t="shared" si="4"/>
        <v>0.18125786163522012</v>
      </c>
      <c r="M35" s="55">
        <f t="shared" si="5"/>
        <v>-0.23371069182389936</v>
      </c>
      <c r="N35" s="53" t="s">
        <v>27</v>
      </c>
      <c r="O35" s="232">
        <v>3508776</v>
      </c>
      <c r="P35" s="232">
        <v>3441854</v>
      </c>
    </row>
    <row r="36" spans="2:16" x14ac:dyDescent="0.3">
      <c r="B36" s="51">
        <v>3</v>
      </c>
      <c r="C36" s="51" t="s">
        <v>237</v>
      </c>
      <c r="D36" s="229">
        <v>14940</v>
      </c>
      <c r="E36" s="229">
        <v>13259</v>
      </c>
      <c r="F36" s="229">
        <f t="shared" si="1"/>
        <v>1681</v>
      </c>
      <c r="G36" s="230">
        <v>7527</v>
      </c>
      <c r="H36" s="230">
        <f t="shared" si="2"/>
        <v>20786</v>
      </c>
      <c r="I36" s="229">
        <v>20719</v>
      </c>
      <c r="J36" s="229">
        <v>22784</v>
      </c>
      <c r="K36" s="229">
        <f t="shared" si="3"/>
        <v>2065</v>
      </c>
      <c r="L36" s="52">
        <f t="shared" si="4"/>
        <v>0.4180565308988764</v>
      </c>
      <c r="M36" s="52">
        <f t="shared" si="5"/>
        <v>8.7693117977528087E-2</v>
      </c>
      <c r="N36" s="53" t="s">
        <v>28</v>
      </c>
      <c r="O36" s="230">
        <v>3719457</v>
      </c>
      <c r="P36" s="230">
        <v>3531844</v>
      </c>
    </row>
    <row r="37" spans="2:16" x14ac:dyDescent="0.3">
      <c r="B37" s="54">
        <v>4</v>
      </c>
      <c r="C37" s="51" t="s">
        <v>238</v>
      </c>
      <c r="D37" s="231">
        <v>12653</v>
      </c>
      <c r="E37" s="231">
        <v>11368</v>
      </c>
      <c r="F37" s="231">
        <f t="shared" si="1"/>
        <v>1285</v>
      </c>
      <c r="G37" s="232">
        <v>9592</v>
      </c>
      <c r="H37" s="232">
        <f t="shared" si="2"/>
        <v>20960</v>
      </c>
      <c r="I37" s="231">
        <v>20242</v>
      </c>
      <c r="J37" s="231">
        <v>26000</v>
      </c>
      <c r="K37" s="231">
        <f t="shared" si="3"/>
        <v>5758</v>
      </c>
      <c r="L37" s="55">
        <f t="shared" si="4"/>
        <v>0.5627692307692308</v>
      </c>
      <c r="M37" s="55">
        <f t="shared" si="5"/>
        <v>0.19384615384615383</v>
      </c>
      <c r="N37" s="53" t="s">
        <v>29</v>
      </c>
      <c r="O37" s="232">
        <v>3310212</v>
      </c>
      <c r="P37" s="232">
        <v>3354051</v>
      </c>
    </row>
    <row r="38" spans="2:16" x14ac:dyDescent="0.3">
      <c r="B38" s="51">
        <v>5</v>
      </c>
      <c r="C38" s="51" t="s">
        <v>239</v>
      </c>
      <c r="D38" s="229">
        <v>9478</v>
      </c>
      <c r="E38" s="229">
        <v>9003</v>
      </c>
      <c r="F38" s="229">
        <f t="shared" si="1"/>
        <v>475</v>
      </c>
      <c r="G38" s="230">
        <v>8392</v>
      </c>
      <c r="H38" s="230">
        <f t="shared" si="2"/>
        <v>17395</v>
      </c>
      <c r="I38" s="229">
        <v>15177</v>
      </c>
      <c r="J38" s="229">
        <v>17581</v>
      </c>
      <c r="K38" s="229">
        <f t="shared" si="3"/>
        <v>2404</v>
      </c>
      <c r="L38" s="52">
        <f t="shared" si="4"/>
        <v>0.48791308799271943</v>
      </c>
      <c r="M38" s="52">
        <f t="shared" si="5"/>
        <v>1.0579602980490302E-2</v>
      </c>
      <c r="N38" s="53" t="s">
        <v>30</v>
      </c>
      <c r="O38" s="230">
        <v>3945202</v>
      </c>
      <c r="P38" s="230">
        <v>3476155</v>
      </c>
    </row>
    <row r="39" spans="2:16" x14ac:dyDescent="0.3">
      <c r="B39" s="54">
        <v>6</v>
      </c>
      <c r="C39" s="51" t="s">
        <v>240</v>
      </c>
      <c r="D39" s="231">
        <v>11600</v>
      </c>
      <c r="E39" s="231">
        <v>10900</v>
      </c>
      <c r="F39" s="231">
        <f t="shared" si="1"/>
        <v>700</v>
      </c>
      <c r="G39" s="232">
        <v>6490</v>
      </c>
      <c r="H39" s="232">
        <f t="shared" si="2"/>
        <v>17390</v>
      </c>
      <c r="I39" s="231">
        <v>11263</v>
      </c>
      <c r="J39" s="231">
        <v>15766</v>
      </c>
      <c r="K39" s="231">
        <f t="shared" si="3"/>
        <v>4503</v>
      </c>
      <c r="L39" s="55">
        <f t="shared" si="4"/>
        <v>0.30863884308004569</v>
      </c>
      <c r="M39" s="55">
        <f t="shared" si="5"/>
        <v>-0.10300646961816567</v>
      </c>
      <c r="N39" s="53" t="s">
        <v>31</v>
      </c>
      <c r="O39" s="232">
        <v>3938152</v>
      </c>
      <c r="P39" s="232">
        <v>3538468</v>
      </c>
    </row>
    <row r="40" spans="2:16" x14ac:dyDescent="0.3">
      <c r="B40" s="51">
        <v>7</v>
      </c>
      <c r="C40" s="51" t="s">
        <v>241</v>
      </c>
      <c r="D40" s="229">
        <v>13785</v>
      </c>
      <c r="E40" s="229">
        <v>12550</v>
      </c>
      <c r="F40" s="229">
        <f t="shared" si="1"/>
        <v>1235</v>
      </c>
      <c r="G40" s="230">
        <v>6582</v>
      </c>
      <c r="H40" s="230">
        <f t="shared" si="2"/>
        <v>19132</v>
      </c>
      <c r="I40" s="229">
        <v>18852</v>
      </c>
      <c r="J40" s="229">
        <v>20375</v>
      </c>
      <c r="K40" s="229">
        <f t="shared" si="3"/>
        <v>1523</v>
      </c>
      <c r="L40" s="52">
        <f t="shared" si="4"/>
        <v>0.38404907975460123</v>
      </c>
      <c r="M40" s="52">
        <f t="shared" si="5"/>
        <v>6.1006134969325151E-2</v>
      </c>
      <c r="N40" s="53" t="s">
        <v>32</v>
      </c>
      <c r="O40" s="230">
        <v>3733706</v>
      </c>
      <c r="P40" s="230">
        <v>3727037</v>
      </c>
    </row>
    <row r="41" spans="2:16" x14ac:dyDescent="0.3">
      <c r="B41" s="54">
        <v>8</v>
      </c>
      <c r="C41" s="51" t="s">
        <v>242</v>
      </c>
      <c r="D41" s="231">
        <v>28283</v>
      </c>
      <c r="E41" s="231">
        <v>26300</v>
      </c>
      <c r="F41" s="231">
        <f t="shared" si="1"/>
        <v>1983</v>
      </c>
      <c r="G41" s="232">
        <v>7606</v>
      </c>
      <c r="H41" s="232">
        <f t="shared" si="2"/>
        <v>33906</v>
      </c>
      <c r="I41" s="231">
        <v>38380</v>
      </c>
      <c r="J41" s="231">
        <v>39983</v>
      </c>
      <c r="K41" s="231">
        <f t="shared" si="3"/>
        <v>1603</v>
      </c>
      <c r="L41" s="55">
        <f t="shared" si="4"/>
        <v>0.34222044368856763</v>
      </c>
      <c r="M41" s="55">
        <f t="shared" si="5"/>
        <v>0.1519895955781207</v>
      </c>
      <c r="N41" s="53" t="s">
        <v>33</v>
      </c>
      <c r="O41" s="232">
        <v>3526698</v>
      </c>
      <c r="P41" s="232">
        <v>3425405</v>
      </c>
    </row>
    <row r="42" spans="2:16" x14ac:dyDescent="0.3">
      <c r="B42" s="51">
        <v>9</v>
      </c>
      <c r="C42" s="51" t="s">
        <v>243</v>
      </c>
      <c r="D42" s="229">
        <v>15438</v>
      </c>
      <c r="E42" s="229">
        <v>14400</v>
      </c>
      <c r="F42" s="229">
        <f t="shared" si="1"/>
        <v>1038</v>
      </c>
      <c r="G42" s="230">
        <v>5667</v>
      </c>
      <c r="H42" s="230">
        <f t="shared" si="2"/>
        <v>20067</v>
      </c>
      <c r="I42" s="229">
        <v>9731</v>
      </c>
      <c r="J42" s="229">
        <v>14240</v>
      </c>
      <c r="K42" s="229">
        <f t="shared" si="3"/>
        <v>4509</v>
      </c>
      <c r="L42" s="52">
        <f t="shared" si="4"/>
        <v>-1.1235955056179775E-2</v>
      </c>
      <c r="M42" s="52">
        <f t="shared" si="5"/>
        <v>-0.40919943820224719</v>
      </c>
      <c r="N42" s="53" t="s">
        <v>34</v>
      </c>
      <c r="O42" s="230">
        <v>3632971</v>
      </c>
      <c r="P42" s="230">
        <v>3734041</v>
      </c>
    </row>
    <row r="43" spans="2:16" x14ac:dyDescent="0.3">
      <c r="B43" s="54">
        <v>10</v>
      </c>
      <c r="C43" s="51" t="s">
        <v>244</v>
      </c>
      <c r="D43" s="231">
        <v>9755</v>
      </c>
      <c r="E43" s="231">
        <v>9187</v>
      </c>
      <c r="F43" s="231">
        <f t="shared" si="1"/>
        <v>568</v>
      </c>
      <c r="G43" s="232">
        <v>6347</v>
      </c>
      <c r="H43" s="232">
        <f t="shared" si="2"/>
        <v>15534</v>
      </c>
      <c r="I43" s="231">
        <v>9410</v>
      </c>
      <c r="J43" s="231">
        <v>12610</v>
      </c>
      <c r="K43" s="231">
        <f t="shared" si="3"/>
        <v>3200</v>
      </c>
      <c r="L43" s="55">
        <f t="shared" si="4"/>
        <v>0.27145122918318793</v>
      </c>
      <c r="M43" s="55">
        <f t="shared" si="5"/>
        <v>-0.23187946074544014</v>
      </c>
      <c r="N43" s="53" t="s">
        <v>35</v>
      </c>
      <c r="O43" s="232">
        <v>3206487</v>
      </c>
      <c r="P43" s="232">
        <v>3677074</v>
      </c>
    </row>
    <row r="44" spans="2:16" ht="25.2" customHeight="1" x14ac:dyDescent="0.3">
      <c r="B44" s="42"/>
      <c r="C44" s="42"/>
      <c r="D44" s="233">
        <f t="shared" ref="D44:K44" si="6">SUM(D34:D43)</f>
        <v>145552</v>
      </c>
      <c r="E44" s="233">
        <f t="shared" si="6"/>
        <v>135635</v>
      </c>
      <c r="F44" s="233">
        <f t="shared" si="6"/>
        <v>9917</v>
      </c>
      <c r="G44" s="233">
        <f t="shared" si="6"/>
        <v>74084</v>
      </c>
      <c r="H44" s="233">
        <f t="shared" si="6"/>
        <v>209719</v>
      </c>
      <c r="I44" s="233">
        <f t="shared" si="6"/>
        <v>195224</v>
      </c>
      <c r="J44" s="233">
        <f t="shared" si="6"/>
        <v>223196</v>
      </c>
      <c r="K44" s="233">
        <f t="shared" si="6"/>
        <v>27972</v>
      </c>
      <c r="L44" s="56">
        <f>SUM(L34:L43)/10</f>
        <v>0.3532811686877903</v>
      </c>
      <c r="M44" s="56">
        <f>SUM(M34:M43)/10</f>
        <v>-1.2955633977612725E-2</v>
      </c>
      <c r="N44" s="42"/>
      <c r="O44" s="42"/>
      <c r="P44" s="42"/>
    </row>
  </sheetData>
  <mergeCells count="6">
    <mergeCell ref="N32:P32"/>
    <mergeCell ref="G32:H32"/>
    <mergeCell ref="D32:F32"/>
    <mergeCell ref="B32:C32"/>
    <mergeCell ref="I32:K32"/>
    <mergeCell ref="L32:M32"/>
  </mergeCells>
  <phoneticPr fontId="7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5689-12ED-42B0-9136-DCE511C40693}">
  <sheetPr codeName="Sheet11"/>
  <dimension ref="A1:AF43"/>
  <sheetViews>
    <sheetView showGridLines="0" topLeftCell="A4" workbookViewId="0">
      <selection activeCell="J2" sqref="J2"/>
    </sheetView>
  </sheetViews>
  <sheetFormatPr defaultRowHeight="14.4" x14ac:dyDescent="0.3"/>
  <cols>
    <col min="1" max="1" width="1.77734375" style="108" customWidth="1"/>
    <col min="12" max="12" width="10.33203125" customWidth="1"/>
    <col min="13" max="13" width="2.44140625" customWidth="1"/>
    <col min="24" max="24" width="10.33203125" customWidth="1"/>
    <col min="25" max="25" width="3.6640625" customWidth="1"/>
  </cols>
  <sheetData>
    <row r="1" spans="1:32" s="108" customFormat="1" ht="10.8" customHeight="1" x14ac:dyDescent="0.3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7"/>
      <c r="AF1" s="107"/>
    </row>
    <row r="2" spans="1:32" s="108" customFormat="1" ht="13.8" customHeight="1" x14ac:dyDescent="0.3">
      <c r="A2" s="106"/>
      <c r="B2" s="114" t="s">
        <v>259</v>
      </c>
      <c r="C2" s="115"/>
      <c r="D2" s="115"/>
      <c r="E2" s="115"/>
      <c r="F2" s="115"/>
      <c r="G2" s="116"/>
      <c r="H2" s="11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7"/>
      <c r="AF2" s="107"/>
    </row>
    <row r="3" spans="1:32" s="108" customFormat="1" ht="10.199999999999999" customHeight="1" x14ac:dyDescent="0.3">
      <c r="A3" s="106"/>
      <c r="B3" s="501"/>
      <c r="C3" s="501"/>
      <c r="D3" s="501"/>
      <c r="E3" s="501"/>
      <c r="F3" s="501"/>
      <c r="G3" s="501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7"/>
      <c r="AF3" s="107"/>
    </row>
    <row r="4" spans="1:32" s="108" customFormat="1" ht="21" customHeight="1" x14ac:dyDescent="0.3">
      <c r="A4" s="106"/>
      <c r="B4" s="500" t="str">
        <f>"  "&amp;TimeData!B3</f>
        <v xml:space="preserve">  Location 1</v>
      </c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110"/>
      <c r="N4" s="500" t="str">
        <f>"  "&amp;TimeData!B6</f>
        <v xml:space="preserve">  Location 2</v>
      </c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106"/>
      <c r="Z4" s="106"/>
      <c r="AA4" s="106"/>
      <c r="AB4" s="106"/>
      <c r="AC4" s="106"/>
      <c r="AD4" s="106"/>
      <c r="AE4" s="107"/>
      <c r="AF4" s="107"/>
    </row>
    <row r="5" spans="1:32" s="108" customFormat="1" ht="21" customHeight="1" x14ac:dyDescent="0.3">
      <c r="A5" s="106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0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06"/>
      <c r="Z5" s="106"/>
      <c r="AA5" s="106"/>
      <c r="AB5" s="106"/>
      <c r="AC5" s="106"/>
      <c r="AD5" s="106"/>
      <c r="AE5" s="107"/>
      <c r="AF5" s="107"/>
    </row>
    <row r="6" spans="1:32" s="108" customFormat="1" ht="21" customHeight="1" x14ac:dyDescent="0.3">
      <c r="A6" s="106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0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06"/>
      <c r="Z6" s="106"/>
      <c r="AA6" s="106"/>
      <c r="AB6" s="106"/>
      <c r="AC6" s="106"/>
      <c r="AD6" s="106"/>
      <c r="AE6" s="107"/>
      <c r="AF6" s="107"/>
    </row>
    <row r="7" spans="1:32" s="108" customFormat="1" ht="21" customHeight="1" x14ac:dyDescent="0.3">
      <c r="A7" s="106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0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06"/>
      <c r="Z7" s="106"/>
      <c r="AA7" s="106"/>
      <c r="AB7" s="106"/>
      <c r="AC7" s="106"/>
      <c r="AD7" s="106"/>
      <c r="AE7" s="107"/>
      <c r="AF7" s="107"/>
    </row>
    <row r="8" spans="1:32" s="108" customFormat="1" ht="21" customHeight="1" x14ac:dyDescent="0.3">
      <c r="A8" s="106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0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06"/>
      <c r="Z8" s="106"/>
      <c r="AA8" s="106"/>
      <c r="AB8" s="106"/>
      <c r="AC8" s="106"/>
      <c r="AD8" s="106"/>
      <c r="AE8" s="107"/>
      <c r="AF8" s="107"/>
    </row>
    <row r="9" spans="1:32" s="108" customFormat="1" ht="21" customHeight="1" x14ac:dyDescent="0.3">
      <c r="A9" s="106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0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06"/>
      <c r="Z9" s="106"/>
      <c r="AA9" s="106"/>
      <c r="AB9" s="106"/>
      <c r="AC9" s="106"/>
      <c r="AD9" s="106"/>
      <c r="AE9" s="107"/>
      <c r="AF9" s="107"/>
    </row>
    <row r="10" spans="1:32" s="108" customFormat="1" ht="21" customHeight="1" x14ac:dyDescent="0.3">
      <c r="A10" s="106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0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06"/>
      <c r="Z10" s="106"/>
      <c r="AA10" s="106"/>
      <c r="AB10" s="106"/>
      <c r="AC10" s="106"/>
      <c r="AD10" s="106"/>
      <c r="AE10" s="107"/>
      <c r="AF10" s="107"/>
    </row>
    <row r="11" spans="1:32" s="108" customFormat="1" ht="21" customHeight="1" x14ac:dyDescent="0.3">
      <c r="A11" s="106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0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06"/>
      <c r="Z11" s="106"/>
      <c r="AA11" s="106"/>
      <c r="AB11" s="106"/>
      <c r="AC11" s="106"/>
      <c r="AD11" s="106"/>
      <c r="AE11" s="107"/>
      <c r="AF11" s="107"/>
    </row>
    <row r="12" spans="1:32" s="108" customFormat="1" ht="21" customHeight="1" x14ac:dyDescent="0.3">
      <c r="A12" s="106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0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06"/>
      <c r="Z12" s="106"/>
      <c r="AA12" s="106"/>
      <c r="AB12" s="106"/>
      <c r="AC12" s="106"/>
      <c r="AD12" s="106"/>
      <c r="AE12" s="107"/>
      <c r="AF12" s="107"/>
    </row>
    <row r="13" spans="1:32" s="108" customFormat="1" ht="21" customHeight="1" x14ac:dyDescent="0.3">
      <c r="A13" s="106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0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06"/>
      <c r="Z13" s="106"/>
      <c r="AA13" s="106"/>
      <c r="AB13" s="106"/>
      <c r="AC13" s="106"/>
      <c r="AD13" s="106"/>
      <c r="AE13" s="107"/>
      <c r="AF13" s="107"/>
    </row>
    <row r="14" spans="1:32" s="108" customFormat="1" ht="13.8" customHeight="1" x14ac:dyDescent="0.3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7"/>
      <c r="AF14" s="107"/>
    </row>
    <row r="15" spans="1:32" s="108" customFormat="1" ht="21" customHeight="1" x14ac:dyDescent="0.3">
      <c r="A15" s="106"/>
      <c r="B15" s="500" t="str">
        <f>"  "&amp;TimeData!B9</f>
        <v xml:space="preserve">  Location 3</v>
      </c>
      <c r="C15" s="500"/>
      <c r="D15" s="500"/>
      <c r="E15" s="500"/>
      <c r="F15" s="500"/>
      <c r="G15" s="500"/>
      <c r="H15" s="500"/>
      <c r="I15" s="500"/>
      <c r="J15" s="500"/>
      <c r="K15" s="500"/>
      <c r="L15" s="500"/>
      <c r="M15" s="106"/>
      <c r="N15" s="500" t="str">
        <f>"  "&amp;TimeData!B12</f>
        <v xml:space="preserve">  Location 4</v>
      </c>
      <c r="O15" s="500"/>
      <c r="P15" s="500"/>
      <c r="Q15" s="500"/>
      <c r="R15" s="500"/>
      <c r="S15" s="500"/>
      <c r="T15" s="500"/>
      <c r="U15" s="500"/>
      <c r="V15" s="500"/>
      <c r="W15" s="500"/>
      <c r="X15" s="500"/>
      <c r="Y15" s="106"/>
      <c r="Z15" s="106"/>
      <c r="AA15" s="106"/>
      <c r="AB15" s="106"/>
      <c r="AC15" s="106"/>
      <c r="AD15" s="106"/>
      <c r="AE15" s="107"/>
      <c r="AF15" s="107"/>
    </row>
    <row r="16" spans="1:32" s="108" customFormat="1" ht="21" customHeight="1" x14ac:dyDescent="0.3">
      <c r="A16" s="106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06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06"/>
      <c r="Z16" s="106"/>
      <c r="AA16" s="106"/>
      <c r="AB16" s="106"/>
      <c r="AC16" s="106"/>
      <c r="AD16" s="106"/>
      <c r="AE16" s="107"/>
      <c r="AF16" s="107"/>
    </row>
    <row r="17" spans="1:32" s="108" customFormat="1" ht="21" customHeight="1" x14ac:dyDescent="0.3">
      <c r="A17" s="106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06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06"/>
      <c r="Z17" s="106"/>
      <c r="AA17" s="106"/>
      <c r="AB17" s="106"/>
      <c r="AC17" s="106"/>
      <c r="AD17" s="106"/>
      <c r="AE17" s="107"/>
      <c r="AF17" s="107"/>
    </row>
    <row r="18" spans="1:32" s="108" customFormat="1" ht="21" customHeight="1" x14ac:dyDescent="0.3">
      <c r="A18" s="106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06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06"/>
      <c r="Z18" s="106"/>
      <c r="AA18" s="106"/>
      <c r="AB18" s="106"/>
      <c r="AC18" s="106"/>
      <c r="AD18" s="106"/>
      <c r="AE18" s="107"/>
      <c r="AF18" s="107"/>
    </row>
    <row r="19" spans="1:32" s="108" customFormat="1" ht="21" customHeight="1" x14ac:dyDescent="0.3">
      <c r="A19" s="106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06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06"/>
      <c r="Z19" s="106"/>
      <c r="AA19" s="106"/>
      <c r="AB19" s="106"/>
      <c r="AC19" s="106"/>
      <c r="AD19" s="106"/>
      <c r="AE19" s="107"/>
      <c r="AF19" s="107"/>
    </row>
    <row r="20" spans="1:32" s="108" customFormat="1" ht="21" customHeight="1" x14ac:dyDescent="0.3">
      <c r="A20" s="106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06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06"/>
      <c r="Z20" s="106"/>
      <c r="AA20" s="106"/>
      <c r="AB20" s="106"/>
      <c r="AC20" s="106"/>
      <c r="AD20" s="106"/>
      <c r="AE20" s="107"/>
      <c r="AF20" s="107"/>
    </row>
    <row r="21" spans="1:32" s="108" customFormat="1" ht="21" customHeight="1" x14ac:dyDescent="0.3">
      <c r="A21" s="106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06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06"/>
      <c r="Z21" s="106"/>
      <c r="AA21" s="106"/>
      <c r="AB21" s="106"/>
      <c r="AC21" s="106"/>
      <c r="AD21" s="106"/>
      <c r="AE21" s="107"/>
      <c r="AF21" s="107"/>
    </row>
    <row r="22" spans="1:32" s="108" customFormat="1" ht="21" customHeight="1" x14ac:dyDescent="0.3">
      <c r="A22" s="106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06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06"/>
      <c r="Z22" s="106"/>
      <c r="AA22" s="106"/>
      <c r="AB22" s="106"/>
      <c r="AC22" s="106"/>
      <c r="AD22" s="106"/>
      <c r="AE22" s="107"/>
      <c r="AF22" s="107"/>
    </row>
    <row r="23" spans="1:32" s="108" customFormat="1" ht="21" customHeight="1" x14ac:dyDescent="0.3">
      <c r="A23" s="106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06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06"/>
      <c r="Z23" s="106"/>
      <c r="AA23" s="106"/>
      <c r="AB23" s="106"/>
      <c r="AC23" s="106"/>
      <c r="AD23" s="106"/>
      <c r="AE23" s="107"/>
      <c r="AF23" s="107"/>
    </row>
    <row r="24" spans="1:32" s="108" customFormat="1" ht="21" customHeight="1" x14ac:dyDescent="0.3">
      <c r="A24" s="106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06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06"/>
      <c r="Z24" s="106"/>
      <c r="AA24" s="106"/>
      <c r="AB24" s="106"/>
      <c r="AC24" s="106"/>
      <c r="AD24" s="106"/>
      <c r="AE24" s="107"/>
      <c r="AF24" s="107"/>
    </row>
    <row r="25" spans="1:32" s="108" customFormat="1" ht="13.8" customHeight="1" x14ac:dyDescent="0.3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7"/>
      <c r="AF25" s="107"/>
    </row>
    <row r="26" spans="1:32" s="108" customFormat="1" ht="21" customHeight="1" x14ac:dyDescent="0.3">
      <c r="A26" s="106"/>
      <c r="B26" s="109" t="str">
        <f>"  "&amp;TimeData!B15</f>
        <v xml:space="preserve">  Location 5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6"/>
      <c r="N26" s="500" t="str">
        <f>"  "&amp;TimeData!B18</f>
        <v xml:space="preserve">  Location 6</v>
      </c>
      <c r="O26" s="500"/>
      <c r="P26" s="500"/>
      <c r="Q26" s="500"/>
      <c r="R26" s="500"/>
      <c r="S26" s="500"/>
      <c r="T26" s="500"/>
      <c r="U26" s="500"/>
      <c r="V26" s="500"/>
      <c r="W26" s="500"/>
      <c r="X26" s="500"/>
      <c r="Y26" s="106"/>
      <c r="Z26" s="106"/>
      <c r="AA26" s="106"/>
      <c r="AB26" s="106"/>
      <c r="AC26" s="106"/>
      <c r="AD26" s="106"/>
      <c r="AE26" s="107"/>
      <c r="AF26" s="107"/>
    </row>
    <row r="27" spans="1:32" s="108" customFormat="1" ht="21" customHeight="1" x14ac:dyDescent="0.3">
      <c r="A27" s="106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06"/>
      <c r="Z27" s="106"/>
      <c r="AA27" s="106"/>
      <c r="AB27" s="106"/>
      <c r="AC27" s="106"/>
      <c r="AD27" s="106"/>
      <c r="AE27" s="107"/>
      <c r="AF27" s="107"/>
    </row>
    <row r="28" spans="1:32" s="108" customFormat="1" ht="21" customHeight="1" x14ac:dyDescent="0.3">
      <c r="A28" s="106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06"/>
      <c r="Z28" s="106"/>
      <c r="AA28" s="106"/>
      <c r="AB28" s="106"/>
      <c r="AC28" s="106"/>
      <c r="AD28" s="106"/>
      <c r="AE28" s="107"/>
      <c r="AF28" s="107"/>
    </row>
    <row r="29" spans="1:32" s="108" customFormat="1" ht="21" customHeight="1" x14ac:dyDescent="0.3">
      <c r="A29" s="106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06"/>
      <c r="Z29" s="106"/>
      <c r="AA29" s="106"/>
      <c r="AB29" s="106"/>
      <c r="AC29" s="106"/>
      <c r="AD29" s="106"/>
      <c r="AE29" s="107"/>
      <c r="AF29" s="107"/>
    </row>
    <row r="30" spans="1:32" s="108" customFormat="1" ht="21" customHeight="1" x14ac:dyDescent="0.3">
      <c r="A30" s="106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06"/>
      <c r="Z30" s="106"/>
      <c r="AA30" s="106"/>
      <c r="AB30" s="106"/>
      <c r="AC30" s="106"/>
      <c r="AD30" s="106"/>
      <c r="AE30" s="107"/>
      <c r="AF30" s="107"/>
    </row>
    <row r="31" spans="1:32" s="108" customFormat="1" ht="21" customHeight="1" x14ac:dyDescent="0.3">
      <c r="A31" s="106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06"/>
      <c r="Z31" s="106"/>
      <c r="AA31" s="106"/>
      <c r="AB31" s="106"/>
      <c r="AC31" s="106"/>
      <c r="AD31" s="106"/>
      <c r="AE31" s="107"/>
      <c r="AF31" s="107"/>
    </row>
    <row r="32" spans="1:32" s="108" customFormat="1" ht="21" customHeight="1" x14ac:dyDescent="0.3">
      <c r="A32" s="106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06"/>
      <c r="Z32" s="106"/>
      <c r="AA32" s="106"/>
      <c r="AB32" s="106"/>
      <c r="AC32" s="106"/>
      <c r="AD32" s="106"/>
      <c r="AE32" s="107"/>
      <c r="AF32" s="107"/>
    </row>
    <row r="33" spans="1:32" s="108" customFormat="1" ht="21" customHeight="1" x14ac:dyDescent="0.3">
      <c r="A33" s="106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06"/>
      <c r="Z33" s="106"/>
      <c r="AA33" s="106"/>
      <c r="AB33" s="106"/>
      <c r="AC33" s="106"/>
      <c r="AD33" s="106"/>
      <c r="AE33" s="107"/>
      <c r="AF33" s="107"/>
    </row>
    <row r="34" spans="1:32" s="108" customFormat="1" ht="21" customHeight="1" x14ac:dyDescent="0.3">
      <c r="A34" s="106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06"/>
      <c r="Z34" s="106"/>
      <c r="AA34" s="106"/>
      <c r="AB34" s="106"/>
      <c r="AC34" s="106"/>
      <c r="AD34" s="106"/>
      <c r="AE34" s="107"/>
      <c r="AF34" s="107"/>
    </row>
    <row r="35" spans="1:32" s="108" customFormat="1" ht="21" customHeight="1" x14ac:dyDescent="0.3">
      <c r="A35" s="106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06"/>
      <c r="Z35" s="106"/>
      <c r="AA35" s="106"/>
      <c r="AB35" s="106"/>
      <c r="AC35" s="106"/>
      <c r="AD35" s="106"/>
      <c r="AE35" s="107"/>
      <c r="AF35" s="107"/>
    </row>
    <row r="36" spans="1:32" s="108" customFormat="1" ht="13.8" customHeight="1" x14ac:dyDescent="0.3">
      <c r="A36" s="106"/>
      <c r="B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7"/>
      <c r="AF36" s="107"/>
    </row>
    <row r="37" spans="1:32" s="108" customFormat="1" ht="13.8" customHeight="1" x14ac:dyDescent="0.3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7"/>
      <c r="AF37" s="107"/>
    </row>
    <row r="38" spans="1:32" s="108" customFormat="1" ht="21" customHeight="1" x14ac:dyDescent="0.3"/>
    <row r="39" spans="1:32" s="108" customFormat="1" ht="21" customHeight="1" x14ac:dyDescent="0.3"/>
    <row r="40" spans="1:32" s="108" customFormat="1" ht="21" customHeight="1" x14ac:dyDescent="0.3"/>
    <row r="41" spans="1:32" s="108" customFormat="1" ht="21" customHeight="1" x14ac:dyDescent="0.3"/>
    <row r="42" spans="1:32" s="108" customFormat="1" ht="21" customHeight="1" x14ac:dyDescent="0.3"/>
    <row r="43" spans="1:32" s="108" customFormat="1" ht="21" customHeight="1" x14ac:dyDescent="0.3"/>
  </sheetData>
  <mergeCells count="6">
    <mergeCell ref="N26:X26"/>
    <mergeCell ref="B3:G3"/>
    <mergeCell ref="B4:L4"/>
    <mergeCell ref="N4:X4"/>
    <mergeCell ref="B15:L15"/>
    <mergeCell ref="N15:X15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A02F-7C9D-4C8C-908C-229EB65D8EF8}">
  <sheetPr codeName="Sheet12"/>
  <dimension ref="B2:Q20"/>
  <sheetViews>
    <sheetView showGridLines="0" topLeftCell="C1" workbookViewId="0">
      <selection activeCell="E26" sqref="E26"/>
    </sheetView>
  </sheetViews>
  <sheetFormatPr defaultRowHeight="14.4" x14ac:dyDescent="0.3"/>
  <cols>
    <col min="1" max="1" width="1.77734375" style="108" customWidth="1"/>
    <col min="2" max="2" width="28.5546875" style="108" customWidth="1"/>
    <col min="3" max="3" width="13.109375" style="108" bestFit="1" customWidth="1"/>
    <col min="4" max="4" width="16.77734375" style="108" customWidth="1"/>
    <col min="5" max="16" width="11" style="108" customWidth="1"/>
    <col min="17" max="16384" width="8.88671875" style="108"/>
  </cols>
  <sheetData>
    <row r="2" spans="2:17" x14ac:dyDescent="0.3">
      <c r="B2" s="117" t="s">
        <v>105</v>
      </c>
      <c r="C2" s="117" t="s">
        <v>106</v>
      </c>
      <c r="D2" s="238" t="s">
        <v>235</v>
      </c>
      <c r="E2" s="238" t="s">
        <v>236</v>
      </c>
      <c r="F2" s="238" t="s">
        <v>237</v>
      </c>
      <c r="G2" s="238" t="s">
        <v>238</v>
      </c>
      <c r="H2" s="238" t="s">
        <v>239</v>
      </c>
      <c r="I2" s="238" t="s">
        <v>240</v>
      </c>
      <c r="J2" s="238" t="s">
        <v>241</v>
      </c>
      <c r="K2" s="238" t="s">
        <v>242</v>
      </c>
      <c r="L2" s="238" t="s">
        <v>243</v>
      </c>
      <c r="M2" s="238" t="s">
        <v>244</v>
      </c>
      <c r="N2" s="238" t="s">
        <v>245</v>
      </c>
      <c r="O2" s="238" t="s">
        <v>246</v>
      </c>
      <c r="P2" s="239" t="s">
        <v>85</v>
      </c>
    </row>
    <row r="3" spans="2:17" x14ac:dyDescent="0.3">
      <c r="B3" s="502" t="s">
        <v>108</v>
      </c>
      <c r="C3" s="118" t="s">
        <v>260</v>
      </c>
      <c r="D3" s="123">
        <v>37</v>
      </c>
      <c r="E3" s="119">
        <v>41</v>
      </c>
      <c r="F3" s="119">
        <v>46</v>
      </c>
      <c r="G3" s="119">
        <v>48</v>
      </c>
      <c r="H3" s="119">
        <v>45</v>
      </c>
      <c r="I3" s="119">
        <v>48</v>
      </c>
      <c r="J3" s="119">
        <v>51</v>
      </c>
      <c r="K3" s="119">
        <v>39</v>
      </c>
      <c r="L3" s="119">
        <v>45</v>
      </c>
      <c r="M3" s="119">
        <v>44</v>
      </c>
      <c r="N3" s="119">
        <v>44</v>
      </c>
      <c r="O3" s="119">
        <v>43</v>
      </c>
      <c r="P3" s="120">
        <f>SUM(D3:O3)</f>
        <v>531</v>
      </c>
    </row>
    <row r="4" spans="2:17" x14ac:dyDescent="0.3">
      <c r="B4" s="502"/>
      <c r="C4" s="118" t="s">
        <v>261</v>
      </c>
      <c r="D4" s="119">
        <v>45</v>
      </c>
      <c r="E4" s="119">
        <v>45</v>
      </c>
      <c r="F4" s="119">
        <v>45</v>
      </c>
      <c r="G4" s="119">
        <v>45</v>
      </c>
      <c r="H4" s="119">
        <v>45</v>
      </c>
      <c r="I4" s="119">
        <v>50</v>
      </c>
      <c r="J4" s="119">
        <v>50</v>
      </c>
      <c r="K4" s="119">
        <v>42</v>
      </c>
      <c r="L4" s="119">
        <v>45</v>
      </c>
      <c r="M4" s="119">
        <v>45</v>
      </c>
      <c r="N4" s="119">
        <v>45</v>
      </c>
      <c r="O4" s="119">
        <v>45</v>
      </c>
      <c r="P4" s="120">
        <f t="shared" ref="P4:P13" si="0">SUM(D4:O4)</f>
        <v>547</v>
      </c>
    </row>
    <row r="5" spans="2:17" x14ac:dyDescent="0.3">
      <c r="B5" s="502"/>
      <c r="C5" s="118" t="s">
        <v>107</v>
      </c>
      <c r="D5" s="121">
        <f>D3/D4</f>
        <v>0.82222222222222219</v>
      </c>
      <c r="E5" s="121">
        <f t="shared" ref="E5:P5" si="1">E3/E4</f>
        <v>0.91111111111111109</v>
      </c>
      <c r="F5" s="121">
        <f t="shared" si="1"/>
        <v>1.0222222222222221</v>
      </c>
      <c r="G5" s="121">
        <f t="shared" si="1"/>
        <v>1.0666666666666667</v>
      </c>
      <c r="H5" s="121">
        <f t="shared" si="1"/>
        <v>1</v>
      </c>
      <c r="I5" s="121">
        <f t="shared" si="1"/>
        <v>0.96</v>
      </c>
      <c r="J5" s="121">
        <f t="shared" si="1"/>
        <v>1.02</v>
      </c>
      <c r="K5" s="121">
        <f t="shared" si="1"/>
        <v>0.9285714285714286</v>
      </c>
      <c r="L5" s="121">
        <f t="shared" si="1"/>
        <v>1</v>
      </c>
      <c r="M5" s="121">
        <f t="shared" si="1"/>
        <v>0.97777777777777775</v>
      </c>
      <c r="N5" s="121">
        <f t="shared" si="1"/>
        <v>0.97777777777777775</v>
      </c>
      <c r="O5" s="121">
        <f t="shared" si="1"/>
        <v>0.9555555555555556</v>
      </c>
      <c r="P5" s="122">
        <f t="shared" si="1"/>
        <v>0.97074954296160876</v>
      </c>
      <c r="Q5" s="112">
        <f>IF(P5&gt;=1,0,1-P5)</f>
        <v>2.9250457038391242E-2</v>
      </c>
    </row>
    <row r="6" spans="2:17" x14ac:dyDescent="0.3">
      <c r="B6" s="502" t="s">
        <v>109</v>
      </c>
      <c r="C6" s="118" t="s">
        <v>260</v>
      </c>
      <c r="D6" s="119">
        <v>75</v>
      </c>
      <c r="E6" s="119">
        <v>52</v>
      </c>
      <c r="F6" s="119">
        <v>90</v>
      </c>
      <c r="G6" s="119">
        <v>81</v>
      </c>
      <c r="H6" s="119">
        <v>46</v>
      </c>
      <c r="I6" s="119">
        <v>44</v>
      </c>
      <c r="J6" s="119">
        <v>72</v>
      </c>
      <c r="K6" s="119">
        <v>72</v>
      </c>
      <c r="L6" s="119">
        <v>60</v>
      </c>
      <c r="M6" s="119">
        <v>80</v>
      </c>
      <c r="N6" s="119">
        <v>40</v>
      </c>
      <c r="O6" s="119">
        <v>55</v>
      </c>
      <c r="P6" s="120">
        <f t="shared" si="0"/>
        <v>767</v>
      </c>
      <c r="Q6" s="113"/>
    </row>
    <row r="7" spans="2:17" x14ac:dyDescent="0.3">
      <c r="B7" s="502"/>
      <c r="C7" s="118" t="s">
        <v>261</v>
      </c>
      <c r="D7" s="119">
        <v>72</v>
      </c>
      <c r="E7" s="119">
        <v>56</v>
      </c>
      <c r="F7" s="119">
        <v>90</v>
      </c>
      <c r="G7" s="119">
        <v>81</v>
      </c>
      <c r="H7" s="119">
        <v>46</v>
      </c>
      <c r="I7" s="119">
        <v>45</v>
      </c>
      <c r="J7" s="119">
        <v>72</v>
      </c>
      <c r="K7" s="119">
        <v>72</v>
      </c>
      <c r="L7" s="119">
        <v>60</v>
      </c>
      <c r="M7" s="119">
        <v>80</v>
      </c>
      <c r="N7" s="119">
        <v>48</v>
      </c>
      <c r="O7" s="119">
        <v>60</v>
      </c>
      <c r="P7" s="120">
        <f t="shared" si="0"/>
        <v>782</v>
      </c>
      <c r="Q7" s="113"/>
    </row>
    <row r="8" spans="2:17" x14ac:dyDescent="0.3">
      <c r="B8" s="502"/>
      <c r="C8" s="118" t="s">
        <v>107</v>
      </c>
      <c r="D8" s="121">
        <f>D6/D7</f>
        <v>1.0416666666666667</v>
      </c>
      <c r="E8" s="121">
        <f t="shared" ref="E8:P8" si="2">E6/E7</f>
        <v>0.9285714285714286</v>
      </c>
      <c r="F8" s="121">
        <f t="shared" si="2"/>
        <v>1</v>
      </c>
      <c r="G8" s="121">
        <f t="shared" si="2"/>
        <v>1</v>
      </c>
      <c r="H8" s="121">
        <f t="shared" si="2"/>
        <v>1</v>
      </c>
      <c r="I8" s="121">
        <f t="shared" si="2"/>
        <v>0.97777777777777775</v>
      </c>
      <c r="J8" s="121">
        <f t="shared" si="2"/>
        <v>1</v>
      </c>
      <c r="K8" s="121">
        <f t="shared" si="2"/>
        <v>1</v>
      </c>
      <c r="L8" s="121">
        <f t="shared" si="2"/>
        <v>1</v>
      </c>
      <c r="M8" s="121">
        <f t="shared" si="2"/>
        <v>1</v>
      </c>
      <c r="N8" s="121">
        <f t="shared" si="2"/>
        <v>0.83333333333333337</v>
      </c>
      <c r="O8" s="121">
        <f t="shared" si="2"/>
        <v>0.91666666666666663</v>
      </c>
      <c r="P8" s="122">
        <f t="shared" si="2"/>
        <v>0.98081841432225059</v>
      </c>
      <c r="Q8" s="112">
        <f>IF(P8&gt;=1,0,1-P8)</f>
        <v>1.9181585677749413E-2</v>
      </c>
    </row>
    <row r="9" spans="2:17" x14ac:dyDescent="0.3">
      <c r="B9" s="502" t="s">
        <v>110</v>
      </c>
      <c r="C9" s="118" t="s">
        <v>260</v>
      </c>
      <c r="D9" s="119">
        <v>50</v>
      </c>
      <c r="E9" s="119">
        <v>74</v>
      </c>
      <c r="F9" s="119">
        <v>80</v>
      </c>
      <c r="G9" s="119">
        <v>75</v>
      </c>
      <c r="H9" s="119">
        <v>92</v>
      </c>
      <c r="I9" s="119">
        <v>91</v>
      </c>
      <c r="J9" s="119">
        <v>96</v>
      </c>
      <c r="K9" s="119">
        <v>96</v>
      </c>
      <c r="L9" s="119">
        <v>65</v>
      </c>
      <c r="M9" s="119">
        <v>40</v>
      </c>
      <c r="N9" s="119">
        <v>66</v>
      </c>
      <c r="O9" s="119">
        <v>48</v>
      </c>
      <c r="P9" s="120">
        <f t="shared" si="0"/>
        <v>873</v>
      </c>
      <c r="Q9" s="113"/>
    </row>
    <row r="10" spans="2:17" x14ac:dyDescent="0.3">
      <c r="B10" s="502"/>
      <c r="C10" s="118" t="s">
        <v>261</v>
      </c>
      <c r="D10" s="119">
        <v>50</v>
      </c>
      <c r="E10" s="119">
        <v>74</v>
      </c>
      <c r="F10" s="119">
        <v>86</v>
      </c>
      <c r="G10" s="119">
        <v>92</v>
      </c>
      <c r="H10" s="119">
        <v>100</v>
      </c>
      <c r="I10" s="119">
        <v>100</v>
      </c>
      <c r="J10" s="119">
        <v>100</v>
      </c>
      <c r="K10" s="119">
        <v>95</v>
      </c>
      <c r="L10" s="119">
        <v>72</v>
      </c>
      <c r="M10" s="119">
        <v>48</v>
      </c>
      <c r="N10" s="119">
        <v>65</v>
      </c>
      <c r="O10" s="119">
        <v>48</v>
      </c>
      <c r="P10" s="120">
        <f t="shared" si="0"/>
        <v>930</v>
      </c>
      <c r="Q10" s="113"/>
    </row>
    <row r="11" spans="2:17" x14ac:dyDescent="0.3">
      <c r="B11" s="502"/>
      <c r="C11" s="118" t="s">
        <v>107</v>
      </c>
      <c r="D11" s="121">
        <f>D9/D10</f>
        <v>1</v>
      </c>
      <c r="E11" s="121">
        <f t="shared" ref="E11:P11" si="3">E9/E10</f>
        <v>1</v>
      </c>
      <c r="F11" s="121">
        <f t="shared" si="3"/>
        <v>0.93023255813953487</v>
      </c>
      <c r="G11" s="121">
        <f t="shared" si="3"/>
        <v>0.81521739130434778</v>
      </c>
      <c r="H11" s="121">
        <f t="shared" si="3"/>
        <v>0.92</v>
      </c>
      <c r="I11" s="121">
        <f t="shared" si="3"/>
        <v>0.91</v>
      </c>
      <c r="J11" s="121">
        <f t="shared" si="3"/>
        <v>0.96</v>
      </c>
      <c r="K11" s="121">
        <f t="shared" si="3"/>
        <v>1.0105263157894737</v>
      </c>
      <c r="L11" s="121">
        <f t="shared" si="3"/>
        <v>0.90277777777777779</v>
      </c>
      <c r="M11" s="121">
        <f t="shared" si="3"/>
        <v>0.83333333333333337</v>
      </c>
      <c r="N11" s="121">
        <f t="shared" si="3"/>
        <v>1.0153846153846153</v>
      </c>
      <c r="O11" s="121">
        <f t="shared" si="3"/>
        <v>1</v>
      </c>
      <c r="P11" s="122">
        <f t="shared" si="3"/>
        <v>0.93870967741935485</v>
      </c>
      <c r="Q11" s="112">
        <f>IF(P11&gt;=1,0,1-P11)</f>
        <v>6.1290322580645151E-2</v>
      </c>
    </row>
    <row r="12" spans="2:17" x14ac:dyDescent="0.3">
      <c r="B12" s="502" t="s">
        <v>111</v>
      </c>
      <c r="C12" s="118" t="s">
        <v>260</v>
      </c>
      <c r="D12" s="119">
        <v>102</v>
      </c>
      <c r="E12" s="119">
        <v>92</v>
      </c>
      <c r="F12" s="119">
        <v>99</v>
      </c>
      <c r="G12" s="119">
        <v>98</v>
      </c>
      <c r="H12" s="119">
        <v>102</v>
      </c>
      <c r="I12" s="119">
        <v>102</v>
      </c>
      <c r="J12" s="119">
        <v>86</v>
      </c>
      <c r="K12" s="119">
        <v>86</v>
      </c>
      <c r="L12" s="119">
        <v>89</v>
      </c>
      <c r="M12" s="119">
        <v>108</v>
      </c>
      <c r="N12" s="119">
        <v>107</v>
      </c>
      <c r="O12" s="119">
        <v>94</v>
      </c>
      <c r="P12" s="120">
        <f t="shared" si="0"/>
        <v>1165</v>
      </c>
      <c r="Q12" s="113"/>
    </row>
    <row r="13" spans="2:17" x14ac:dyDescent="0.3">
      <c r="B13" s="502"/>
      <c r="C13" s="118" t="s">
        <v>261</v>
      </c>
      <c r="D13" s="119">
        <v>102</v>
      </c>
      <c r="E13" s="119">
        <v>102</v>
      </c>
      <c r="F13" s="119">
        <v>102</v>
      </c>
      <c r="G13" s="119">
        <v>106</v>
      </c>
      <c r="H13" s="119">
        <v>109</v>
      </c>
      <c r="I13" s="119">
        <v>102</v>
      </c>
      <c r="J13" s="119">
        <v>102</v>
      </c>
      <c r="K13" s="119">
        <v>110</v>
      </c>
      <c r="L13" s="119">
        <v>95</v>
      </c>
      <c r="M13" s="119">
        <v>102</v>
      </c>
      <c r="N13" s="119">
        <v>102</v>
      </c>
      <c r="O13" s="119">
        <v>102</v>
      </c>
      <c r="P13" s="120">
        <f t="shared" si="0"/>
        <v>1236</v>
      </c>
      <c r="Q13" s="113"/>
    </row>
    <row r="14" spans="2:17" x14ac:dyDescent="0.3">
      <c r="B14" s="502"/>
      <c r="C14" s="118" t="s">
        <v>107</v>
      </c>
      <c r="D14" s="121">
        <f>D12/D13</f>
        <v>1</v>
      </c>
      <c r="E14" s="121">
        <f t="shared" ref="E14:P14" si="4">E12/E13</f>
        <v>0.90196078431372551</v>
      </c>
      <c r="F14" s="121">
        <f t="shared" si="4"/>
        <v>0.97058823529411764</v>
      </c>
      <c r="G14" s="121">
        <f t="shared" si="4"/>
        <v>0.92452830188679247</v>
      </c>
      <c r="H14" s="121">
        <f t="shared" si="4"/>
        <v>0.93577981651376152</v>
      </c>
      <c r="I14" s="121">
        <f t="shared" si="4"/>
        <v>1</v>
      </c>
      <c r="J14" s="121">
        <f t="shared" si="4"/>
        <v>0.84313725490196079</v>
      </c>
      <c r="K14" s="121">
        <f t="shared" si="4"/>
        <v>0.78181818181818186</v>
      </c>
      <c r="L14" s="121">
        <f t="shared" si="4"/>
        <v>0.93684210526315792</v>
      </c>
      <c r="M14" s="121">
        <f t="shared" si="4"/>
        <v>1.0588235294117647</v>
      </c>
      <c r="N14" s="121">
        <f t="shared" si="4"/>
        <v>1.0490196078431373</v>
      </c>
      <c r="O14" s="121">
        <f t="shared" si="4"/>
        <v>0.92156862745098034</v>
      </c>
      <c r="P14" s="122">
        <f t="shared" si="4"/>
        <v>0.94255663430420711</v>
      </c>
      <c r="Q14" s="112">
        <f>IF(P14&gt;=1,0,1-P14)</f>
        <v>5.7443365695792892E-2</v>
      </c>
    </row>
    <row r="15" spans="2:17" x14ac:dyDescent="0.3">
      <c r="B15" s="502" t="s">
        <v>112</v>
      </c>
      <c r="C15" s="118" t="s">
        <v>260</v>
      </c>
      <c r="D15" s="119">
        <v>55</v>
      </c>
      <c r="E15" s="119">
        <v>55</v>
      </c>
      <c r="F15" s="119">
        <v>55</v>
      </c>
      <c r="G15" s="119">
        <v>55</v>
      </c>
      <c r="H15" s="119">
        <v>50</v>
      </c>
      <c r="I15" s="119">
        <v>60</v>
      </c>
      <c r="J15" s="119">
        <v>30</v>
      </c>
      <c r="K15" s="119">
        <v>23</v>
      </c>
      <c r="L15" s="119">
        <v>90</v>
      </c>
      <c r="M15" s="119">
        <v>66</v>
      </c>
      <c r="N15" s="119">
        <v>45</v>
      </c>
      <c r="O15" s="119">
        <v>40</v>
      </c>
      <c r="P15" s="120">
        <f t="shared" ref="P15:P16" si="5">SUM(D15:O15)</f>
        <v>624</v>
      </c>
      <c r="Q15" s="113"/>
    </row>
    <row r="16" spans="2:17" x14ac:dyDescent="0.3">
      <c r="B16" s="502"/>
      <c r="C16" s="118" t="s">
        <v>261</v>
      </c>
      <c r="D16" s="119">
        <v>48</v>
      </c>
      <c r="E16" s="119">
        <v>48</v>
      </c>
      <c r="F16" s="119">
        <v>56</v>
      </c>
      <c r="G16" s="119">
        <v>56</v>
      </c>
      <c r="H16" s="119">
        <v>56</v>
      </c>
      <c r="I16" s="119">
        <v>67</v>
      </c>
      <c r="J16" s="119">
        <v>32</v>
      </c>
      <c r="K16" s="119">
        <v>24</v>
      </c>
      <c r="L16" s="119">
        <v>90</v>
      </c>
      <c r="M16" s="119">
        <v>66</v>
      </c>
      <c r="N16" s="119">
        <v>48</v>
      </c>
      <c r="O16" s="119">
        <v>40</v>
      </c>
      <c r="P16" s="120">
        <f t="shared" si="5"/>
        <v>631</v>
      </c>
      <c r="Q16" s="113"/>
    </row>
    <row r="17" spans="2:17" x14ac:dyDescent="0.3">
      <c r="B17" s="502"/>
      <c r="C17" s="118" t="s">
        <v>107</v>
      </c>
      <c r="D17" s="121">
        <f>D15/D16</f>
        <v>1.1458333333333333</v>
      </c>
      <c r="E17" s="121">
        <f t="shared" ref="E17:P17" si="6">E15/E16</f>
        <v>1.1458333333333333</v>
      </c>
      <c r="F17" s="121">
        <f t="shared" si="6"/>
        <v>0.9821428571428571</v>
      </c>
      <c r="G17" s="121">
        <f t="shared" si="6"/>
        <v>0.9821428571428571</v>
      </c>
      <c r="H17" s="121">
        <f t="shared" si="6"/>
        <v>0.8928571428571429</v>
      </c>
      <c r="I17" s="121">
        <f t="shared" si="6"/>
        <v>0.89552238805970152</v>
      </c>
      <c r="J17" s="121">
        <f t="shared" si="6"/>
        <v>0.9375</v>
      </c>
      <c r="K17" s="121">
        <f t="shared" si="6"/>
        <v>0.95833333333333337</v>
      </c>
      <c r="L17" s="121">
        <f t="shared" si="6"/>
        <v>1</v>
      </c>
      <c r="M17" s="121">
        <f t="shared" si="6"/>
        <v>1</v>
      </c>
      <c r="N17" s="121">
        <f t="shared" si="6"/>
        <v>0.9375</v>
      </c>
      <c r="O17" s="121">
        <f t="shared" si="6"/>
        <v>1</v>
      </c>
      <c r="P17" s="122">
        <f t="shared" si="6"/>
        <v>0.9889064976228209</v>
      </c>
      <c r="Q17" s="112">
        <f>IF(P17&gt;=1,0,1-P17)</f>
        <v>1.1093502377179099E-2</v>
      </c>
    </row>
    <row r="18" spans="2:17" x14ac:dyDescent="0.3">
      <c r="B18" s="502" t="s">
        <v>113</v>
      </c>
      <c r="C18" s="118" t="s">
        <v>260</v>
      </c>
      <c r="D18" s="119">
        <v>16</v>
      </c>
      <c r="E18" s="119">
        <v>9</v>
      </c>
      <c r="F18" s="119">
        <v>21</v>
      </c>
      <c r="G18" s="119">
        <v>24</v>
      </c>
      <c r="H18" s="119">
        <v>24</v>
      </c>
      <c r="I18" s="119">
        <v>34</v>
      </c>
      <c r="J18" s="119">
        <v>52</v>
      </c>
      <c r="K18" s="119">
        <v>72</v>
      </c>
      <c r="L18" s="119">
        <v>70</v>
      </c>
      <c r="M18" s="119">
        <v>24</v>
      </c>
      <c r="N18" s="119">
        <v>40</v>
      </c>
      <c r="O18" s="119">
        <v>24</v>
      </c>
      <c r="P18" s="120">
        <f t="shared" ref="P18:P19" si="7">SUM(D18:O18)</f>
        <v>410</v>
      </c>
      <c r="Q18" s="113"/>
    </row>
    <row r="19" spans="2:17" x14ac:dyDescent="0.3">
      <c r="B19" s="502"/>
      <c r="C19" s="118" t="s">
        <v>261</v>
      </c>
      <c r="D19" s="119">
        <v>16</v>
      </c>
      <c r="E19" s="119">
        <v>10</v>
      </c>
      <c r="F19" s="119">
        <v>21</v>
      </c>
      <c r="G19" s="119">
        <v>24</v>
      </c>
      <c r="H19" s="119">
        <v>26</v>
      </c>
      <c r="I19" s="119">
        <v>32</v>
      </c>
      <c r="J19" s="119">
        <v>48</v>
      </c>
      <c r="K19" s="119">
        <v>72</v>
      </c>
      <c r="L19" s="119">
        <v>72</v>
      </c>
      <c r="M19" s="119">
        <v>24</v>
      </c>
      <c r="N19" s="119">
        <v>48</v>
      </c>
      <c r="O19" s="119">
        <v>30</v>
      </c>
      <c r="P19" s="120">
        <f t="shared" si="7"/>
        <v>423</v>
      </c>
      <c r="Q19" s="113"/>
    </row>
    <row r="20" spans="2:17" x14ac:dyDescent="0.3">
      <c r="B20" s="502"/>
      <c r="C20" s="118" t="s">
        <v>107</v>
      </c>
      <c r="D20" s="121">
        <f>D18/D19</f>
        <v>1</v>
      </c>
      <c r="E20" s="121">
        <f t="shared" ref="E20:P20" si="8">E18/E19</f>
        <v>0.9</v>
      </c>
      <c r="F20" s="121">
        <f t="shared" si="8"/>
        <v>1</v>
      </c>
      <c r="G20" s="121">
        <f t="shared" si="8"/>
        <v>1</v>
      </c>
      <c r="H20" s="121">
        <f t="shared" si="8"/>
        <v>0.92307692307692313</v>
      </c>
      <c r="I20" s="121">
        <f t="shared" si="8"/>
        <v>1.0625</v>
      </c>
      <c r="J20" s="121">
        <f t="shared" si="8"/>
        <v>1.0833333333333333</v>
      </c>
      <c r="K20" s="121">
        <f t="shared" si="8"/>
        <v>1</v>
      </c>
      <c r="L20" s="121">
        <f t="shared" si="8"/>
        <v>0.97222222222222221</v>
      </c>
      <c r="M20" s="121">
        <f t="shared" si="8"/>
        <v>1</v>
      </c>
      <c r="N20" s="121">
        <f t="shared" si="8"/>
        <v>0.83333333333333337</v>
      </c>
      <c r="O20" s="121">
        <f t="shared" si="8"/>
        <v>0.8</v>
      </c>
      <c r="P20" s="122">
        <f t="shared" si="8"/>
        <v>0.96926713947990539</v>
      </c>
      <c r="Q20" s="112">
        <f>IF(P20&gt;=1,0,1-P20)</f>
        <v>3.0732860520094607E-2</v>
      </c>
    </row>
  </sheetData>
  <mergeCells count="6">
    <mergeCell ref="B18:B20"/>
    <mergeCell ref="B3:B5"/>
    <mergeCell ref="B6:B8"/>
    <mergeCell ref="B9:B11"/>
    <mergeCell ref="B12:B14"/>
    <mergeCell ref="B15:B17"/>
  </mergeCells>
  <phoneticPr fontId="7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DB57-8DA6-4AA4-B0FB-3FAA557C6960}">
  <sheetPr codeName="Sheet18"/>
  <dimension ref="B2:P30"/>
  <sheetViews>
    <sheetView showGridLines="0" workbookViewId="0">
      <selection activeCell="T21" sqref="T21"/>
    </sheetView>
  </sheetViews>
  <sheetFormatPr defaultRowHeight="14.4" x14ac:dyDescent="0.3"/>
  <sheetData>
    <row r="2" spans="2:16" ht="18" x14ac:dyDescent="0.35">
      <c r="B2" s="430" t="s">
        <v>247</v>
      </c>
      <c r="C2" s="431"/>
      <c r="D2" s="431"/>
      <c r="E2" s="431"/>
      <c r="F2" s="431"/>
      <c r="G2" s="432"/>
    </row>
    <row r="6" spans="2:16" ht="18" x14ac:dyDescent="0.35">
      <c r="B6" s="430" t="s">
        <v>248</v>
      </c>
      <c r="C6" s="431"/>
      <c r="D6" s="431"/>
      <c r="E6" s="431"/>
      <c r="F6" s="431"/>
      <c r="G6" s="432"/>
    </row>
    <row r="9" spans="2:16" x14ac:dyDescent="0.3">
      <c r="B9" s="458" t="s">
        <v>64</v>
      </c>
      <c r="C9" s="460"/>
      <c r="E9" s="214" t="s">
        <v>25</v>
      </c>
      <c r="F9" s="215" t="s">
        <v>26</v>
      </c>
      <c r="G9" s="215" t="s">
        <v>27</v>
      </c>
      <c r="H9" s="215" t="s">
        <v>28</v>
      </c>
      <c r="I9" s="215" t="s">
        <v>29</v>
      </c>
      <c r="J9" s="215" t="s">
        <v>30</v>
      </c>
      <c r="K9" s="215" t="s">
        <v>31</v>
      </c>
      <c r="L9" s="215" t="s">
        <v>32</v>
      </c>
      <c r="M9" s="215" t="s">
        <v>33</v>
      </c>
      <c r="N9" s="215" t="s">
        <v>34</v>
      </c>
      <c r="O9" s="215" t="s">
        <v>35</v>
      </c>
      <c r="P9" s="216" t="s">
        <v>36</v>
      </c>
    </row>
    <row r="10" spans="2:16" x14ac:dyDescent="0.3">
      <c r="B10" s="458" t="s">
        <v>65</v>
      </c>
      <c r="C10" s="460"/>
      <c r="E10" s="36">
        <f>Calculations!D19</f>
        <v>0.91111111111111109</v>
      </c>
      <c r="F10" s="33">
        <f>Calculations!E19</f>
        <v>0.97777777777777775</v>
      </c>
      <c r="G10" s="33">
        <f>Calculations!F19</f>
        <v>1</v>
      </c>
      <c r="H10" s="33">
        <f>Calculations!G19</f>
        <v>1</v>
      </c>
      <c r="I10" s="33">
        <f>Calculations!H19</f>
        <v>1</v>
      </c>
      <c r="J10" s="33">
        <f>Calculations!I19</f>
        <v>1</v>
      </c>
      <c r="K10" s="33">
        <f>Calculations!J19</f>
        <v>1</v>
      </c>
      <c r="L10" s="33">
        <f>Calculations!K19</f>
        <v>1</v>
      </c>
      <c r="M10" s="33">
        <f>Calculations!L19</f>
        <v>1</v>
      </c>
      <c r="N10" s="33">
        <f>Calculations!M19</f>
        <v>1</v>
      </c>
      <c r="O10" s="33">
        <f>Calculations!N19</f>
        <v>1</v>
      </c>
      <c r="P10" s="37">
        <f>Calculations!O19</f>
        <v>1</v>
      </c>
    </row>
    <row r="11" spans="2:16" x14ac:dyDescent="0.3">
      <c r="B11" s="458" t="s">
        <v>66</v>
      </c>
      <c r="C11" s="460"/>
      <c r="E11" s="36">
        <f>Calculations!D20</f>
        <v>0.72222222222222221</v>
      </c>
      <c r="F11" s="33">
        <f>Calculations!E20</f>
        <v>0.72222222222222221</v>
      </c>
      <c r="G11" s="33">
        <f>Calculations!F20</f>
        <v>0.72222222222222221</v>
      </c>
      <c r="H11" s="33">
        <f>Calculations!G20</f>
        <v>0.77777777777777779</v>
      </c>
      <c r="I11" s="33">
        <f>Calculations!H20</f>
        <v>0.77777777777777779</v>
      </c>
      <c r="J11" s="33">
        <f>Calculations!I20</f>
        <v>0.77777777777777779</v>
      </c>
      <c r="K11" s="33">
        <f>Calculations!J20</f>
        <v>0.88888888888888884</v>
      </c>
      <c r="L11" s="33">
        <f>Calculations!K20</f>
        <v>0.88888888888888884</v>
      </c>
      <c r="M11" s="33">
        <f>Calculations!L20</f>
        <v>0.88888888888888884</v>
      </c>
      <c r="N11" s="33">
        <f>Calculations!M20</f>
        <v>0.88888888888888884</v>
      </c>
      <c r="O11" s="33">
        <f>Calculations!N20</f>
        <v>0.88888888888888884</v>
      </c>
      <c r="P11" s="37">
        <f>Calculations!O20</f>
        <v>1</v>
      </c>
    </row>
    <row r="12" spans="2:16" x14ac:dyDescent="0.3">
      <c r="B12" s="458" t="s">
        <v>1</v>
      </c>
      <c r="C12" s="460"/>
      <c r="E12" s="36">
        <f>Calculations!D21</f>
        <v>0.3888888888888889</v>
      </c>
      <c r="F12" s="33">
        <f>Calculations!E21</f>
        <v>0.3888888888888889</v>
      </c>
      <c r="G12" s="33">
        <f>Calculations!F21</f>
        <v>0.3888888888888889</v>
      </c>
      <c r="H12" s="33">
        <f>Calculations!G21</f>
        <v>0.3888888888888889</v>
      </c>
      <c r="I12" s="33">
        <f>Calculations!H21</f>
        <v>0.44444444444444442</v>
      </c>
      <c r="J12" s="33">
        <f>Calculations!I21</f>
        <v>0.44444444444444442</v>
      </c>
      <c r="K12" s="33">
        <f>Calculations!J21</f>
        <v>0.44444444444444442</v>
      </c>
      <c r="L12" s="33">
        <f>Calculations!K21</f>
        <v>0.5</v>
      </c>
      <c r="M12" s="33">
        <f>Calculations!L21</f>
        <v>0.5</v>
      </c>
      <c r="N12" s="33">
        <f>Calculations!M21</f>
        <v>0.5</v>
      </c>
      <c r="O12" s="33">
        <f>Calculations!N21</f>
        <v>0.5</v>
      </c>
      <c r="P12" s="37">
        <f>Calculations!O21</f>
        <v>0.5</v>
      </c>
    </row>
    <row r="13" spans="2:16" x14ac:dyDescent="0.3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ht="18" x14ac:dyDescent="0.35">
      <c r="B14" s="430" t="s">
        <v>67</v>
      </c>
      <c r="C14" s="431"/>
      <c r="D14" s="431"/>
      <c r="E14" s="431"/>
      <c r="F14" s="431"/>
      <c r="G14" s="432"/>
      <c r="H14" s="5"/>
      <c r="I14" s="5"/>
      <c r="J14" s="5"/>
      <c r="K14" s="5"/>
      <c r="L14" s="5"/>
      <c r="M14" s="5"/>
      <c r="N14" s="5"/>
      <c r="O14" s="5"/>
      <c r="P14" s="5"/>
    </row>
    <row r="15" spans="2:16" x14ac:dyDescent="0.3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x14ac:dyDescent="0.3">
      <c r="B16" s="458" t="s">
        <v>64</v>
      </c>
      <c r="C16" s="460"/>
      <c r="E16" s="214" t="s">
        <v>25</v>
      </c>
      <c r="F16" s="215" t="s">
        <v>26</v>
      </c>
      <c r="G16" s="215" t="s">
        <v>27</v>
      </c>
      <c r="H16" s="215" t="s">
        <v>28</v>
      </c>
      <c r="I16" s="215" t="s">
        <v>29</v>
      </c>
      <c r="J16" s="215" t="s">
        <v>30</v>
      </c>
      <c r="K16" s="215" t="s">
        <v>31</v>
      </c>
      <c r="L16" s="215" t="s">
        <v>32</v>
      </c>
      <c r="M16" s="215" t="s">
        <v>33</v>
      </c>
      <c r="N16" s="215" t="s">
        <v>34</v>
      </c>
      <c r="O16" s="215" t="s">
        <v>35</v>
      </c>
      <c r="P16" s="216" t="s">
        <v>36</v>
      </c>
    </row>
    <row r="17" spans="2:16" x14ac:dyDescent="0.3">
      <c r="E17" s="36">
        <v>0.1</v>
      </c>
      <c r="F17" s="33">
        <v>0.1</v>
      </c>
      <c r="G17" s="33">
        <v>0.1</v>
      </c>
      <c r="H17" s="33">
        <v>0.1</v>
      </c>
      <c r="I17" s="33">
        <v>0.1</v>
      </c>
      <c r="J17" s="33">
        <v>0.15</v>
      </c>
      <c r="K17" s="33">
        <v>0.2</v>
      </c>
      <c r="L17" s="33">
        <v>0.2</v>
      </c>
      <c r="M17" s="33">
        <v>0.1</v>
      </c>
      <c r="N17" s="33">
        <v>0.1</v>
      </c>
      <c r="O17" s="33">
        <v>0.1</v>
      </c>
      <c r="P17" s="37">
        <v>0.15</v>
      </c>
    </row>
    <row r="18" spans="2:16" x14ac:dyDescent="0.3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ht="18" x14ac:dyDescent="0.35">
      <c r="B19" s="430" t="s">
        <v>68</v>
      </c>
      <c r="C19" s="431"/>
      <c r="D19" s="431"/>
      <c r="E19" s="431"/>
      <c r="F19" s="431"/>
      <c r="G19" s="432"/>
      <c r="H19" s="5"/>
      <c r="I19" s="5"/>
      <c r="J19" s="5"/>
      <c r="K19" s="5"/>
      <c r="L19" s="5"/>
      <c r="M19" s="5"/>
      <c r="N19" s="5"/>
      <c r="O19" s="5"/>
      <c r="P19" s="5"/>
    </row>
    <row r="20" spans="2:16" x14ac:dyDescent="0.3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x14ac:dyDescent="0.3">
      <c r="B21" s="458" t="s">
        <v>64</v>
      </c>
      <c r="C21" s="460"/>
      <c r="E21" s="214" t="s">
        <v>25</v>
      </c>
      <c r="F21" s="215" t="s">
        <v>26</v>
      </c>
      <c r="G21" s="215" t="s">
        <v>27</v>
      </c>
      <c r="H21" s="215" t="s">
        <v>28</v>
      </c>
      <c r="I21" s="215" t="s">
        <v>29</v>
      </c>
      <c r="J21" s="215" t="s">
        <v>30</v>
      </c>
      <c r="K21" s="215" t="s">
        <v>31</v>
      </c>
      <c r="L21" s="215" t="s">
        <v>32</v>
      </c>
      <c r="M21" s="215" t="s">
        <v>33</v>
      </c>
      <c r="N21" s="215" t="s">
        <v>34</v>
      </c>
      <c r="O21" s="215" t="s">
        <v>35</v>
      </c>
      <c r="P21" s="216" t="s">
        <v>36</v>
      </c>
    </row>
    <row r="22" spans="2:16" x14ac:dyDescent="0.3">
      <c r="B22" s="15" t="s">
        <v>233</v>
      </c>
      <c r="C22" s="11"/>
      <c r="E22" s="38">
        <f>Calculations!E36</f>
        <v>0.58333333333333337</v>
      </c>
      <c r="F22" s="34">
        <f>Calculations!F36</f>
        <v>0.58333333333333337</v>
      </c>
      <c r="G22" s="34">
        <f>Calculations!G36</f>
        <v>0.91666666666666663</v>
      </c>
      <c r="H22" s="34">
        <f>Calculations!H36</f>
        <v>1</v>
      </c>
      <c r="I22" s="34">
        <f>Calculations!I36</f>
        <v>1</v>
      </c>
      <c r="J22" s="34">
        <f>Calculations!J36</f>
        <v>1</v>
      </c>
      <c r="K22" s="34">
        <f>Calculations!K36</f>
        <v>1</v>
      </c>
      <c r="L22" s="34">
        <f>Calculations!L36</f>
        <v>1</v>
      </c>
      <c r="M22" s="34">
        <f>Calculations!M36</f>
        <v>0.66666666666666663</v>
      </c>
      <c r="N22" s="34">
        <f>Calculations!N36</f>
        <v>1</v>
      </c>
      <c r="O22" s="34">
        <f>Calculations!O36</f>
        <v>1</v>
      </c>
      <c r="P22" s="39">
        <f>Calculations!P36</f>
        <v>1</v>
      </c>
    </row>
    <row r="23" spans="2:16" x14ac:dyDescent="0.3">
      <c r="B23" s="15" t="s">
        <v>234</v>
      </c>
      <c r="C23" s="11"/>
      <c r="E23" s="40">
        <f>Calculations!E37</f>
        <v>0.66666666666666663</v>
      </c>
      <c r="F23" s="35">
        <f>Calculations!F37</f>
        <v>0.66666666666666663</v>
      </c>
      <c r="G23" s="35">
        <f>Calculations!G37</f>
        <v>0.66666666666666663</v>
      </c>
      <c r="H23" s="35">
        <f>Calculations!H37</f>
        <v>1</v>
      </c>
      <c r="I23" s="35">
        <f>Calculations!I37</f>
        <v>1</v>
      </c>
      <c r="J23" s="35">
        <f>Calculations!J37</f>
        <v>1</v>
      </c>
      <c r="K23" s="35">
        <f>Calculations!K37</f>
        <v>1</v>
      </c>
      <c r="L23" s="35">
        <f>Calculations!L37</f>
        <v>1</v>
      </c>
      <c r="M23" s="35">
        <f>Calculations!M37</f>
        <v>0.66666666666666663</v>
      </c>
      <c r="N23" s="35">
        <f>Calculations!N37</f>
        <v>1</v>
      </c>
      <c r="O23" s="35">
        <f>Calculations!O37</f>
        <v>1</v>
      </c>
      <c r="P23" s="41">
        <f>Calculations!P37</f>
        <v>1</v>
      </c>
    </row>
    <row r="24" spans="2:16" x14ac:dyDescent="0.3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x14ac:dyDescent="0.3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x14ac:dyDescent="0.3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x14ac:dyDescent="0.3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x14ac:dyDescent="0.3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x14ac:dyDescent="0.3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x14ac:dyDescent="0.3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</sheetData>
  <mergeCells count="10">
    <mergeCell ref="B21:C21"/>
    <mergeCell ref="B16:C16"/>
    <mergeCell ref="B2:G2"/>
    <mergeCell ref="B6:G6"/>
    <mergeCell ref="B14:G14"/>
    <mergeCell ref="B19:G19"/>
    <mergeCell ref="B9:C9"/>
    <mergeCell ref="B10:C10"/>
    <mergeCell ref="B11:C11"/>
    <mergeCell ref="B12:C12"/>
  </mergeCells>
  <phoneticPr fontId="7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514D8-2720-4BB1-81B2-2B35C4DE18E8}">
  <sheetPr codeName="Sheet20"/>
  <dimension ref="B5:P67"/>
  <sheetViews>
    <sheetView topLeftCell="A19" workbookViewId="0">
      <selection activeCell="D59" sqref="D59"/>
    </sheetView>
  </sheetViews>
  <sheetFormatPr defaultRowHeight="14.4" x14ac:dyDescent="0.3"/>
  <cols>
    <col min="2" max="2" width="23.5546875" customWidth="1"/>
    <col min="3" max="3" width="9.5546875" customWidth="1"/>
  </cols>
  <sheetData>
    <row r="5" spans="2:15" x14ac:dyDescent="0.3">
      <c r="B5" s="147" t="s">
        <v>262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2:15" x14ac:dyDescent="0.3">
      <c r="B6" s="236" t="s">
        <v>64</v>
      </c>
      <c r="C6" s="236"/>
      <c r="D6" s="237" t="s">
        <v>25</v>
      </c>
      <c r="E6" s="237" t="s">
        <v>26</v>
      </c>
      <c r="F6" s="237" t="s">
        <v>27</v>
      </c>
      <c r="G6" s="237" t="s">
        <v>28</v>
      </c>
      <c r="H6" s="237" t="s">
        <v>29</v>
      </c>
      <c r="I6" s="237" t="s">
        <v>30</v>
      </c>
      <c r="J6" s="237" t="s">
        <v>31</v>
      </c>
      <c r="K6" s="237" t="s">
        <v>32</v>
      </c>
      <c r="L6" s="237" t="s">
        <v>33</v>
      </c>
      <c r="M6" s="237" t="s">
        <v>34</v>
      </c>
      <c r="N6" s="237" t="s">
        <v>35</v>
      </c>
      <c r="O6" s="237" t="s">
        <v>36</v>
      </c>
    </row>
    <row r="7" spans="2:15" x14ac:dyDescent="0.3">
      <c r="B7" t="s">
        <v>65</v>
      </c>
      <c r="D7" s="5">
        <v>82</v>
      </c>
      <c r="E7" s="5">
        <v>88</v>
      </c>
      <c r="F7" s="5">
        <v>90</v>
      </c>
      <c r="G7" s="5">
        <v>90</v>
      </c>
      <c r="H7" s="5">
        <v>90</v>
      </c>
      <c r="I7" s="5">
        <v>90</v>
      </c>
      <c r="J7" s="5">
        <v>90</v>
      </c>
      <c r="K7" s="5">
        <v>90</v>
      </c>
      <c r="L7" s="5">
        <v>90</v>
      </c>
      <c r="M7" s="5">
        <v>90</v>
      </c>
      <c r="N7" s="5">
        <v>90</v>
      </c>
      <c r="O7" s="5">
        <v>90</v>
      </c>
    </row>
    <row r="8" spans="2:15" x14ac:dyDescent="0.3">
      <c r="B8" t="s">
        <v>66</v>
      </c>
      <c r="D8" s="5">
        <v>90</v>
      </c>
      <c r="E8" s="5">
        <v>90</v>
      </c>
      <c r="F8" s="5">
        <v>90</v>
      </c>
      <c r="G8" s="5">
        <v>90</v>
      </c>
      <c r="H8" s="5">
        <v>90</v>
      </c>
      <c r="I8" s="5">
        <v>90</v>
      </c>
      <c r="J8" s="5">
        <v>90</v>
      </c>
      <c r="K8" s="5">
        <v>90</v>
      </c>
      <c r="L8" s="5">
        <v>90</v>
      </c>
      <c r="M8" s="5">
        <v>90</v>
      </c>
      <c r="N8" s="5">
        <v>90</v>
      </c>
      <c r="O8" s="5">
        <v>90</v>
      </c>
    </row>
    <row r="9" spans="2:15" x14ac:dyDescent="0.3">
      <c r="B9" t="s">
        <v>1</v>
      </c>
      <c r="D9" s="5">
        <v>90</v>
      </c>
      <c r="E9" s="5">
        <v>90</v>
      </c>
      <c r="F9" s="5">
        <v>90</v>
      </c>
      <c r="G9" s="5">
        <v>90</v>
      </c>
      <c r="H9" s="5">
        <v>90</v>
      </c>
      <c r="I9" s="5">
        <v>90</v>
      </c>
      <c r="J9" s="5">
        <v>90</v>
      </c>
      <c r="K9" s="5">
        <v>90</v>
      </c>
      <c r="L9" s="5">
        <v>90</v>
      </c>
      <c r="M9" s="5">
        <v>90</v>
      </c>
      <c r="N9" s="5">
        <v>90</v>
      </c>
      <c r="O9" s="5">
        <v>90</v>
      </c>
    </row>
    <row r="11" spans="2:15" x14ac:dyDescent="0.3">
      <c r="B11" s="147" t="s">
        <v>263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</row>
    <row r="12" spans="2:15" x14ac:dyDescent="0.3">
      <c r="B12" s="236" t="s">
        <v>64</v>
      </c>
      <c r="C12" s="236"/>
      <c r="D12" s="237" t="s">
        <v>25</v>
      </c>
      <c r="E12" s="237" t="s">
        <v>26</v>
      </c>
      <c r="F12" s="237" t="s">
        <v>27</v>
      </c>
      <c r="G12" s="237" t="s">
        <v>28</v>
      </c>
      <c r="H12" s="237" t="s">
        <v>29</v>
      </c>
      <c r="I12" s="237" t="s">
        <v>30</v>
      </c>
      <c r="J12" s="237" t="s">
        <v>31</v>
      </c>
      <c r="K12" s="237" t="s">
        <v>32</v>
      </c>
      <c r="L12" s="237" t="s">
        <v>33</v>
      </c>
      <c r="M12" s="237" t="s">
        <v>34</v>
      </c>
      <c r="N12" s="237" t="s">
        <v>35</v>
      </c>
      <c r="O12" s="237" t="s">
        <v>36</v>
      </c>
    </row>
    <row r="13" spans="2:15" x14ac:dyDescent="0.3">
      <c r="B13" t="s">
        <v>65</v>
      </c>
      <c r="D13" s="5">
        <v>90</v>
      </c>
      <c r="E13" s="5">
        <v>90</v>
      </c>
      <c r="F13" s="5">
        <v>90</v>
      </c>
      <c r="G13" s="5">
        <v>90</v>
      </c>
      <c r="H13" s="5">
        <v>90</v>
      </c>
      <c r="I13" s="5">
        <v>90</v>
      </c>
      <c r="J13" s="5">
        <v>90</v>
      </c>
      <c r="K13" s="5">
        <v>90</v>
      </c>
      <c r="L13" s="5">
        <v>90</v>
      </c>
      <c r="M13" s="5">
        <v>90</v>
      </c>
      <c r="N13" s="5">
        <v>90</v>
      </c>
      <c r="O13" s="5">
        <v>90</v>
      </c>
    </row>
    <row r="14" spans="2:15" x14ac:dyDescent="0.3">
      <c r="B14" t="s">
        <v>66</v>
      </c>
      <c r="D14" s="5">
        <v>65</v>
      </c>
      <c r="E14" s="5">
        <v>65</v>
      </c>
      <c r="F14" s="5">
        <v>65</v>
      </c>
      <c r="G14" s="5">
        <v>70</v>
      </c>
      <c r="H14" s="5">
        <v>70</v>
      </c>
      <c r="I14" s="5">
        <v>70</v>
      </c>
      <c r="J14" s="5">
        <v>80</v>
      </c>
      <c r="K14" s="5">
        <v>80</v>
      </c>
      <c r="L14" s="5">
        <v>80</v>
      </c>
      <c r="M14" s="5">
        <v>80</v>
      </c>
      <c r="N14" s="5">
        <v>80</v>
      </c>
      <c r="O14" s="5">
        <v>90</v>
      </c>
    </row>
    <row r="15" spans="2:15" x14ac:dyDescent="0.3">
      <c r="B15" t="s">
        <v>1</v>
      </c>
      <c r="D15" s="5">
        <v>35</v>
      </c>
      <c r="E15" s="5">
        <v>35</v>
      </c>
      <c r="F15" s="5">
        <v>35</v>
      </c>
      <c r="G15" s="5">
        <v>35</v>
      </c>
      <c r="H15" s="5">
        <v>40</v>
      </c>
      <c r="I15" s="5">
        <v>40</v>
      </c>
      <c r="J15" s="5">
        <v>40</v>
      </c>
      <c r="K15" s="5">
        <v>45</v>
      </c>
      <c r="L15" s="5">
        <v>45</v>
      </c>
      <c r="M15" s="5">
        <v>45</v>
      </c>
      <c r="N15" s="5">
        <v>45</v>
      </c>
      <c r="O15" s="5">
        <v>45</v>
      </c>
    </row>
    <row r="17" spans="2:16" x14ac:dyDescent="0.3">
      <c r="B17" s="147" t="s">
        <v>264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</row>
    <row r="18" spans="2:16" x14ac:dyDescent="0.3">
      <c r="B18" s="236" t="s">
        <v>64</v>
      </c>
      <c r="C18" s="236"/>
      <c r="D18" s="237" t="s">
        <v>25</v>
      </c>
      <c r="E18" s="237" t="s">
        <v>26</v>
      </c>
      <c r="F18" s="237" t="s">
        <v>27</v>
      </c>
      <c r="G18" s="237" t="s">
        <v>28</v>
      </c>
      <c r="H18" s="237" t="s">
        <v>29</v>
      </c>
      <c r="I18" s="237" t="s">
        <v>30</v>
      </c>
      <c r="J18" s="237" t="s">
        <v>31</v>
      </c>
      <c r="K18" s="237" t="s">
        <v>32</v>
      </c>
      <c r="L18" s="237" t="s">
        <v>33</v>
      </c>
      <c r="M18" s="237" t="s">
        <v>34</v>
      </c>
      <c r="N18" s="237" t="s">
        <v>35</v>
      </c>
      <c r="O18" s="237" t="s">
        <v>36</v>
      </c>
    </row>
    <row r="19" spans="2:16" x14ac:dyDescent="0.3">
      <c r="B19" t="s">
        <v>65</v>
      </c>
      <c r="D19" s="10">
        <f>D7/D13</f>
        <v>0.91111111111111109</v>
      </c>
      <c r="E19" s="10">
        <f t="shared" ref="E19:O19" si="0">E7/E13</f>
        <v>0.97777777777777775</v>
      </c>
      <c r="F19" s="10">
        <f t="shared" si="0"/>
        <v>1</v>
      </c>
      <c r="G19" s="10">
        <f t="shared" si="0"/>
        <v>1</v>
      </c>
      <c r="H19" s="10">
        <f t="shared" si="0"/>
        <v>1</v>
      </c>
      <c r="I19" s="10">
        <f t="shared" si="0"/>
        <v>1</v>
      </c>
      <c r="J19" s="10">
        <f t="shared" si="0"/>
        <v>1</v>
      </c>
      <c r="K19" s="10">
        <f t="shared" si="0"/>
        <v>1</v>
      </c>
      <c r="L19" s="10">
        <f t="shared" si="0"/>
        <v>1</v>
      </c>
      <c r="M19" s="10">
        <f t="shared" si="0"/>
        <v>1</v>
      </c>
      <c r="N19" s="10">
        <f t="shared" si="0"/>
        <v>1</v>
      </c>
      <c r="O19" s="10">
        <f t="shared" si="0"/>
        <v>1</v>
      </c>
    </row>
    <row r="20" spans="2:16" x14ac:dyDescent="0.3">
      <c r="B20" t="s">
        <v>66</v>
      </c>
      <c r="D20" s="10">
        <f>D14/D8</f>
        <v>0.72222222222222221</v>
      </c>
      <c r="E20" s="10">
        <f t="shared" ref="E20:O20" si="1">E14/E8</f>
        <v>0.72222222222222221</v>
      </c>
      <c r="F20" s="10">
        <f t="shared" si="1"/>
        <v>0.72222222222222221</v>
      </c>
      <c r="G20" s="10">
        <f t="shared" si="1"/>
        <v>0.77777777777777779</v>
      </c>
      <c r="H20" s="10">
        <f t="shared" si="1"/>
        <v>0.77777777777777779</v>
      </c>
      <c r="I20" s="10">
        <f t="shared" si="1"/>
        <v>0.77777777777777779</v>
      </c>
      <c r="J20" s="10">
        <f t="shared" si="1"/>
        <v>0.88888888888888884</v>
      </c>
      <c r="K20" s="10">
        <f t="shared" si="1"/>
        <v>0.88888888888888884</v>
      </c>
      <c r="L20" s="10">
        <f t="shared" si="1"/>
        <v>0.88888888888888884</v>
      </c>
      <c r="M20" s="10">
        <f t="shared" si="1"/>
        <v>0.88888888888888884</v>
      </c>
      <c r="N20" s="10">
        <f t="shared" si="1"/>
        <v>0.88888888888888884</v>
      </c>
      <c r="O20" s="10">
        <f t="shared" si="1"/>
        <v>1</v>
      </c>
    </row>
    <row r="21" spans="2:16" x14ac:dyDescent="0.3">
      <c r="B21" t="s">
        <v>1</v>
      </c>
      <c r="D21" s="10">
        <f>D15/D9</f>
        <v>0.3888888888888889</v>
      </c>
      <c r="E21" s="10">
        <f t="shared" ref="E21:O21" si="2">E15/E9</f>
        <v>0.3888888888888889</v>
      </c>
      <c r="F21" s="10">
        <f t="shared" si="2"/>
        <v>0.3888888888888889</v>
      </c>
      <c r="G21" s="10">
        <f t="shared" si="2"/>
        <v>0.3888888888888889</v>
      </c>
      <c r="H21" s="10">
        <f t="shared" si="2"/>
        <v>0.44444444444444442</v>
      </c>
      <c r="I21" s="10">
        <f t="shared" si="2"/>
        <v>0.44444444444444442</v>
      </c>
      <c r="J21" s="10">
        <f t="shared" si="2"/>
        <v>0.44444444444444442</v>
      </c>
      <c r="K21" s="10">
        <f t="shared" si="2"/>
        <v>0.5</v>
      </c>
      <c r="L21" s="10">
        <f t="shared" si="2"/>
        <v>0.5</v>
      </c>
      <c r="M21" s="10">
        <f t="shared" si="2"/>
        <v>0.5</v>
      </c>
      <c r="N21" s="10">
        <f t="shared" si="2"/>
        <v>0.5</v>
      </c>
      <c r="O21" s="10">
        <f t="shared" si="2"/>
        <v>0.5</v>
      </c>
    </row>
    <row r="25" spans="2:16" ht="18" x14ac:dyDescent="0.35">
      <c r="B25" s="503" t="s">
        <v>68</v>
      </c>
      <c r="C25" s="503"/>
      <c r="D25" s="503"/>
      <c r="E25" s="503"/>
      <c r="F25" s="503"/>
      <c r="G25" s="503"/>
      <c r="H25" s="5"/>
      <c r="I25" s="5"/>
      <c r="J25" s="5"/>
      <c r="K25" s="5"/>
      <c r="L25" s="5"/>
      <c r="M25" s="5"/>
      <c r="N25" s="5"/>
      <c r="O25" s="5"/>
      <c r="P25" s="5"/>
    </row>
    <row r="26" spans="2:16" x14ac:dyDescent="0.3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x14ac:dyDescent="0.3">
      <c r="B27" s="173" t="s">
        <v>214</v>
      </c>
      <c r="C27" s="173" t="s">
        <v>64</v>
      </c>
      <c r="D27" s="173"/>
      <c r="E27" s="196" t="s">
        <v>25</v>
      </c>
      <c r="F27" s="196" t="s">
        <v>26</v>
      </c>
      <c r="G27" s="196" t="s">
        <v>27</v>
      </c>
      <c r="H27" s="196" t="s">
        <v>28</v>
      </c>
      <c r="I27" s="196" t="s">
        <v>29</v>
      </c>
      <c r="J27" s="196" t="s">
        <v>30</v>
      </c>
      <c r="K27" s="196" t="s">
        <v>31</v>
      </c>
      <c r="L27" s="196" t="s">
        <v>32</v>
      </c>
      <c r="M27" s="196" t="s">
        <v>33</v>
      </c>
      <c r="N27" s="196" t="s">
        <v>34</v>
      </c>
      <c r="O27" s="196" t="s">
        <v>35</v>
      </c>
      <c r="P27" s="196" t="s">
        <v>36</v>
      </c>
    </row>
    <row r="28" spans="2:16" x14ac:dyDescent="0.3">
      <c r="B28" s="16" t="s">
        <v>233</v>
      </c>
      <c r="E28" s="5">
        <v>60</v>
      </c>
      <c r="F28" s="5">
        <v>60</v>
      </c>
      <c r="G28" s="5">
        <v>60</v>
      </c>
      <c r="H28" s="5">
        <v>60</v>
      </c>
      <c r="I28" s="5">
        <v>60</v>
      </c>
      <c r="J28" s="5">
        <v>60</v>
      </c>
      <c r="K28" s="5">
        <v>60</v>
      </c>
      <c r="L28" s="5">
        <v>60</v>
      </c>
      <c r="M28" s="5">
        <v>60</v>
      </c>
      <c r="N28" s="5">
        <v>60</v>
      </c>
      <c r="O28" s="5">
        <v>60</v>
      </c>
      <c r="P28" s="5">
        <v>60</v>
      </c>
    </row>
    <row r="29" spans="2:16" x14ac:dyDescent="0.3">
      <c r="B29" s="16" t="s">
        <v>234</v>
      </c>
      <c r="E29" s="5">
        <v>30</v>
      </c>
      <c r="F29" s="5">
        <v>30</v>
      </c>
      <c r="G29" s="5">
        <v>30</v>
      </c>
      <c r="H29" s="5">
        <v>30</v>
      </c>
      <c r="I29" s="5">
        <v>30</v>
      </c>
      <c r="J29" s="5">
        <v>30</v>
      </c>
      <c r="K29" s="5">
        <v>30</v>
      </c>
      <c r="L29" s="5">
        <v>30</v>
      </c>
      <c r="M29" s="5">
        <v>30</v>
      </c>
      <c r="N29" s="5">
        <v>30</v>
      </c>
      <c r="O29" s="5">
        <v>30</v>
      </c>
      <c r="P29" s="5">
        <v>30</v>
      </c>
    </row>
    <row r="31" spans="2:16" x14ac:dyDescent="0.3">
      <c r="B31" s="173" t="s">
        <v>93</v>
      </c>
      <c r="C31" s="173" t="s">
        <v>64</v>
      </c>
      <c r="D31" s="173"/>
      <c r="E31" s="196" t="s">
        <v>25</v>
      </c>
      <c r="F31" s="196" t="s">
        <v>26</v>
      </c>
      <c r="G31" s="196" t="s">
        <v>27</v>
      </c>
      <c r="H31" s="196" t="s">
        <v>28</v>
      </c>
      <c r="I31" s="196" t="s">
        <v>29</v>
      </c>
      <c r="J31" s="196" t="s">
        <v>30</v>
      </c>
      <c r="K31" s="196" t="s">
        <v>31</v>
      </c>
      <c r="L31" s="196" t="s">
        <v>32</v>
      </c>
      <c r="M31" s="196" t="s">
        <v>33</v>
      </c>
      <c r="N31" s="196" t="s">
        <v>34</v>
      </c>
      <c r="O31" s="196" t="s">
        <v>35</v>
      </c>
      <c r="P31" s="196" t="s">
        <v>36</v>
      </c>
    </row>
    <row r="32" spans="2:16" x14ac:dyDescent="0.3">
      <c r="B32" s="16" t="s">
        <v>233</v>
      </c>
      <c r="E32" s="5">
        <v>35</v>
      </c>
      <c r="F32" s="5">
        <v>35</v>
      </c>
      <c r="G32" s="5">
        <v>55</v>
      </c>
      <c r="H32" s="5">
        <v>60</v>
      </c>
      <c r="I32" s="5">
        <v>60</v>
      </c>
      <c r="J32" s="5">
        <v>60</v>
      </c>
      <c r="K32" s="5">
        <v>60</v>
      </c>
      <c r="L32" s="5">
        <v>60</v>
      </c>
      <c r="M32" s="5">
        <v>40</v>
      </c>
      <c r="N32" s="5">
        <v>60</v>
      </c>
      <c r="O32" s="5">
        <v>60</v>
      </c>
      <c r="P32" s="5">
        <v>60</v>
      </c>
    </row>
    <row r="33" spans="2:16" x14ac:dyDescent="0.3">
      <c r="B33" s="16" t="s">
        <v>234</v>
      </c>
      <c r="E33" s="5">
        <v>20</v>
      </c>
      <c r="F33" s="5">
        <v>20</v>
      </c>
      <c r="G33" s="5">
        <v>20</v>
      </c>
      <c r="H33" s="5">
        <v>30</v>
      </c>
      <c r="I33" s="5">
        <v>30</v>
      </c>
      <c r="J33" s="5">
        <v>30</v>
      </c>
      <c r="K33" s="5">
        <v>30</v>
      </c>
      <c r="L33" s="5">
        <v>30</v>
      </c>
      <c r="M33" s="5">
        <v>20</v>
      </c>
      <c r="N33" s="5">
        <v>30</v>
      </c>
      <c r="O33" s="5">
        <v>30</v>
      </c>
      <c r="P33" s="5">
        <v>30</v>
      </c>
    </row>
    <row r="35" spans="2:16" x14ac:dyDescent="0.3">
      <c r="B35" s="147"/>
      <c r="C35" s="173" t="s">
        <v>64</v>
      </c>
      <c r="D35" s="173"/>
      <c r="E35" s="196" t="s">
        <v>25</v>
      </c>
      <c r="F35" s="196" t="s">
        <v>26</v>
      </c>
      <c r="G35" s="196" t="s">
        <v>27</v>
      </c>
      <c r="H35" s="196" t="s">
        <v>28</v>
      </c>
      <c r="I35" s="196" t="s">
        <v>29</v>
      </c>
      <c r="J35" s="196" t="s">
        <v>30</v>
      </c>
      <c r="K35" s="196" t="s">
        <v>31</v>
      </c>
      <c r="L35" s="196" t="s">
        <v>32</v>
      </c>
      <c r="M35" s="196" t="s">
        <v>33</v>
      </c>
      <c r="N35" s="196" t="s">
        <v>34</v>
      </c>
      <c r="O35" s="196" t="s">
        <v>35</v>
      </c>
      <c r="P35" s="196" t="s">
        <v>36</v>
      </c>
    </row>
    <row r="36" spans="2:16" x14ac:dyDescent="0.3">
      <c r="B36" s="16" t="s">
        <v>233</v>
      </c>
      <c r="E36" s="6">
        <f>E32/E28</f>
        <v>0.58333333333333337</v>
      </c>
      <c r="F36" s="6">
        <f t="shared" ref="F36:P36" si="3">F32/F28</f>
        <v>0.58333333333333337</v>
      </c>
      <c r="G36" s="6">
        <f t="shared" si="3"/>
        <v>0.91666666666666663</v>
      </c>
      <c r="H36" s="6">
        <f t="shared" si="3"/>
        <v>1</v>
      </c>
      <c r="I36" s="6">
        <f t="shared" si="3"/>
        <v>1</v>
      </c>
      <c r="J36" s="6">
        <f t="shared" si="3"/>
        <v>1</v>
      </c>
      <c r="K36" s="6">
        <f t="shared" si="3"/>
        <v>1</v>
      </c>
      <c r="L36" s="6">
        <f t="shared" si="3"/>
        <v>1</v>
      </c>
      <c r="M36" s="6">
        <f t="shared" si="3"/>
        <v>0.66666666666666663</v>
      </c>
      <c r="N36" s="6">
        <f t="shared" si="3"/>
        <v>1</v>
      </c>
      <c r="O36" s="6">
        <f t="shared" si="3"/>
        <v>1</v>
      </c>
      <c r="P36" s="6">
        <f t="shared" si="3"/>
        <v>1</v>
      </c>
    </row>
    <row r="37" spans="2:16" x14ac:dyDescent="0.3">
      <c r="B37" s="16" t="s">
        <v>234</v>
      </c>
      <c r="E37" s="6">
        <f>E33/E29</f>
        <v>0.66666666666666663</v>
      </c>
      <c r="F37" s="6">
        <f t="shared" ref="F37:P37" si="4">F33/F29</f>
        <v>0.66666666666666663</v>
      </c>
      <c r="G37" s="6">
        <f t="shared" si="4"/>
        <v>0.66666666666666663</v>
      </c>
      <c r="H37" s="6">
        <f t="shared" si="4"/>
        <v>1</v>
      </c>
      <c r="I37" s="6">
        <f t="shared" si="4"/>
        <v>1</v>
      </c>
      <c r="J37" s="6">
        <f t="shared" si="4"/>
        <v>1</v>
      </c>
      <c r="K37" s="6">
        <f t="shared" si="4"/>
        <v>1</v>
      </c>
      <c r="L37" s="6">
        <f t="shared" si="4"/>
        <v>1</v>
      </c>
      <c r="M37" s="6">
        <f t="shared" si="4"/>
        <v>0.66666666666666663</v>
      </c>
      <c r="N37" s="6">
        <f t="shared" si="4"/>
        <v>1</v>
      </c>
      <c r="O37" s="6">
        <f t="shared" si="4"/>
        <v>1</v>
      </c>
      <c r="P37" s="6">
        <f t="shared" si="4"/>
        <v>1</v>
      </c>
    </row>
    <row r="42" spans="2:16" x14ac:dyDescent="0.3">
      <c r="B42" s="343" t="s">
        <v>288</v>
      </c>
    </row>
    <row r="43" spans="2:16" x14ac:dyDescent="0.3">
      <c r="B43" s="136" t="s">
        <v>274</v>
      </c>
      <c r="C43" s="321">
        <f>'IS 2023'!U14</f>
        <v>11663.333333333334</v>
      </c>
      <c r="D43" s="194">
        <f>'IS 2024'!U14</f>
        <v>12160</v>
      </c>
      <c r="E43" s="194">
        <f>'IS 2025'!U14</f>
        <v>12160</v>
      </c>
      <c r="F43" s="194">
        <f>'IS 2026'!U14</f>
        <v>12160</v>
      </c>
      <c r="G43" s="194">
        <f>'IS 2027'!U14</f>
        <v>12036.25</v>
      </c>
    </row>
    <row r="44" spans="2:16" x14ac:dyDescent="0.3">
      <c r="B44" s="136" t="s">
        <v>295</v>
      </c>
      <c r="C44" s="333">
        <f>'IS 2023'!U15</f>
        <v>15000</v>
      </c>
      <c r="D44" s="194">
        <f>'IS 2024'!U15</f>
        <v>15000</v>
      </c>
      <c r="E44" s="194">
        <f>'IS 2025'!U15</f>
        <v>15000</v>
      </c>
      <c r="F44" s="194">
        <f>'IS 2026'!U15</f>
        <v>15000</v>
      </c>
      <c r="G44" s="194">
        <f>'IS 2027'!U15</f>
        <v>15000</v>
      </c>
    </row>
    <row r="45" spans="2:16" x14ac:dyDescent="0.3">
      <c r="B45" s="136" t="s">
        <v>273</v>
      </c>
      <c r="C45" s="332">
        <f>'IS 2023'!U16</f>
        <v>0.77755555555555567</v>
      </c>
      <c r="D45" s="6">
        <f>'IS 2024'!U16</f>
        <v>0.81066666666666676</v>
      </c>
      <c r="E45" s="6">
        <f>'IS 2025'!U16</f>
        <v>0.81066666666666676</v>
      </c>
      <c r="F45" s="6">
        <f>'IS 2026'!U16</f>
        <v>0.81066666666666676</v>
      </c>
      <c r="G45" s="6">
        <f>'IS 2027'!U16</f>
        <v>0.80241666666666667</v>
      </c>
    </row>
    <row r="46" spans="2:16" x14ac:dyDescent="0.3">
      <c r="B46" t="s">
        <v>287</v>
      </c>
      <c r="C46" s="332"/>
      <c r="D46" s="6"/>
      <c r="E46" s="6"/>
      <c r="F46" s="6"/>
      <c r="G46" s="6"/>
    </row>
    <row r="47" spans="2:16" x14ac:dyDescent="0.3">
      <c r="B47" s="136" t="s">
        <v>274</v>
      </c>
      <c r="C47" s="321">
        <f>'IS 2023'!U22</f>
        <v>18373</v>
      </c>
      <c r="D47" s="194">
        <f>'IS 2024'!U22</f>
        <v>18373</v>
      </c>
      <c r="E47" s="194">
        <f>'IS 2025'!U22</f>
        <v>18373</v>
      </c>
      <c r="F47" s="194">
        <f>'IS 2026'!U22</f>
        <v>18373</v>
      </c>
      <c r="G47" s="194">
        <f>'IS 2027'!U22</f>
        <v>19498.833333333332</v>
      </c>
    </row>
    <row r="48" spans="2:16" x14ac:dyDescent="0.3">
      <c r="B48" s="136" t="s">
        <v>295</v>
      </c>
      <c r="C48" s="333">
        <f>'IS 2023'!U23</f>
        <v>20266.666666666668</v>
      </c>
      <c r="D48" s="194">
        <f>'IS 2024'!U23</f>
        <v>20266.666666666668</v>
      </c>
      <c r="E48" s="194">
        <f>'IS 2025'!U23</f>
        <v>20266.666666666668</v>
      </c>
      <c r="F48" s="194">
        <f>'IS 2026'!U23</f>
        <v>20266.666666666668</v>
      </c>
      <c r="G48" s="194">
        <f>'IS 2027'!U23</f>
        <v>20916.666666666668</v>
      </c>
    </row>
    <row r="49" spans="2:10" x14ac:dyDescent="0.3">
      <c r="B49" s="136" t="s">
        <v>273</v>
      </c>
      <c r="C49" s="322">
        <f>'IS 2023'!U24</f>
        <v>0.8897656349206351</v>
      </c>
      <c r="D49" s="6">
        <f>'IS 2024'!U24</f>
        <v>0.8897656349206351</v>
      </c>
      <c r="E49" s="6">
        <f>'IS 2025'!U24</f>
        <v>0.8897656349206351</v>
      </c>
      <c r="F49" s="6">
        <f>'IS 2026'!U24</f>
        <v>0.8897656349206351</v>
      </c>
      <c r="G49" s="6">
        <f>'IS 2027'!U24</f>
        <v>0.91963412698412716</v>
      </c>
    </row>
    <row r="50" spans="2:10" x14ac:dyDescent="0.3">
      <c r="B50" t="s">
        <v>286</v>
      </c>
      <c r="C50" s="322"/>
      <c r="D50" s="6"/>
      <c r="E50" s="6"/>
      <c r="F50" s="6"/>
      <c r="G50" s="6"/>
    </row>
    <row r="51" spans="2:10" x14ac:dyDescent="0.3">
      <c r="B51" s="136" t="s">
        <v>274</v>
      </c>
      <c r="C51" s="321">
        <f>'IS 2023'!U30</f>
        <v>18896.599999999999</v>
      </c>
      <c r="D51" s="194">
        <f>'IS 2024'!U30</f>
        <v>18896.599999999999</v>
      </c>
      <c r="E51" s="194">
        <f>'IS 2025'!U30</f>
        <v>18896.599999999999</v>
      </c>
      <c r="F51" s="194">
        <f>'IS 2026'!U30</f>
        <v>18896.599999999999</v>
      </c>
      <c r="G51" s="194">
        <f>'IS 2027'!U30</f>
        <v>20320</v>
      </c>
    </row>
    <row r="52" spans="2:10" x14ac:dyDescent="0.3">
      <c r="B52" s="136" t="s">
        <v>295</v>
      </c>
      <c r="C52" s="333">
        <f>'IS 2023'!U31</f>
        <v>22333.333333333332</v>
      </c>
      <c r="D52" s="194">
        <f>'IS 2024'!U31</f>
        <v>23666.666666666668</v>
      </c>
      <c r="E52" s="194">
        <f>'IS 2025'!U31</f>
        <v>23666.666666666668</v>
      </c>
      <c r="F52" s="194">
        <f>'IS 2026'!U31</f>
        <v>23666.666666666668</v>
      </c>
      <c r="G52" s="194">
        <f>'IS 2027'!U31</f>
        <v>23333.333333333332</v>
      </c>
    </row>
    <row r="53" spans="2:10" x14ac:dyDescent="0.3">
      <c r="B53" s="136" t="s">
        <v>273</v>
      </c>
      <c r="C53" s="322">
        <f>'IS 2023'!U32</f>
        <v>0.82747999999999999</v>
      </c>
      <c r="D53" s="6">
        <f>'IS 2024'!U32</f>
        <v>0.79167199999999993</v>
      </c>
      <c r="E53" s="6">
        <f>'IS 2025'!U32</f>
        <v>0.79167199999999993</v>
      </c>
      <c r="F53" s="6">
        <f>'IS 2026'!U32</f>
        <v>0.79167199999999993</v>
      </c>
      <c r="G53" s="6">
        <f>'IS 2027'!U32</f>
        <v>0.85755999999999999</v>
      </c>
    </row>
    <row r="54" spans="2:10" x14ac:dyDescent="0.3">
      <c r="C54" s="5">
        <v>2023</v>
      </c>
      <c r="D54" s="5">
        <v>2024</v>
      </c>
      <c r="E54" s="5">
        <v>2025</v>
      </c>
      <c r="F54" s="5">
        <v>2026</v>
      </c>
      <c r="G54" s="5">
        <v>2027</v>
      </c>
    </row>
    <row r="56" spans="2:10" ht="15" thickBot="1" x14ac:dyDescent="0.35">
      <c r="B56" s="504" t="e">
        <v>#REF!</v>
      </c>
      <c r="C56" s="505"/>
      <c r="D56" s="505"/>
      <c r="E56" s="505"/>
      <c r="F56" s="505"/>
      <c r="G56" s="505"/>
      <c r="H56" s="505"/>
      <c r="I56" s="505"/>
      <c r="J56" s="506"/>
    </row>
    <row r="57" spans="2:10" x14ac:dyDescent="0.3">
      <c r="B57" s="406" t="s">
        <v>300</v>
      </c>
      <c r="C57" s="406" t="s">
        <v>308</v>
      </c>
      <c r="D57" s="406" t="s">
        <v>309</v>
      </c>
      <c r="E57" s="406" t="s">
        <v>310</v>
      </c>
      <c r="F57" s="406" t="s">
        <v>311</v>
      </c>
      <c r="G57" s="406" t="s">
        <v>298</v>
      </c>
      <c r="H57" s="406" t="s">
        <v>301</v>
      </c>
      <c r="I57" s="406" t="s">
        <v>302</v>
      </c>
      <c r="J57" s="406" t="s">
        <v>299</v>
      </c>
    </row>
    <row r="58" spans="2:10" x14ac:dyDescent="0.3">
      <c r="B58" s="408">
        <v>2024</v>
      </c>
      <c r="C58" s="409">
        <v>11379</v>
      </c>
      <c r="D58" s="409">
        <v>-31480</v>
      </c>
      <c r="E58" s="409">
        <v>28389</v>
      </c>
      <c r="F58" s="409">
        <v>14846</v>
      </c>
      <c r="G58" s="407">
        <v>6</v>
      </c>
      <c r="H58" s="407" t="e">
        <v>#N/A</v>
      </c>
      <c r="I58" s="407">
        <v>1</v>
      </c>
      <c r="J58" s="407">
        <v>1</v>
      </c>
    </row>
    <row r="59" spans="2:10" x14ac:dyDescent="0.3">
      <c r="B59" s="408">
        <v>2025</v>
      </c>
      <c r="C59" s="409">
        <v>52263</v>
      </c>
      <c r="D59" s="409">
        <v>-4562</v>
      </c>
      <c r="E59" s="409">
        <v>35863</v>
      </c>
      <c r="F59" s="409">
        <v>19173</v>
      </c>
      <c r="G59" s="407">
        <v>5</v>
      </c>
      <c r="H59" s="407" t="e">
        <v>#N/A</v>
      </c>
      <c r="I59" s="407">
        <v>1</v>
      </c>
      <c r="J59" s="407">
        <v>1</v>
      </c>
    </row>
    <row r="60" spans="2:10" x14ac:dyDescent="0.3">
      <c r="B60" s="408">
        <v>2026</v>
      </c>
      <c r="C60" s="409">
        <v>100028</v>
      </c>
      <c r="D60" s="409">
        <v>26968</v>
      </c>
      <c r="E60" s="409">
        <v>44565</v>
      </c>
      <c r="F60" s="409">
        <v>24191</v>
      </c>
      <c r="G60" s="407">
        <v>4</v>
      </c>
      <c r="H60" s="407">
        <v>7</v>
      </c>
      <c r="I60" s="407">
        <v>1</v>
      </c>
      <c r="J60" s="407">
        <v>1</v>
      </c>
    </row>
    <row r="61" spans="2:10" x14ac:dyDescent="0.3">
      <c r="B61" s="408">
        <v>2027</v>
      </c>
      <c r="C61" s="409">
        <v>125840</v>
      </c>
      <c r="D61" s="409">
        <v>44467</v>
      </c>
      <c r="E61" s="409">
        <v>49318</v>
      </c>
      <c r="F61" s="409">
        <v>26712</v>
      </c>
      <c r="G61" s="407">
        <v>4</v>
      </c>
      <c r="H61" s="407">
        <v>6</v>
      </c>
      <c r="I61" s="407">
        <v>1</v>
      </c>
      <c r="J61" s="407">
        <v>1</v>
      </c>
    </row>
    <row r="62" spans="2:10" x14ac:dyDescent="0.3">
      <c r="B62" s="408">
        <v>2028</v>
      </c>
      <c r="C62" s="409">
        <v>139634</v>
      </c>
      <c r="D62" s="409">
        <v>53956</v>
      </c>
      <c r="E62" s="409">
        <v>51894</v>
      </c>
      <c r="F62" s="409">
        <v>28006</v>
      </c>
      <c r="G62" s="407">
        <v>3</v>
      </c>
      <c r="H62" s="407">
        <v>5</v>
      </c>
      <c r="I62" s="407">
        <v>1</v>
      </c>
      <c r="J62" s="407">
        <v>1</v>
      </c>
    </row>
    <row r="63" spans="2:10" x14ac:dyDescent="0.3">
      <c r="B63" s="408">
        <v>2029</v>
      </c>
      <c r="C63" s="409">
        <v>148781</v>
      </c>
      <c r="D63" s="409">
        <v>60295</v>
      </c>
      <c r="E63" s="409">
        <v>53615</v>
      </c>
      <c r="F63" s="409">
        <v>28848</v>
      </c>
      <c r="G63" s="407">
        <v>3</v>
      </c>
      <c r="H63" s="407">
        <v>5</v>
      </c>
      <c r="I63" s="407">
        <v>1</v>
      </c>
      <c r="J63" s="407">
        <v>1</v>
      </c>
    </row>
    <row r="64" spans="2:10" x14ac:dyDescent="0.3">
      <c r="B64" s="408">
        <v>2030</v>
      </c>
      <c r="C64" s="409">
        <v>154272</v>
      </c>
      <c r="D64" s="409">
        <v>64120</v>
      </c>
      <c r="E64" s="409">
        <v>54653</v>
      </c>
      <c r="F64" s="409">
        <v>29346</v>
      </c>
      <c r="G64" s="407">
        <v>3</v>
      </c>
      <c r="H64" s="407">
        <v>4</v>
      </c>
      <c r="I64" s="407">
        <v>1</v>
      </c>
      <c r="J64" s="407">
        <v>1</v>
      </c>
    </row>
    <row r="65" spans="2:10" x14ac:dyDescent="0.3">
      <c r="B65" s="408">
        <v>2031</v>
      </c>
      <c r="C65" s="409">
        <v>158650</v>
      </c>
      <c r="D65" s="409">
        <v>67181</v>
      </c>
      <c r="E65" s="409">
        <v>55484</v>
      </c>
      <c r="F65" s="409">
        <v>29740</v>
      </c>
      <c r="G65" s="407">
        <v>3</v>
      </c>
      <c r="H65" s="407">
        <v>4</v>
      </c>
      <c r="I65" s="407">
        <v>1</v>
      </c>
      <c r="J65" s="407">
        <v>1</v>
      </c>
    </row>
    <row r="66" spans="2:10" x14ac:dyDescent="0.3">
      <c r="B66" s="408">
        <v>2032</v>
      </c>
      <c r="C66" s="409">
        <v>163168</v>
      </c>
      <c r="D66" s="409">
        <v>70339</v>
      </c>
      <c r="E66" s="409">
        <v>56341</v>
      </c>
      <c r="F66" s="409">
        <v>30146</v>
      </c>
      <c r="G66" s="407">
        <v>3</v>
      </c>
      <c r="H66" s="407">
        <v>4</v>
      </c>
      <c r="I66" s="407">
        <v>1</v>
      </c>
      <c r="J66" s="407">
        <v>1</v>
      </c>
    </row>
    <row r="67" spans="2:10" x14ac:dyDescent="0.3">
      <c r="B67" s="408">
        <v>2033</v>
      </c>
      <c r="C67" s="409">
        <v>165913</v>
      </c>
      <c r="D67" s="409">
        <v>72262</v>
      </c>
      <c r="E67" s="409">
        <v>56863</v>
      </c>
      <c r="F67" s="409">
        <v>30392</v>
      </c>
      <c r="G67" s="407">
        <v>3</v>
      </c>
      <c r="H67" s="407">
        <v>4</v>
      </c>
      <c r="I67" s="407">
        <v>1</v>
      </c>
      <c r="J67" s="407">
        <v>1</v>
      </c>
    </row>
  </sheetData>
  <mergeCells count="2">
    <mergeCell ref="B25:G25"/>
    <mergeCell ref="B56:J56"/>
  </mergeCells>
  <phoneticPr fontId="7" type="noConversion"/>
  <pageMargins left="0.7" right="0.7" top="0.75" bottom="0.75" header="0.3" footer="0.3"/>
  <pageSetup paperSize="9" orientation="portrait" horizontalDpi="1200" verticalDpi="1200" r:id="rId1"/>
  <ignoredErrors>
    <ignoredError sqref="D20" formula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8105C-C12C-4E7D-B155-F1CCCBA0B537}">
  <dimension ref="A1"/>
  <sheetViews>
    <sheetView workbookViewId="0">
      <selection activeCell="A3" sqref="A3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IS 2023</vt:lpstr>
      <vt:lpstr>CF 2023</vt:lpstr>
      <vt:lpstr>BS 2023</vt:lpstr>
      <vt:lpstr>Statements Summary 2023</vt:lpstr>
      <vt:lpstr>Dashboard</vt:lpstr>
      <vt:lpstr>IS 2024</vt:lpstr>
      <vt:lpstr>CF 2024</vt:lpstr>
      <vt:lpstr>BS 2024</vt:lpstr>
      <vt:lpstr>Statements Summary 2024</vt:lpstr>
      <vt:lpstr>IS 2025</vt:lpstr>
      <vt:lpstr>CF 2025</vt:lpstr>
      <vt:lpstr>BS 2025</vt:lpstr>
      <vt:lpstr>Statements Summary 2025</vt:lpstr>
      <vt:lpstr>IS 2026</vt:lpstr>
      <vt:lpstr>CF 2026</vt:lpstr>
      <vt:lpstr>BS 2026</vt:lpstr>
      <vt:lpstr>Statements Summary 2026</vt:lpstr>
      <vt:lpstr>IS 2027</vt:lpstr>
      <vt:lpstr>CF 2027</vt:lpstr>
      <vt:lpstr>BS 2027</vt:lpstr>
      <vt:lpstr>Statements Summary 2027</vt:lpstr>
      <vt:lpstr>BEA</vt:lpstr>
      <vt:lpstr>Top Expenses</vt:lpstr>
      <vt:lpstr>Salaries Assumptions</vt:lpstr>
      <vt:lpstr>Services Assumptions </vt:lpstr>
      <vt:lpstr>COGS Assumptions</vt:lpstr>
      <vt:lpstr>Servcies Team Upselling %</vt:lpstr>
      <vt:lpstr>KPI Stage Financials</vt:lpstr>
      <vt:lpstr>KPI Spend</vt:lpstr>
      <vt:lpstr>Benchmarking Plan Over Time</vt:lpstr>
      <vt:lpstr>TimeData</vt:lpstr>
      <vt:lpstr>Unit Usage</vt:lpstr>
      <vt:lpstr>Calculations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Sharp</dc:creator>
  <cp:lastModifiedBy>Roger Sharp</cp:lastModifiedBy>
  <dcterms:created xsi:type="dcterms:W3CDTF">2023-11-23T10:27:01Z</dcterms:created>
  <dcterms:modified xsi:type="dcterms:W3CDTF">2024-04-22T09:52:32Z</dcterms:modified>
</cp:coreProperties>
</file>