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1.xml" ContentType="application/vnd.openxmlformats-officedocument.drawing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Solar Energy Solutions\Solar Farm 2\"/>
    </mc:Choice>
  </mc:AlternateContent>
  <xr:revisionPtr revIDLastSave="0" documentId="13_ncr:1_{F2597376-A88F-4960-BA1B-499660F1F00F}" xr6:coauthVersionLast="47" xr6:coauthVersionMax="47" xr10:uidLastSave="{00000000-0000-0000-0000-000000000000}"/>
  <bookViews>
    <workbookView xWindow="-108" yWindow="-108" windowWidth="23256" windowHeight="13896" tabRatio="934" xr2:uid="{152CE74B-ACBB-4039-8F2C-96E2E3436DFB}"/>
  </bookViews>
  <sheets>
    <sheet name="IS 2023" sheetId="23" r:id="rId1"/>
    <sheet name="CF 2023" sheetId="24" r:id="rId2"/>
    <sheet name="BS 2023" sheetId="25" r:id="rId3"/>
    <sheet name="Statements Summary 2023" sheetId="30" r:id="rId4"/>
    <sheet name="IS 2024" sheetId="26" r:id="rId5"/>
    <sheet name="CF 2024" sheetId="33" r:id="rId6"/>
    <sheet name="BS 2024" sheetId="40" r:id="rId7"/>
    <sheet name="Statements Summary 2024" sheetId="31" r:id="rId8"/>
    <sheet name="IS 2025" sheetId="27" r:id="rId9"/>
    <sheet name="CF 2025" sheetId="37" r:id="rId10"/>
    <sheet name="BS 2025" sheetId="41" r:id="rId11"/>
    <sheet name="Statements Summary 2025" sheetId="32" r:id="rId12"/>
    <sheet name="IS 2026" sheetId="28" r:id="rId13"/>
    <sheet name="CF 2026" sheetId="38" r:id="rId14"/>
    <sheet name="BS 2026" sheetId="42" r:id="rId15"/>
    <sheet name="Statements Summary 2026" sheetId="44" r:id="rId16"/>
    <sheet name="IS 2027" sheetId="29" r:id="rId17"/>
    <sheet name="CF 2027" sheetId="39" r:id="rId18"/>
    <sheet name="BS 2027" sheetId="43" r:id="rId19"/>
    <sheet name="Statements Summary 2027" sheetId="45" r:id="rId20"/>
    <sheet name="Array Revenues" sheetId="54" r:id="rId21"/>
    <sheet name="BEA" sheetId="3" r:id="rId22"/>
    <sheet name="Top Expenses" sheetId="9" r:id="rId23"/>
    <sheet name="Salaries Assumptions" sheetId="11" r:id="rId24"/>
    <sheet name="Services Assumptions " sheetId="47" r:id="rId25"/>
    <sheet name="COGS Assumptions" sheetId="48" r:id="rId26"/>
    <sheet name="Servcies Team Upselling %" sheetId="16" r:id="rId27"/>
    <sheet name="KPI Stage Financials" sheetId="17" r:id="rId28"/>
    <sheet name="KPI Spend" sheetId="15" r:id="rId29"/>
    <sheet name="Benchmarking Plan Over Time" sheetId="21" r:id="rId30"/>
    <sheet name="TimeData" sheetId="20" r:id="rId31"/>
    <sheet name="Unit Usage" sheetId="10" r:id="rId32"/>
    <sheet name="Calculations" sheetId="2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23" l="1"/>
  <c r="F45" i="23"/>
  <c r="F25" i="23"/>
  <c r="F44" i="28"/>
  <c r="U24" i="28"/>
  <c r="U24" i="27"/>
  <c r="O24" i="27"/>
  <c r="U29" i="27"/>
  <c r="U28" i="27"/>
  <c r="U27" i="27"/>
  <c r="U26" i="27"/>
  <c r="N27" i="42"/>
  <c r="O27" i="42" s="1"/>
  <c r="J27" i="42"/>
  <c r="K27" i="42" s="1"/>
  <c r="L27" i="42" s="1"/>
  <c r="M27" i="42" s="1"/>
  <c r="I27" i="42"/>
  <c r="G27" i="42"/>
  <c r="H27" i="42"/>
  <c r="F27" i="42"/>
  <c r="Q27" i="41"/>
  <c r="R27" i="41" s="1"/>
  <c r="S27" i="41" s="1"/>
  <c r="T27" i="41" s="1"/>
  <c r="J27" i="41"/>
  <c r="K27" i="41" s="1"/>
  <c r="L27" i="41" s="1"/>
  <c r="M27" i="41" s="1"/>
  <c r="N27" i="41" s="1"/>
  <c r="O27" i="41" s="1"/>
  <c r="P27" i="41" s="1"/>
  <c r="I27" i="41"/>
  <c r="G27" i="41"/>
  <c r="H27" i="41"/>
  <c r="F27" i="41"/>
  <c r="S27" i="40"/>
  <c r="T27" i="40" s="1"/>
  <c r="R27" i="40"/>
  <c r="I42" i="33"/>
  <c r="U27" i="25"/>
  <c r="F27" i="25"/>
  <c r="G60" i="24"/>
  <c r="G59" i="24"/>
  <c r="H57" i="24"/>
  <c r="I57" i="24"/>
  <c r="J57" i="24"/>
  <c r="K57" i="24"/>
  <c r="L57" i="24"/>
  <c r="M57" i="24"/>
  <c r="N57" i="24"/>
  <c r="O57" i="24"/>
  <c r="P57" i="24"/>
  <c r="Q57" i="24"/>
  <c r="R57" i="24"/>
  <c r="S57" i="24"/>
  <c r="T57" i="24"/>
  <c r="G57" i="24"/>
  <c r="V42" i="24"/>
  <c r="V26" i="24"/>
  <c r="P27" i="42" l="1"/>
  <c r="Q27" i="42" s="1"/>
  <c r="Q67" i="28" s="1"/>
  <c r="S24" i="24"/>
  <c r="M17" i="24"/>
  <c r="O6" i="45"/>
  <c r="R6" i="45"/>
  <c r="L5" i="45"/>
  <c r="M5" i="45"/>
  <c r="N5" i="45"/>
  <c r="O5" i="45"/>
  <c r="P5" i="45"/>
  <c r="Q5" i="45"/>
  <c r="R5" i="45"/>
  <c r="S5" i="45"/>
  <c r="T5" i="45"/>
  <c r="U5" i="45"/>
  <c r="V5" i="45"/>
  <c r="K5" i="45"/>
  <c r="Q6" i="44"/>
  <c r="K6" i="44"/>
  <c r="L5" i="44"/>
  <c r="M5" i="44"/>
  <c r="N5" i="44"/>
  <c r="O5" i="44"/>
  <c r="P5" i="44"/>
  <c r="Q5" i="44"/>
  <c r="R5" i="44"/>
  <c r="S5" i="44"/>
  <c r="T5" i="44"/>
  <c r="U5" i="44"/>
  <c r="V5" i="44"/>
  <c r="K5" i="44"/>
  <c r="L5" i="32"/>
  <c r="M5" i="32"/>
  <c r="N5" i="32"/>
  <c r="O5" i="32"/>
  <c r="P5" i="32"/>
  <c r="Q5" i="32"/>
  <c r="R5" i="32"/>
  <c r="S5" i="32"/>
  <c r="T5" i="32"/>
  <c r="U5" i="32"/>
  <c r="V5" i="32"/>
  <c r="K5" i="32"/>
  <c r="L5" i="31"/>
  <c r="M5" i="31"/>
  <c r="N5" i="31"/>
  <c r="O5" i="31"/>
  <c r="P5" i="31"/>
  <c r="Q5" i="31"/>
  <c r="R5" i="31"/>
  <c r="S5" i="31"/>
  <c r="T5" i="31"/>
  <c r="U5" i="31"/>
  <c r="V5" i="31"/>
  <c r="K5" i="31"/>
  <c r="U11" i="37"/>
  <c r="U55" i="37" s="1"/>
  <c r="U11" i="33"/>
  <c r="U29" i="33" s="1"/>
  <c r="S21" i="38"/>
  <c r="T21" i="38"/>
  <c r="U21" i="38"/>
  <c r="T20" i="38"/>
  <c r="T22" i="38" s="1"/>
  <c r="T24" i="38" s="1"/>
  <c r="U20" i="38"/>
  <c r="S20" i="38"/>
  <c r="S22" i="38" s="1"/>
  <c r="S24" i="38" s="1"/>
  <c r="S14" i="38"/>
  <c r="T14" i="38"/>
  <c r="U14" i="38"/>
  <c r="T13" i="38"/>
  <c r="T15" i="38" s="1"/>
  <c r="T17" i="38" s="1"/>
  <c r="T11" i="38" s="1"/>
  <c r="U13" i="38"/>
  <c r="S13" i="38"/>
  <c r="R12" i="28"/>
  <c r="S12" i="28"/>
  <c r="T12" i="28"/>
  <c r="S11" i="28"/>
  <c r="T11" i="28"/>
  <c r="R11" i="28"/>
  <c r="R19" i="28"/>
  <c r="S19" i="28"/>
  <c r="T19" i="28"/>
  <c r="S18" i="28"/>
  <c r="T18" i="28"/>
  <c r="R18" i="28"/>
  <c r="S13" i="37"/>
  <c r="S21" i="37"/>
  <c r="T21" i="37"/>
  <c r="U21" i="37"/>
  <c r="T20" i="37"/>
  <c r="U20" i="37"/>
  <c r="S20" i="37"/>
  <c r="S14" i="37"/>
  <c r="T14" i="37"/>
  <c r="U14" i="37"/>
  <c r="T13" i="37"/>
  <c r="U13" i="37"/>
  <c r="U15" i="37" s="1"/>
  <c r="U17" i="37" s="1"/>
  <c r="S15" i="37"/>
  <c r="S17" i="37" s="1"/>
  <c r="S18" i="27"/>
  <c r="T18" i="27"/>
  <c r="S19" i="27"/>
  <c r="T19" i="27"/>
  <c r="R19" i="27"/>
  <c r="R18" i="27"/>
  <c r="R12" i="27"/>
  <c r="G14" i="37" s="1"/>
  <c r="S12" i="27"/>
  <c r="H14" i="37" s="1"/>
  <c r="T12" i="27"/>
  <c r="T13" i="27" s="1"/>
  <c r="S11" i="27"/>
  <c r="T11" i="27"/>
  <c r="R11" i="27"/>
  <c r="G13" i="37"/>
  <c r="G21" i="37"/>
  <c r="H21" i="37"/>
  <c r="I21" i="37"/>
  <c r="I22" i="37" s="1"/>
  <c r="I24" i="37" s="1"/>
  <c r="H20" i="37"/>
  <c r="I20" i="37"/>
  <c r="I14" i="37"/>
  <c r="I15" i="37" s="1"/>
  <c r="I17" i="37" s="1"/>
  <c r="I11" i="37" s="1"/>
  <c r="I28" i="37" s="1"/>
  <c r="H13" i="37"/>
  <c r="I13" i="37"/>
  <c r="R19" i="26"/>
  <c r="S19" i="26"/>
  <c r="T19" i="26"/>
  <c r="S18" i="26"/>
  <c r="T18" i="26"/>
  <c r="T20" i="26" s="1"/>
  <c r="T22" i="26" s="1"/>
  <c r="R18" i="26"/>
  <c r="R12" i="26"/>
  <c r="R13" i="26" s="1"/>
  <c r="R15" i="26" s="1"/>
  <c r="S12" i="26"/>
  <c r="T12" i="26"/>
  <c r="S11" i="26"/>
  <c r="T11" i="26"/>
  <c r="R11" i="26"/>
  <c r="G21" i="33"/>
  <c r="G22" i="33" s="1"/>
  <c r="G24" i="33" s="1"/>
  <c r="H21" i="33"/>
  <c r="I21" i="33"/>
  <c r="H20" i="33"/>
  <c r="I20" i="33"/>
  <c r="G20" i="33"/>
  <c r="H13" i="33"/>
  <c r="H15" i="33" s="1"/>
  <c r="H17" i="33" s="1"/>
  <c r="H11" i="33" s="1"/>
  <c r="I13" i="33"/>
  <c r="H14" i="33"/>
  <c r="I14" i="33"/>
  <c r="G14" i="33"/>
  <c r="G13" i="33"/>
  <c r="R19" i="23"/>
  <c r="S19" i="23"/>
  <c r="T19" i="23"/>
  <c r="S18" i="23"/>
  <c r="T18" i="23"/>
  <c r="R18" i="23"/>
  <c r="R20" i="23" s="1"/>
  <c r="R22" i="23" s="1"/>
  <c r="R12" i="23"/>
  <c r="S12" i="23"/>
  <c r="S13" i="23" s="1"/>
  <c r="S15" i="23" s="1"/>
  <c r="T12" i="23"/>
  <c r="U14" i="24" s="1"/>
  <c r="S11" i="23"/>
  <c r="T11" i="23"/>
  <c r="T13" i="23" s="1"/>
  <c r="R11" i="23"/>
  <c r="R13" i="23" s="1"/>
  <c r="H24" i="23"/>
  <c r="F24" i="23"/>
  <c r="H13" i="24"/>
  <c r="I13" i="24"/>
  <c r="J13" i="24"/>
  <c r="K13" i="24"/>
  <c r="L13" i="24"/>
  <c r="M13" i="24"/>
  <c r="N13" i="24"/>
  <c r="O13" i="24"/>
  <c r="P13" i="24"/>
  <c r="Q13" i="24"/>
  <c r="R13" i="24"/>
  <c r="T13" i="24"/>
  <c r="U13" i="24"/>
  <c r="H14" i="24"/>
  <c r="I14" i="24"/>
  <c r="I15" i="24" s="1"/>
  <c r="I11" i="24" s="1"/>
  <c r="J14" i="24"/>
  <c r="K14" i="24"/>
  <c r="L14" i="24"/>
  <c r="M14" i="24"/>
  <c r="M15" i="24" s="1"/>
  <c r="N14" i="24"/>
  <c r="O14" i="24"/>
  <c r="P14" i="24"/>
  <c r="P15" i="24" s="1"/>
  <c r="P17" i="24" s="1"/>
  <c r="Q14" i="24"/>
  <c r="R14" i="24"/>
  <c r="S14" i="24"/>
  <c r="T14" i="24"/>
  <c r="T15" i="24" s="1"/>
  <c r="T17" i="24" s="1"/>
  <c r="G21" i="24"/>
  <c r="G20" i="24"/>
  <c r="G14" i="24"/>
  <c r="G13" i="24"/>
  <c r="J24" i="23"/>
  <c r="K24" i="23"/>
  <c r="Q24" i="23"/>
  <c r="H56" i="39"/>
  <c r="L6" i="45" s="1"/>
  <c r="I56" i="39"/>
  <c r="M6" i="45" s="1"/>
  <c r="J56" i="39"/>
  <c r="N6" i="45" s="1"/>
  <c r="K56" i="39"/>
  <c r="L56" i="39"/>
  <c r="P6" i="45" s="1"/>
  <c r="M56" i="39"/>
  <c r="Q6" i="45" s="1"/>
  <c r="N56" i="39"/>
  <c r="O56" i="39"/>
  <c r="S6" i="45" s="1"/>
  <c r="P56" i="39"/>
  <c r="T6" i="45" s="1"/>
  <c r="Q56" i="39"/>
  <c r="U6" i="45" s="1"/>
  <c r="R56" i="39"/>
  <c r="V6" i="45" s="1"/>
  <c r="G56" i="39"/>
  <c r="K6" i="45" s="1"/>
  <c r="H55" i="39"/>
  <c r="I55" i="39"/>
  <c r="J55" i="39"/>
  <c r="K55" i="39"/>
  <c r="L55" i="39"/>
  <c r="M55" i="39"/>
  <c r="N55" i="39"/>
  <c r="O55" i="39"/>
  <c r="P55" i="39"/>
  <c r="Q55" i="39"/>
  <c r="R55" i="39"/>
  <c r="G55" i="39"/>
  <c r="H28" i="39"/>
  <c r="I28" i="39"/>
  <c r="J28" i="39"/>
  <c r="K28" i="39"/>
  <c r="L28" i="39"/>
  <c r="M28" i="39"/>
  <c r="N28" i="39"/>
  <c r="O28" i="39"/>
  <c r="P28" i="39"/>
  <c r="Q28" i="39"/>
  <c r="R28" i="39"/>
  <c r="G28" i="39"/>
  <c r="K26" i="39"/>
  <c r="K58" i="39" s="1"/>
  <c r="V25" i="39"/>
  <c r="P24" i="39"/>
  <c r="R22" i="39"/>
  <c r="R24" i="39" s="1"/>
  <c r="Q22" i="39"/>
  <c r="Q24" i="39" s="1"/>
  <c r="P22" i="39"/>
  <c r="O22" i="39"/>
  <c r="O24" i="39" s="1"/>
  <c r="N22" i="39"/>
  <c r="N24" i="39" s="1"/>
  <c r="M22" i="39"/>
  <c r="M24" i="39" s="1"/>
  <c r="L22" i="39"/>
  <c r="L24" i="39" s="1"/>
  <c r="K22" i="39"/>
  <c r="K24" i="39" s="1"/>
  <c r="J22" i="39"/>
  <c r="J24" i="39" s="1"/>
  <c r="I22" i="39"/>
  <c r="I24" i="39" s="1"/>
  <c r="H22" i="39"/>
  <c r="H24" i="39" s="1"/>
  <c r="G22" i="39"/>
  <c r="G11" i="39" s="1"/>
  <c r="R15" i="39"/>
  <c r="R17" i="39" s="1"/>
  <c r="R11" i="39" s="1"/>
  <c r="Q15" i="39"/>
  <c r="Q17" i="39" s="1"/>
  <c r="Q11" i="39" s="1"/>
  <c r="P15" i="39"/>
  <c r="P17" i="39" s="1"/>
  <c r="P11" i="39" s="1"/>
  <c r="O15" i="39"/>
  <c r="O17" i="39" s="1"/>
  <c r="O11" i="39" s="1"/>
  <c r="N15" i="39"/>
  <c r="N17" i="39" s="1"/>
  <c r="N11" i="39" s="1"/>
  <c r="M15" i="39"/>
  <c r="M17" i="39" s="1"/>
  <c r="M11" i="39" s="1"/>
  <c r="L15" i="39"/>
  <c r="L17" i="39" s="1"/>
  <c r="L11" i="39" s="1"/>
  <c r="K15" i="39"/>
  <c r="K17" i="39" s="1"/>
  <c r="K11" i="39" s="1"/>
  <c r="J15" i="39"/>
  <c r="J17" i="39" s="1"/>
  <c r="I15" i="39"/>
  <c r="I17" i="39" s="1"/>
  <c r="I11" i="39" s="1"/>
  <c r="H15" i="39"/>
  <c r="H17" i="39" s="1"/>
  <c r="H11" i="39" s="1"/>
  <c r="G15" i="39"/>
  <c r="G17" i="39" s="1"/>
  <c r="N24" i="29"/>
  <c r="O24" i="29"/>
  <c r="P24" i="29"/>
  <c r="Q24" i="29"/>
  <c r="O22" i="29"/>
  <c r="G22" i="29"/>
  <c r="Q20" i="29"/>
  <c r="Q22" i="29" s="1"/>
  <c r="P20" i="29"/>
  <c r="P22" i="29" s="1"/>
  <c r="O20" i="29"/>
  <c r="N20" i="29"/>
  <c r="N22" i="29" s="1"/>
  <c r="M20" i="29"/>
  <c r="M22" i="29" s="1"/>
  <c r="L20" i="29"/>
  <c r="L22" i="29" s="1"/>
  <c r="K20" i="29"/>
  <c r="K22" i="29" s="1"/>
  <c r="J20" i="29"/>
  <c r="J22" i="29" s="1"/>
  <c r="I20" i="29"/>
  <c r="I22" i="29" s="1"/>
  <c r="H20" i="29"/>
  <c r="H22" i="29" s="1"/>
  <c r="G20" i="29"/>
  <c r="F20" i="29"/>
  <c r="F22" i="29" s="1"/>
  <c r="M15" i="29"/>
  <c r="Q13" i="29"/>
  <c r="Q15" i="29" s="1"/>
  <c r="P13" i="29"/>
  <c r="P15" i="29" s="1"/>
  <c r="O13" i="29"/>
  <c r="O15" i="29" s="1"/>
  <c r="N13" i="29"/>
  <c r="N15" i="29" s="1"/>
  <c r="M13" i="29"/>
  <c r="L13" i="29"/>
  <c r="L15" i="29" s="1"/>
  <c r="K13" i="29"/>
  <c r="K15" i="29" s="1"/>
  <c r="J13" i="29"/>
  <c r="J15" i="29" s="1"/>
  <c r="I13" i="29"/>
  <c r="I15" i="29" s="1"/>
  <c r="H13" i="29"/>
  <c r="H15" i="29" s="1"/>
  <c r="G13" i="29"/>
  <c r="G15" i="29" s="1"/>
  <c r="F13" i="29"/>
  <c r="F15" i="29" s="1"/>
  <c r="S58" i="38"/>
  <c r="G50" i="38"/>
  <c r="H56" i="38"/>
  <c r="L6" i="44" s="1"/>
  <c r="I56" i="38"/>
  <c r="M6" i="44" s="1"/>
  <c r="J56" i="38"/>
  <c r="N6" i="44" s="1"/>
  <c r="K56" i="38"/>
  <c r="O6" i="44" s="1"/>
  <c r="L56" i="38"/>
  <c r="P6" i="44" s="1"/>
  <c r="M56" i="38"/>
  <c r="N56" i="38"/>
  <c r="R6" i="44" s="1"/>
  <c r="O56" i="38"/>
  <c r="S6" i="44" s="1"/>
  <c r="P56" i="38"/>
  <c r="T6" i="44" s="1"/>
  <c r="Q56" i="38"/>
  <c r="U6" i="44" s="1"/>
  <c r="R56" i="38"/>
  <c r="V6" i="44" s="1"/>
  <c r="S56" i="38"/>
  <c r="T56" i="38"/>
  <c r="U56" i="38"/>
  <c r="G56" i="38"/>
  <c r="H55" i="38"/>
  <c r="I55" i="38"/>
  <c r="J55" i="38"/>
  <c r="K55" i="38"/>
  <c r="L55" i="38"/>
  <c r="M55" i="38"/>
  <c r="N55" i="38"/>
  <c r="O55" i="38"/>
  <c r="P55" i="38"/>
  <c r="Q55" i="38"/>
  <c r="R55" i="38"/>
  <c r="G55" i="38"/>
  <c r="G28" i="38"/>
  <c r="G11" i="38"/>
  <c r="H28" i="38"/>
  <c r="I28" i="38"/>
  <c r="J28" i="38"/>
  <c r="K28" i="38"/>
  <c r="L28" i="38"/>
  <c r="M28" i="38"/>
  <c r="N28" i="38"/>
  <c r="O28" i="38"/>
  <c r="P28" i="38"/>
  <c r="Q28" i="38"/>
  <c r="R28" i="38"/>
  <c r="S26" i="38"/>
  <c r="K26" i="38"/>
  <c r="K58" i="38" s="1"/>
  <c r="J26" i="38"/>
  <c r="J58" i="38" s="1"/>
  <c r="V25" i="38"/>
  <c r="N24" i="38"/>
  <c r="J24" i="38"/>
  <c r="U22" i="38"/>
  <c r="U24" i="38" s="1"/>
  <c r="R22" i="38"/>
  <c r="R24" i="38" s="1"/>
  <c r="Q22" i="38"/>
  <c r="Q24" i="38" s="1"/>
  <c r="P22" i="38"/>
  <c r="P24" i="38" s="1"/>
  <c r="O22" i="38"/>
  <c r="O24" i="38" s="1"/>
  <c r="N22" i="38"/>
  <c r="M22" i="38"/>
  <c r="M24" i="38" s="1"/>
  <c r="L22" i="38"/>
  <c r="L24" i="38" s="1"/>
  <c r="K22" i="38"/>
  <c r="K24" i="38" s="1"/>
  <c r="J22" i="38"/>
  <c r="I22" i="38"/>
  <c r="I24" i="38" s="1"/>
  <c r="H22" i="38"/>
  <c r="H24" i="38" s="1"/>
  <c r="G22" i="38"/>
  <c r="G24" i="38" s="1"/>
  <c r="P17" i="38"/>
  <c r="P11" i="38" s="1"/>
  <c r="H17" i="38"/>
  <c r="H11" i="38" s="1"/>
  <c r="U15" i="38"/>
  <c r="U17" i="38" s="1"/>
  <c r="R15" i="38"/>
  <c r="Q15" i="38"/>
  <c r="Q17" i="38" s="1"/>
  <c r="Q11" i="38" s="1"/>
  <c r="P15" i="38"/>
  <c r="O15" i="38"/>
  <c r="O17" i="38" s="1"/>
  <c r="O11" i="38" s="1"/>
  <c r="N15" i="38"/>
  <c r="N17" i="38" s="1"/>
  <c r="N11" i="38" s="1"/>
  <c r="M15" i="38"/>
  <c r="M17" i="38" s="1"/>
  <c r="M11" i="38" s="1"/>
  <c r="L15" i="38"/>
  <c r="L17" i="38" s="1"/>
  <c r="L11" i="38" s="1"/>
  <c r="K15" i="38"/>
  <c r="K17" i="38" s="1"/>
  <c r="K11" i="38" s="1"/>
  <c r="J15" i="38"/>
  <c r="J17" i="38" s="1"/>
  <c r="J11" i="38" s="1"/>
  <c r="I15" i="38"/>
  <c r="I17" i="38" s="1"/>
  <c r="I11" i="38" s="1"/>
  <c r="H15" i="38"/>
  <c r="G15" i="38"/>
  <c r="G17" i="38" s="1"/>
  <c r="G24" i="28"/>
  <c r="H24" i="28"/>
  <c r="I24" i="28"/>
  <c r="J24" i="28"/>
  <c r="K24" i="28"/>
  <c r="L24" i="28"/>
  <c r="M24" i="28"/>
  <c r="N24" i="28"/>
  <c r="O24" i="28"/>
  <c r="P24" i="28"/>
  <c r="Q24" i="28"/>
  <c r="F24" i="28"/>
  <c r="F25" i="28"/>
  <c r="N22" i="28"/>
  <c r="F22" i="28"/>
  <c r="T20" i="28"/>
  <c r="T22" i="28" s="1"/>
  <c r="S20" i="28"/>
  <c r="S22" i="28" s="1"/>
  <c r="Q20" i="28"/>
  <c r="Q22" i="28" s="1"/>
  <c r="P20" i="28"/>
  <c r="P22" i="28" s="1"/>
  <c r="O20" i="28"/>
  <c r="O22" i="28" s="1"/>
  <c r="N20" i="28"/>
  <c r="M20" i="28"/>
  <c r="M22" i="28" s="1"/>
  <c r="L20" i="28"/>
  <c r="L22" i="28" s="1"/>
  <c r="K20" i="28"/>
  <c r="K22" i="28" s="1"/>
  <c r="J20" i="28"/>
  <c r="J22" i="28" s="1"/>
  <c r="I20" i="28"/>
  <c r="I22" i="28" s="1"/>
  <c r="H20" i="28"/>
  <c r="H22" i="28" s="1"/>
  <c r="G20" i="28"/>
  <c r="G22" i="28" s="1"/>
  <c r="F20" i="28"/>
  <c r="L15" i="28"/>
  <c r="H15" i="28"/>
  <c r="Q13" i="28"/>
  <c r="Q15" i="28" s="1"/>
  <c r="P13" i="28"/>
  <c r="P15" i="28" s="1"/>
  <c r="O13" i="28"/>
  <c r="O15" i="28" s="1"/>
  <c r="N13" i="28"/>
  <c r="N15" i="28" s="1"/>
  <c r="M13" i="28"/>
  <c r="M15" i="28" s="1"/>
  <c r="L13" i="28"/>
  <c r="K13" i="28"/>
  <c r="K15" i="28" s="1"/>
  <c r="J13" i="28"/>
  <c r="J15" i="28" s="1"/>
  <c r="I13" i="28"/>
  <c r="I15" i="28" s="1"/>
  <c r="H13" i="28"/>
  <c r="G13" i="28"/>
  <c r="G15" i="28" s="1"/>
  <c r="F13" i="28"/>
  <c r="F15" i="28" s="1"/>
  <c r="J55" i="37"/>
  <c r="K55" i="37"/>
  <c r="L55" i="37"/>
  <c r="M55" i="37"/>
  <c r="N55" i="37"/>
  <c r="O55" i="37"/>
  <c r="P55" i="37"/>
  <c r="Q55" i="37"/>
  <c r="R55" i="37"/>
  <c r="J28" i="37"/>
  <c r="K28" i="37"/>
  <c r="L28" i="37"/>
  <c r="M28" i="37"/>
  <c r="N28" i="37"/>
  <c r="O28" i="37"/>
  <c r="P28" i="37"/>
  <c r="Q28" i="37"/>
  <c r="R28" i="37"/>
  <c r="Q24" i="37"/>
  <c r="P24" i="37"/>
  <c r="U22" i="37"/>
  <c r="U24" i="37" s="1"/>
  <c r="T22" i="37"/>
  <c r="T24" i="37" s="1"/>
  <c r="S22" i="37"/>
  <c r="S24" i="37" s="1"/>
  <c r="R22" i="37"/>
  <c r="R24" i="37" s="1"/>
  <c r="Q22" i="37"/>
  <c r="P22" i="37"/>
  <c r="O22" i="37"/>
  <c r="O24" i="37" s="1"/>
  <c r="N22" i="37"/>
  <c r="N24" i="37" s="1"/>
  <c r="M22" i="37"/>
  <c r="M24" i="37" s="1"/>
  <c r="L22" i="37"/>
  <c r="L24" i="37" s="1"/>
  <c r="K22" i="37"/>
  <c r="K24" i="37" s="1"/>
  <c r="J22" i="37"/>
  <c r="J24" i="37" s="1"/>
  <c r="H22" i="37"/>
  <c r="H24" i="37" s="1"/>
  <c r="R17" i="37"/>
  <c r="R11" i="37" s="1"/>
  <c r="O17" i="37"/>
  <c r="O11" i="37" s="1"/>
  <c r="N17" i="37"/>
  <c r="N11" i="37" s="1"/>
  <c r="L17" i="37"/>
  <c r="L11" i="37" s="1"/>
  <c r="T15" i="37"/>
  <c r="T17" i="37" s="1"/>
  <c r="T11" i="37" s="1"/>
  <c r="T55" i="37" s="1"/>
  <c r="R15" i="37"/>
  <c r="Q15" i="37"/>
  <c r="Q17" i="37" s="1"/>
  <c r="Q11" i="37" s="1"/>
  <c r="P15" i="37"/>
  <c r="P17" i="37" s="1"/>
  <c r="P11" i="37" s="1"/>
  <c r="O15" i="37"/>
  <c r="N15" i="37"/>
  <c r="M15" i="37"/>
  <c r="M17" i="37" s="1"/>
  <c r="M11" i="37" s="1"/>
  <c r="L15" i="37"/>
  <c r="K15" i="37"/>
  <c r="K17" i="37" s="1"/>
  <c r="J15" i="37"/>
  <c r="J17" i="37" s="1"/>
  <c r="J11" i="37" s="1"/>
  <c r="I24" i="27"/>
  <c r="J24" i="27"/>
  <c r="K24" i="27"/>
  <c r="L24" i="27"/>
  <c r="M24" i="27"/>
  <c r="N24" i="27"/>
  <c r="P24" i="27"/>
  <c r="Q24" i="27"/>
  <c r="P22" i="27"/>
  <c r="T20" i="27"/>
  <c r="T22" i="27" s="1"/>
  <c r="S20" i="27"/>
  <c r="S22" i="27" s="1"/>
  <c r="Q20" i="27"/>
  <c r="Q22" i="27" s="1"/>
  <c r="P20" i="27"/>
  <c r="O20" i="27"/>
  <c r="O22" i="27" s="1"/>
  <c r="N20" i="27"/>
  <c r="N22" i="27" s="1"/>
  <c r="M20" i="27"/>
  <c r="M22" i="27" s="1"/>
  <c r="L20" i="27"/>
  <c r="L22" i="27" s="1"/>
  <c r="K20" i="27"/>
  <c r="K22" i="27" s="1"/>
  <c r="J20" i="27"/>
  <c r="J22" i="27" s="1"/>
  <c r="I20" i="27"/>
  <c r="I22" i="27" s="1"/>
  <c r="H20" i="27"/>
  <c r="H22" i="27" s="1"/>
  <c r="G20" i="27"/>
  <c r="G22" i="27" s="1"/>
  <c r="F20" i="27"/>
  <c r="F22" i="27" s="1"/>
  <c r="K15" i="27"/>
  <c r="Q13" i="27"/>
  <c r="Q15" i="27" s="1"/>
  <c r="P13" i="27"/>
  <c r="P15" i="27" s="1"/>
  <c r="O13" i="27"/>
  <c r="O15" i="27" s="1"/>
  <c r="N13" i="27"/>
  <c r="N15" i="27" s="1"/>
  <c r="M13" i="27"/>
  <c r="M15" i="27" s="1"/>
  <c r="L13" i="27"/>
  <c r="L15" i="27" s="1"/>
  <c r="K13" i="27"/>
  <c r="J13" i="27"/>
  <c r="J15" i="27" s="1"/>
  <c r="I13" i="27"/>
  <c r="I15" i="27" s="1"/>
  <c r="H13" i="27"/>
  <c r="H15" i="27" s="1"/>
  <c r="G13" i="27"/>
  <c r="G15" i="27" s="1"/>
  <c r="F13" i="27"/>
  <c r="F15" i="27" s="1"/>
  <c r="J56" i="33"/>
  <c r="K56" i="33"/>
  <c r="L56" i="33"/>
  <c r="M56" i="33"/>
  <c r="N56" i="33"/>
  <c r="O56" i="33"/>
  <c r="P56" i="33"/>
  <c r="Q56" i="33"/>
  <c r="R56" i="33"/>
  <c r="S56" i="33"/>
  <c r="T56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U22" i="33"/>
  <c r="U24" i="33" s="1"/>
  <c r="T22" i="33"/>
  <c r="T24" i="33" s="1"/>
  <c r="S22" i="33"/>
  <c r="S24" i="33" s="1"/>
  <c r="R22" i="33"/>
  <c r="R24" i="33" s="1"/>
  <c r="Q22" i="33"/>
  <c r="Q24" i="33" s="1"/>
  <c r="P22" i="33"/>
  <c r="P24" i="33" s="1"/>
  <c r="O22" i="33"/>
  <c r="O24" i="33" s="1"/>
  <c r="N22" i="33"/>
  <c r="N24" i="33" s="1"/>
  <c r="M22" i="33"/>
  <c r="M24" i="33" s="1"/>
  <c r="L22" i="33"/>
  <c r="L24" i="33" s="1"/>
  <c r="K22" i="33"/>
  <c r="K24" i="33" s="1"/>
  <c r="J22" i="33"/>
  <c r="J24" i="33" s="1"/>
  <c r="I22" i="33"/>
  <c r="I24" i="33" s="1"/>
  <c r="H22" i="33"/>
  <c r="H24" i="33" s="1"/>
  <c r="U15" i="33"/>
  <c r="U17" i="33" s="1"/>
  <c r="T15" i="33"/>
  <c r="T17" i="33" s="1"/>
  <c r="T11" i="33" s="1"/>
  <c r="S15" i="33"/>
  <c r="S17" i="33" s="1"/>
  <c r="S11" i="33" s="1"/>
  <c r="R15" i="33"/>
  <c r="R17" i="33" s="1"/>
  <c r="R11" i="33" s="1"/>
  <c r="Q15" i="33"/>
  <c r="Q17" i="33" s="1"/>
  <c r="Q11" i="33" s="1"/>
  <c r="P15" i="33"/>
  <c r="P17" i="33" s="1"/>
  <c r="P11" i="33" s="1"/>
  <c r="O15" i="33"/>
  <c r="O17" i="33" s="1"/>
  <c r="O11" i="33" s="1"/>
  <c r="N15" i="33"/>
  <c r="N17" i="33" s="1"/>
  <c r="N11" i="33" s="1"/>
  <c r="M15" i="33"/>
  <c r="M17" i="33" s="1"/>
  <c r="M11" i="33" s="1"/>
  <c r="L15" i="33"/>
  <c r="L17" i="33" s="1"/>
  <c r="L11" i="33" s="1"/>
  <c r="K15" i="33"/>
  <c r="K17" i="33" s="1"/>
  <c r="K11" i="33" s="1"/>
  <c r="J15" i="33"/>
  <c r="J17" i="33" s="1"/>
  <c r="J11" i="33" s="1"/>
  <c r="I15" i="33"/>
  <c r="I17" i="33" s="1"/>
  <c r="I11" i="33" s="1"/>
  <c r="I56" i="33" s="1"/>
  <c r="U22" i="24"/>
  <c r="U24" i="24" s="1"/>
  <c r="T22" i="24"/>
  <c r="T24" i="24" s="1"/>
  <c r="S22" i="24"/>
  <c r="R22" i="24"/>
  <c r="R24" i="24" s="1"/>
  <c r="Q22" i="24"/>
  <c r="Q24" i="24" s="1"/>
  <c r="P22" i="24"/>
  <c r="P24" i="24" s="1"/>
  <c r="O22" i="24"/>
  <c r="O24" i="24" s="1"/>
  <c r="N22" i="24"/>
  <c r="N24" i="24" s="1"/>
  <c r="M22" i="24"/>
  <c r="M24" i="24" s="1"/>
  <c r="L22" i="24"/>
  <c r="L24" i="24" s="1"/>
  <c r="K22" i="24"/>
  <c r="K24" i="24" s="1"/>
  <c r="J22" i="24"/>
  <c r="J24" i="24" s="1"/>
  <c r="I22" i="24"/>
  <c r="I24" i="24" s="1"/>
  <c r="H22" i="24"/>
  <c r="H24" i="24" s="1"/>
  <c r="G22" i="24"/>
  <c r="G24" i="24" s="1"/>
  <c r="R15" i="24"/>
  <c r="R17" i="24" s="1"/>
  <c r="L15" i="24"/>
  <c r="L11" i="24" s="1"/>
  <c r="K15" i="24"/>
  <c r="K11" i="24" s="1"/>
  <c r="J15" i="24"/>
  <c r="J11" i="24" s="1"/>
  <c r="H15" i="24"/>
  <c r="H11" i="24" s="1"/>
  <c r="H22" i="26"/>
  <c r="U30" i="24"/>
  <c r="K24" i="26"/>
  <c r="L24" i="26"/>
  <c r="M24" i="26"/>
  <c r="N24" i="26"/>
  <c r="I22" i="26"/>
  <c r="R20" i="26"/>
  <c r="R22" i="26" s="1"/>
  <c r="Q20" i="26"/>
  <c r="Q22" i="26" s="1"/>
  <c r="P20" i="26"/>
  <c r="P22" i="26" s="1"/>
  <c r="O20" i="26"/>
  <c r="O22" i="26" s="1"/>
  <c r="N20" i="26"/>
  <c r="N22" i="26" s="1"/>
  <c r="M20" i="26"/>
  <c r="M22" i="26" s="1"/>
  <c r="L20" i="26"/>
  <c r="L22" i="26" s="1"/>
  <c r="K20" i="26"/>
  <c r="K22" i="26" s="1"/>
  <c r="J20" i="26"/>
  <c r="J22" i="26" s="1"/>
  <c r="I20" i="26"/>
  <c r="H20" i="26"/>
  <c r="G20" i="26"/>
  <c r="G22" i="26" s="1"/>
  <c r="F20" i="26"/>
  <c r="F22" i="26" s="1"/>
  <c r="O15" i="26"/>
  <c r="T13" i="26"/>
  <c r="T15" i="26" s="1"/>
  <c r="Q13" i="26"/>
  <c r="Q15" i="26" s="1"/>
  <c r="P13" i="26"/>
  <c r="P15" i="26" s="1"/>
  <c r="O13" i="26"/>
  <c r="N13" i="26"/>
  <c r="N15" i="26" s="1"/>
  <c r="M13" i="26"/>
  <c r="M15" i="26" s="1"/>
  <c r="L13" i="26"/>
  <c r="L15" i="26" s="1"/>
  <c r="K13" i="26"/>
  <c r="K15" i="26" s="1"/>
  <c r="J13" i="26"/>
  <c r="J15" i="26" s="1"/>
  <c r="I13" i="26"/>
  <c r="I15" i="26" s="1"/>
  <c r="H13" i="26"/>
  <c r="H15" i="26" s="1"/>
  <c r="G13" i="26"/>
  <c r="G24" i="26" s="1"/>
  <c r="F13" i="26"/>
  <c r="F24" i="26" s="1"/>
  <c r="T20" i="23"/>
  <c r="T22" i="23" s="1"/>
  <c r="G22" i="23"/>
  <c r="I22" i="23"/>
  <c r="J22" i="23"/>
  <c r="K22" i="23"/>
  <c r="L22" i="23"/>
  <c r="M22" i="23"/>
  <c r="N22" i="23"/>
  <c r="O22" i="23"/>
  <c r="P22" i="23"/>
  <c r="Q22" i="23"/>
  <c r="F22" i="23"/>
  <c r="G20" i="23"/>
  <c r="G24" i="23" s="1"/>
  <c r="H20" i="23"/>
  <c r="H22" i="23" s="1"/>
  <c r="I20" i="23"/>
  <c r="I24" i="23" s="1"/>
  <c r="J20" i="23"/>
  <c r="K20" i="23"/>
  <c r="L20" i="23"/>
  <c r="M20" i="23"/>
  <c r="N20" i="23"/>
  <c r="O20" i="23"/>
  <c r="P20" i="23"/>
  <c r="Q20" i="23"/>
  <c r="F20" i="23"/>
  <c r="Q13" i="23"/>
  <c r="Q15" i="23" s="1"/>
  <c r="G15" i="23"/>
  <c r="H15" i="23"/>
  <c r="G13" i="23"/>
  <c r="H13" i="23"/>
  <c r="I13" i="23"/>
  <c r="I15" i="23" s="1"/>
  <c r="J13" i="23"/>
  <c r="J15" i="23" s="1"/>
  <c r="K13" i="23"/>
  <c r="K15" i="23" s="1"/>
  <c r="L13" i="23"/>
  <c r="L15" i="23" s="1"/>
  <c r="M13" i="23"/>
  <c r="M15" i="23" s="1"/>
  <c r="N13" i="23"/>
  <c r="N24" i="23" s="1"/>
  <c r="O13" i="23"/>
  <c r="O15" i="23" s="1"/>
  <c r="P13" i="23"/>
  <c r="P15" i="23" s="1"/>
  <c r="C31" i="11"/>
  <c r="C32" i="11"/>
  <c r="C33" i="11"/>
  <c r="C34" i="11"/>
  <c r="C35" i="11"/>
  <c r="G67" i="29"/>
  <c r="H67" i="29"/>
  <c r="I67" i="29"/>
  <c r="J67" i="29"/>
  <c r="K67" i="29"/>
  <c r="L67" i="29"/>
  <c r="M67" i="29"/>
  <c r="N67" i="29"/>
  <c r="O67" i="29"/>
  <c r="P67" i="29"/>
  <c r="Q67" i="29"/>
  <c r="F67" i="29"/>
  <c r="H67" i="28"/>
  <c r="I67" i="28"/>
  <c r="J67" i="28"/>
  <c r="K67" i="28"/>
  <c r="L67" i="28"/>
  <c r="M67" i="28"/>
  <c r="N67" i="28"/>
  <c r="O67" i="28"/>
  <c r="R67" i="28"/>
  <c r="S67" i="28"/>
  <c r="T67" i="28"/>
  <c r="J69" i="27"/>
  <c r="K26" i="37" s="1"/>
  <c r="K58" i="37" s="1"/>
  <c r="K69" i="27"/>
  <c r="L26" i="37" s="1"/>
  <c r="L58" i="37" s="1"/>
  <c r="L69" i="27"/>
  <c r="M26" i="37" s="1"/>
  <c r="M58" i="37" s="1"/>
  <c r="M69" i="27"/>
  <c r="N26" i="37" s="1"/>
  <c r="N58" i="37" s="1"/>
  <c r="N69" i="27"/>
  <c r="O26" i="37" s="1"/>
  <c r="O58" i="37" s="1"/>
  <c r="O69" i="27"/>
  <c r="P26" i="37" s="1"/>
  <c r="P58" i="37" s="1"/>
  <c r="P69" i="27"/>
  <c r="Q26" i="37" s="1"/>
  <c r="Q58" i="37" s="1"/>
  <c r="Q69" i="27"/>
  <c r="R26" i="37" s="1"/>
  <c r="R58" i="37" s="1"/>
  <c r="R69" i="27"/>
  <c r="S26" i="37" s="1"/>
  <c r="S58" i="37" s="1"/>
  <c r="S69" i="27"/>
  <c r="T26" i="37" s="1"/>
  <c r="T58" i="37" s="1"/>
  <c r="T69" i="27"/>
  <c r="U26" i="37" s="1"/>
  <c r="U58" i="37" s="1"/>
  <c r="I69" i="27"/>
  <c r="J26" i="37" s="1"/>
  <c r="J58" i="37" s="1"/>
  <c r="C30" i="11"/>
  <c r="I10" i="45"/>
  <c r="I11" i="45"/>
  <c r="I13" i="45"/>
  <c r="I14" i="45"/>
  <c r="I10" i="44"/>
  <c r="I11" i="44"/>
  <c r="I13" i="44"/>
  <c r="I14" i="44"/>
  <c r="I10" i="32"/>
  <c r="I11" i="32"/>
  <c r="I13" i="32"/>
  <c r="I14" i="32"/>
  <c r="I10" i="31"/>
  <c r="I11" i="31"/>
  <c r="I13" i="31"/>
  <c r="I14" i="31"/>
  <c r="I10" i="30"/>
  <c r="I11" i="30"/>
  <c r="I13" i="30"/>
  <c r="I14" i="30"/>
  <c r="H10" i="45"/>
  <c r="H11" i="45"/>
  <c r="H13" i="45"/>
  <c r="H14" i="45"/>
  <c r="H10" i="44"/>
  <c r="H11" i="44"/>
  <c r="H13" i="44"/>
  <c r="H14" i="44"/>
  <c r="H10" i="32"/>
  <c r="H11" i="32"/>
  <c r="H13" i="32"/>
  <c r="H14" i="32"/>
  <c r="H10" i="31"/>
  <c r="H11" i="31"/>
  <c r="H13" i="31"/>
  <c r="H14" i="31"/>
  <c r="H10" i="30"/>
  <c r="H11" i="30"/>
  <c r="H13" i="30"/>
  <c r="H14" i="30"/>
  <c r="G10" i="45"/>
  <c r="G11" i="45"/>
  <c r="G13" i="45"/>
  <c r="G14" i="45"/>
  <c r="G10" i="44"/>
  <c r="G11" i="44"/>
  <c r="G13" i="44"/>
  <c r="G14" i="44"/>
  <c r="G10" i="32"/>
  <c r="G11" i="32"/>
  <c r="G13" i="32"/>
  <c r="G14" i="32"/>
  <c r="G10" i="31"/>
  <c r="G11" i="31"/>
  <c r="G13" i="31"/>
  <c r="G14" i="31"/>
  <c r="G10" i="30"/>
  <c r="G11" i="30"/>
  <c r="G13" i="30"/>
  <c r="G14" i="30"/>
  <c r="F9" i="45"/>
  <c r="F10" i="45"/>
  <c r="F11" i="45"/>
  <c r="F13" i="45"/>
  <c r="F14" i="45"/>
  <c r="F9" i="44"/>
  <c r="F10" i="44"/>
  <c r="F11" i="44"/>
  <c r="F13" i="44"/>
  <c r="F14" i="44"/>
  <c r="F9" i="32"/>
  <c r="F10" i="32"/>
  <c r="F11" i="32"/>
  <c r="F13" i="32"/>
  <c r="F14" i="32"/>
  <c r="F9" i="31"/>
  <c r="F10" i="31"/>
  <c r="F11" i="31"/>
  <c r="F13" i="31"/>
  <c r="F14" i="31"/>
  <c r="F9" i="30"/>
  <c r="F10" i="30"/>
  <c r="F11" i="30"/>
  <c r="F13" i="30"/>
  <c r="F14" i="30"/>
  <c r="E9" i="45"/>
  <c r="E10" i="45"/>
  <c r="E11" i="45"/>
  <c r="E13" i="45"/>
  <c r="E14" i="45"/>
  <c r="E9" i="44"/>
  <c r="E10" i="44"/>
  <c r="E11" i="44"/>
  <c r="E13" i="44"/>
  <c r="E14" i="44"/>
  <c r="E9" i="32"/>
  <c r="E10" i="32"/>
  <c r="E11" i="32"/>
  <c r="E13" i="32"/>
  <c r="E14" i="32"/>
  <c r="E9" i="31"/>
  <c r="E10" i="31"/>
  <c r="E11" i="31"/>
  <c r="E13" i="31"/>
  <c r="E14" i="31"/>
  <c r="E9" i="30"/>
  <c r="E10" i="30"/>
  <c r="E11" i="30"/>
  <c r="E13" i="30"/>
  <c r="E14" i="30"/>
  <c r="I92" i="45"/>
  <c r="I96" i="45"/>
  <c r="I97" i="45"/>
  <c r="I92" i="44"/>
  <c r="I96" i="44"/>
  <c r="I97" i="44"/>
  <c r="I92" i="32"/>
  <c r="I96" i="32"/>
  <c r="I97" i="32"/>
  <c r="I92" i="31"/>
  <c r="I96" i="31"/>
  <c r="I97" i="31"/>
  <c r="I90" i="30"/>
  <c r="I94" i="30"/>
  <c r="I95" i="30"/>
  <c r="H96" i="45"/>
  <c r="H97" i="45"/>
  <c r="H96" i="44"/>
  <c r="H97" i="44"/>
  <c r="H96" i="32"/>
  <c r="H97" i="32"/>
  <c r="H96" i="31"/>
  <c r="H97" i="31"/>
  <c r="H94" i="30"/>
  <c r="H95" i="30"/>
  <c r="G96" i="45"/>
  <c r="G97" i="45"/>
  <c r="G96" i="44"/>
  <c r="G97" i="44"/>
  <c r="G96" i="32"/>
  <c r="G97" i="32"/>
  <c r="G96" i="31"/>
  <c r="G97" i="31"/>
  <c r="G94" i="30"/>
  <c r="G95" i="30"/>
  <c r="F96" i="45"/>
  <c r="F97" i="45"/>
  <c r="F96" i="44"/>
  <c r="F97" i="44"/>
  <c r="F96" i="32"/>
  <c r="F97" i="32"/>
  <c r="F96" i="31"/>
  <c r="F97" i="31"/>
  <c r="F94" i="30"/>
  <c r="F95" i="30"/>
  <c r="E94" i="30"/>
  <c r="E95" i="30"/>
  <c r="E96" i="45"/>
  <c r="E97" i="45"/>
  <c r="E96" i="44"/>
  <c r="E97" i="44"/>
  <c r="E96" i="32"/>
  <c r="E97" i="32"/>
  <c r="E96" i="31"/>
  <c r="E97" i="31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G19" i="48"/>
  <c r="J34" i="11"/>
  <c r="K34" i="11"/>
  <c r="L34" i="11"/>
  <c r="M34" i="11"/>
  <c r="N34" i="11"/>
  <c r="O34" i="11"/>
  <c r="P34" i="11"/>
  <c r="Q34" i="11"/>
  <c r="J35" i="11"/>
  <c r="K35" i="11"/>
  <c r="L35" i="11"/>
  <c r="M35" i="11"/>
  <c r="N35" i="11"/>
  <c r="O35" i="11"/>
  <c r="P35" i="11"/>
  <c r="Q35" i="11"/>
  <c r="H34" i="11"/>
  <c r="H35" i="11"/>
  <c r="I34" i="11"/>
  <c r="I35" i="11"/>
  <c r="P67" i="28" l="1"/>
  <c r="R26" i="38"/>
  <c r="R58" i="38" s="1"/>
  <c r="T26" i="38"/>
  <c r="T58" i="38" s="1"/>
  <c r="U26" i="38"/>
  <c r="U58" i="38" s="1"/>
  <c r="R26" i="39"/>
  <c r="R58" i="39" s="1"/>
  <c r="M26" i="39"/>
  <c r="M58" i="39" s="1"/>
  <c r="N26" i="38"/>
  <c r="N58" i="38" s="1"/>
  <c r="N26" i="39"/>
  <c r="N58" i="39" s="1"/>
  <c r="O26" i="39"/>
  <c r="O58" i="39" s="1"/>
  <c r="M26" i="38"/>
  <c r="M58" i="38" s="1"/>
  <c r="P26" i="38"/>
  <c r="P58" i="38" s="1"/>
  <c r="P26" i="39"/>
  <c r="P58" i="39" s="1"/>
  <c r="O26" i="38"/>
  <c r="O58" i="38" s="1"/>
  <c r="Q26" i="38"/>
  <c r="Q58" i="38" s="1"/>
  <c r="Q26" i="39"/>
  <c r="Q58" i="39" s="1"/>
  <c r="L26" i="38"/>
  <c r="L58" i="38" s="1"/>
  <c r="L26" i="39"/>
  <c r="L58" i="39" s="1"/>
  <c r="J26" i="39"/>
  <c r="J58" i="39" s="1"/>
  <c r="L17" i="24"/>
  <c r="G15" i="24"/>
  <c r="R11" i="24"/>
  <c r="R29" i="24" s="1"/>
  <c r="K17" i="24"/>
  <c r="J17" i="24"/>
  <c r="I17" i="24"/>
  <c r="H17" i="24"/>
  <c r="O15" i="24"/>
  <c r="O17" i="24" s="1"/>
  <c r="N15" i="24"/>
  <c r="N17" i="24" s="1"/>
  <c r="O24" i="23"/>
  <c r="P24" i="23"/>
  <c r="P11" i="24"/>
  <c r="P29" i="24" s="1"/>
  <c r="N15" i="23"/>
  <c r="M24" i="23"/>
  <c r="M11" i="24"/>
  <c r="M29" i="24" s="1"/>
  <c r="L24" i="23"/>
  <c r="Q15" i="24"/>
  <c r="Q17" i="24" s="1"/>
  <c r="U28" i="37"/>
  <c r="U56" i="33"/>
  <c r="M24" i="29"/>
  <c r="L24" i="29"/>
  <c r="K24" i="29"/>
  <c r="J24" i="29"/>
  <c r="I24" i="29"/>
  <c r="H24" i="29"/>
  <c r="T55" i="38"/>
  <c r="T28" i="38"/>
  <c r="G24" i="29"/>
  <c r="F24" i="29"/>
  <c r="S15" i="38"/>
  <c r="S17" i="38" s="1"/>
  <c r="S11" i="38" s="1"/>
  <c r="S28" i="38" s="1"/>
  <c r="U11" i="38"/>
  <c r="S13" i="28"/>
  <c r="S15" i="28" s="1"/>
  <c r="R20" i="28"/>
  <c r="R22" i="28" s="1"/>
  <c r="R13" i="28"/>
  <c r="R15" i="28" s="1"/>
  <c r="T13" i="28"/>
  <c r="T15" i="28" s="1"/>
  <c r="T28" i="37"/>
  <c r="R20" i="27"/>
  <c r="R22" i="27" s="1"/>
  <c r="G20" i="37"/>
  <c r="G22" i="37" s="1"/>
  <c r="G24" i="37" s="1"/>
  <c r="T15" i="27"/>
  <c r="T24" i="27"/>
  <c r="R13" i="27"/>
  <c r="R15" i="27" s="1"/>
  <c r="S13" i="27"/>
  <c r="S15" i="27"/>
  <c r="S24" i="27"/>
  <c r="H15" i="37"/>
  <c r="H17" i="37" s="1"/>
  <c r="H11" i="37" s="1"/>
  <c r="H55" i="37" s="1"/>
  <c r="F24" i="27"/>
  <c r="G24" i="27"/>
  <c r="H24" i="27"/>
  <c r="R24" i="27"/>
  <c r="G15" i="37"/>
  <c r="G17" i="37" s="1"/>
  <c r="I55" i="37"/>
  <c r="S20" i="26"/>
  <c r="S22" i="26" s="1"/>
  <c r="S13" i="26"/>
  <c r="S15" i="26" s="1"/>
  <c r="R24" i="26"/>
  <c r="H56" i="33"/>
  <c r="H29" i="33"/>
  <c r="G15" i="33"/>
  <c r="G11" i="33" s="1"/>
  <c r="V11" i="33" s="1"/>
  <c r="S20" i="23"/>
  <c r="S22" i="23" s="1"/>
  <c r="T15" i="23"/>
  <c r="T24" i="23"/>
  <c r="U15" i="24"/>
  <c r="U17" i="24" s="1"/>
  <c r="T11" i="24"/>
  <c r="T29" i="24" s="1"/>
  <c r="T31" i="24" s="1"/>
  <c r="T32" i="24" s="1"/>
  <c r="R15" i="23"/>
  <c r="R24" i="23"/>
  <c r="S13" i="24"/>
  <c r="S15" i="24" s="1"/>
  <c r="S17" i="24" s="1"/>
  <c r="G30" i="24"/>
  <c r="T24" i="26"/>
  <c r="Q24" i="26"/>
  <c r="P24" i="26"/>
  <c r="O24" i="26"/>
  <c r="G15" i="26"/>
  <c r="J24" i="26"/>
  <c r="I24" i="26"/>
  <c r="H24" i="26"/>
  <c r="G24" i="39"/>
  <c r="J11" i="39"/>
  <c r="V11" i="39" s="1"/>
  <c r="R17" i="38"/>
  <c r="R11" i="38" s="1"/>
  <c r="K11" i="37"/>
  <c r="S11" i="37"/>
  <c r="I29" i="24"/>
  <c r="I31" i="24" s="1"/>
  <c r="I32" i="24" s="1"/>
  <c r="H29" i="24"/>
  <c r="H31" i="24" s="1"/>
  <c r="H32" i="24" s="1"/>
  <c r="L29" i="24"/>
  <c r="K29" i="24"/>
  <c r="J29" i="24"/>
  <c r="F15" i="26"/>
  <c r="G33" i="33"/>
  <c r="H33" i="33"/>
  <c r="I33" i="33"/>
  <c r="G34" i="33"/>
  <c r="H34" i="33"/>
  <c r="I34" i="33"/>
  <c r="G35" i="33"/>
  <c r="H35" i="33"/>
  <c r="I35" i="33"/>
  <c r="G37" i="33"/>
  <c r="H37" i="33"/>
  <c r="I37" i="33"/>
  <c r="G38" i="33"/>
  <c r="H38" i="33"/>
  <c r="I38" i="33"/>
  <c r="G39" i="33"/>
  <c r="H39" i="33"/>
  <c r="I39" i="33"/>
  <c r="G40" i="33"/>
  <c r="H40" i="33"/>
  <c r="I40" i="33"/>
  <c r="G41" i="33"/>
  <c r="H41" i="33"/>
  <c r="I41" i="33"/>
  <c r="G42" i="33"/>
  <c r="H42" i="33"/>
  <c r="G43" i="33"/>
  <c r="H43" i="33"/>
  <c r="I43" i="33"/>
  <c r="G44" i="33"/>
  <c r="H44" i="33"/>
  <c r="I44" i="33"/>
  <c r="G45" i="33"/>
  <c r="H45" i="33"/>
  <c r="I45" i="33"/>
  <c r="G46" i="33"/>
  <c r="H46" i="33"/>
  <c r="I46" i="33"/>
  <c r="G47" i="33"/>
  <c r="H47" i="33"/>
  <c r="I47" i="33"/>
  <c r="G48" i="33"/>
  <c r="H48" i="33"/>
  <c r="I48" i="33"/>
  <c r="G49" i="33"/>
  <c r="H49" i="33"/>
  <c r="I49" i="33"/>
  <c r="G50" i="33"/>
  <c r="H50" i="33"/>
  <c r="I50" i="33"/>
  <c r="S33" i="33"/>
  <c r="T33" i="33"/>
  <c r="U33" i="33"/>
  <c r="S34" i="33"/>
  <c r="T34" i="33"/>
  <c r="U34" i="33"/>
  <c r="S35" i="33"/>
  <c r="T35" i="33"/>
  <c r="U35" i="33"/>
  <c r="S37" i="33"/>
  <c r="T37" i="33"/>
  <c r="U37" i="33"/>
  <c r="S38" i="33"/>
  <c r="T38" i="33"/>
  <c r="U38" i="33"/>
  <c r="S39" i="33"/>
  <c r="T39" i="33"/>
  <c r="U39" i="33"/>
  <c r="S40" i="33"/>
  <c r="T40" i="33"/>
  <c r="U40" i="33"/>
  <c r="S41" i="33"/>
  <c r="T41" i="33"/>
  <c r="U41" i="33"/>
  <c r="S43" i="33"/>
  <c r="T43" i="33"/>
  <c r="U43" i="33"/>
  <c r="S44" i="33"/>
  <c r="T44" i="33"/>
  <c r="U44" i="33"/>
  <c r="S45" i="33"/>
  <c r="T45" i="33"/>
  <c r="U45" i="33"/>
  <c r="S46" i="33"/>
  <c r="T46" i="33"/>
  <c r="U46" i="33"/>
  <c r="S47" i="33"/>
  <c r="T47" i="33"/>
  <c r="U47" i="33"/>
  <c r="S48" i="33"/>
  <c r="T48" i="33"/>
  <c r="U48" i="33"/>
  <c r="S49" i="33"/>
  <c r="T49" i="33"/>
  <c r="U49" i="33"/>
  <c r="S50" i="33"/>
  <c r="T50" i="33"/>
  <c r="U50" i="33"/>
  <c r="S32" i="38"/>
  <c r="T32" i="38"/>
  <c r="U32" i="38"/>
  <c r="S33" i="38"/>
  <c r="T33" i="38"/>
  <c r="U33" i="38"/>
  <c r="S34" i="38"/>
  <c r="T34" i="38"/>
  <c r="U34" i="38"/>
  <c r="S36" i="38"/>
  <c r="T36" i="38"/>
  <c r="U36" i="38"/>
  <c r="S37" i="38"/>
  <c r="T37" i="38"/>
  <c r="U37" i="38"/>
  <c r="S38" i="38"/>
  <c r="T38" i="38"/>
  <c r="U38" i="38"/>
  <c r="S39" i="38"/>
  <c r="T39" i="38"/>
  <c r="U39" i="38"/>
  <c r="S40" i="38"/>
  <c r="T40" i="38"/>
  <c r="U40" i="38"/>
  <c r="S42" i="38"/>
  <c r="T42" i="38"/>
  <c r="U42" i="38"/>
  <c r="S43" i="38"/>
  <c r="T43" i="38"/>
  <c r="U43" i="38"/>
  <c r="S44" i="38"/>
  <c r="T44" i="38"/>
  <c r="U44" i="38"/>
  <c r="S45" i="38"/>
  <c r="T45" i="38"/>
  <c r="U45" i="38"/>
  <c r="S46" i="38"/>
  <c r="T46" i="38"/>
  <c r="U46" i="38"/>
  <c r="S47" i="38"/>
  <c r="T47" i="38"/>
  <c r="U47" i="38"/>
  <c r="S48" i="38"/>
  <c r="T48" i="38"/>
  <c r="U48" i="38"/>
  <c r="S49" i="38"/>
  <c r="T49" i="38"/>
  <c r="U49" i="38"/>
  <c r="S32" i="37"/>
  <c r="T32" i="37"/>
  <c r="U32" i="37"/>
  <c r="S33" i="37"/>
  <c r="T33" i="37"/>
  <c r="U33" i="37"/>
  <c r="S34" i="37"/>
  <c r="T34" i="37"/>
  <c r="U34" i="37"/>
  <c r="S36" i="37"/>
  <c r="T36" i="37"/>
  <c r="U36" i="37"/>
  <c r="S37" i="37"/>
  <c r="T37" i="37"/>
  <c r="U37" i="37"/>
  <c r="S38" i="37"/>
  <c r="T38" i="37"/>
  <c r="U38" i="37"/>
  <c r="S39" i="37"/>
  <c r="T39" i="37"/>
  <c r="U39" i="37"/>
  <c r="S40" i="37"/>
  <c r="T40" i="37"/>
  <c r="U40" i="37"/>
  <c r="S42" i="37"/>
  <c r="T42" i="37"/>
  <c r="U42" i="37"/>
  <c r="S43" i="37"/>
  <c r="T43" i="37"/>
  <c r="U43" i="37"/>
  <c r="S44" i="37"/>
  <c r="T44" i="37"/>
  <c r="U44" i="37"/>
  <c r="S45" i="37"/>
  <c r="T45" i="37"/>
  <c r="U45" i="37"/>
  <c r="S46" i="37"/>
  <c r="T46" i="37"/>
  <c r="U46" i="37"/>
  <c r="S47" i="37"/>
  <c r="T47" i="37"/>
  <c r="U47" i="37"/>
  <c r="S48" i="37"/>
  <c r="T48" i="37"/>
  <c r="U48" i="37"/>
  <c r="S49" i="37"/>
  <c r="T49" i="37"/>
  <c r="U49" i="37"/>
  <c r="F67" i="28"/>
  <c r="W42" i="33" l="1"/>
  <c r="U11" i="24"/>
  <c r="G17" i="24"/>
  <c r="G11" i="24"/>
  <c r="G29" i="24" s="1"/>
  <c r="G31" i="24" s="1"/>
  <c r="G32" i="24" s="1"/>
  <c r="Q11" i="24"/>
  <c r="Q29" i="24" s="1"/>
  <c r="O11" i="24"/>
  <c r="O29" i="24" s="1"/>
  <c r="N11" i="24"/>
  <c r="N29" i="24" s="1"/>
  <c r="S55" i="38"/>
  <c r="U28" i="38"/>
  <c r="U55" i="38"/>
  <c r="T24" i="28"/>
  <c r="S24" i="28"/>
  <c r="R24" i="28"/>
  <c r="S55" i="37"/>
  <c r="S28" i="37"/>
  <c r="H28" i="37"/>
  <c r="G11" i="37"/>
  <c r="V11" i="37" s="1"/>
  <c r="V28" i="37" s="1"/>
  <c r="S24" i="26"/>
  <c r="G29" i="33"/>
  <c r="G56" i="33"/>
  <c r="G17" i="33"/>
  <c r="S24" i="23"/>
  <c r="S11" i="24"/>
  <c r="S29" i="24" s="1"/>
  <c r="S31" i="24" s="1"/>
  <c r="S32" i="24" s="1"/>
  <c r="V11" i="38"/>
  <c r="V28" i="38" s="1"/>
  <c r="V29" i="24" l="1"/>
  <c r="V11" i="24"/>
  <c r="G55" i="37"/>
  <c r="G28" i="37"/>
  <c r="K36" i="33" l="1"/>
  <c r="L36" i="33"/>
  <c r="M36" i="33"/>
  <c r="N36" i="33"/>
  <c r="O36" i="33"/>
  <c r="O54" i="33" s="1"/>
  <c r="P36" i="33"/>
  <c r="Q36" i="33"/>
  <c r="R36" i="33"/>
  <c r="R54" i="33" s="1"/>
  <c r="K51" i="33"/>
  <c r="K55" i="33" s="1"/>
  <c r="L51" i="33"/>
  <c r="L55" i="33" s="1"/>
  <c r="M51" i="33"/>
  <c r="M55" i="33" s="1"/>
  <c r="N51" i="33"/>
  <c r="N55" i="33" s="1"/>
  <c r="O51" i="33"/>
  <c r="O55" i="33" s="1"/>
  <c r="P51" i="33"/>
  <c r="P55" i="33" s="1"/>
  <c r="Q51" i="33"/>
  <c r="Q55" i="33" s="1"/>
  <c r="R51" i="33"/>
  <c r="R55" i="33" s="1"/>
  <c r="K54" i="33"/>
  <c r="L54" i="33"/>
  <c r="M54" i="33"/>
  <c r="N54" i="33"/>
  <c r="P54" i="33"/>
  <c r="Q54" i="33"/>
  <c r="K57" i="33"/>
  <c r="L57" i="33"/>
  <c r="M57" i="33"/>
  <c r="N57" i="33"/>
  <c r="O57" i="33"/>
  <c r="P57" i="33"/>
  <c r="Q57" i="33"/>
  <c r="R57" i="33"/>
  <c r="J57" i="33"/>
  <c r="J51" i="33"/>
  <c r="J55" i="33" s="1"/>
  <c r="J36" i="33"/>
  <c r="J54" i="33" s="1"/>
  <c r="I57" i="33"/>
  <c r="H57" i="33"/>
  <c r="G57" i="33"/>
  <c r="U57" i="24"/>
  <c r="U51" i="24"/>
  <c r="I51" i="33" s="1"/>
  <c r="I55" i="33" s="1"/>
  <c r="U36" i="24"/>
  <c r="I36" i="33" s="1"/>
  <c r="I54" i="33" s="1"/>
  <c r="T51" i="24"/>
  <c r="H51" i="33" s="1"/>
  <c r="H55" i="33" s="1"/>
  <c r="T36" i="24"/>
  <c r="S51" i="24"/>
  <c r="S36" i="24"/>
  <c r="I18" i="48"/>
  <c r="J18" i="48"/>
  <c r="K18" i="48"/>
  <c r="L18" i="48"/>
  <c r="M18" i="48"/>
  <c r="N18" i="48"/>
  <c r="O18" i="48"/>
  <c r="P18" i="48"/>
  <c r="Q18" i="48"/>
  <c r="R18" i="48"/>
  <c r="H18" i="48"/>
  <c r="J9" i="47"/>
  <c r="L9" i="47"/>
  <c r="N9" i="47"/>
  <c r="P9" i="47"/>
  <c r="J10" i="47"/>
  <c r="L10" i="47"/>
  <c r="N10" i="47"/>
  <c r="P10" i="47"/>
  <c r="J11" i="47"/>
  <c r="L11" i="47"/>
  <c r="N11" i="47"/>
  <c r="P11" i="47"/>
  <c r="J12" i="47"/>
  <c r="L12" i="47"/>
  <c r="N12" i="47"/>
  <c r="P12" i="47"/>
  <c r="J13" i="47"/>
  <c r="L13" i="47"/>
  <c r="N13" i="47"/>
  <c r="P13" i="47"/>
  <c r="L8" i="47"/>
  <c r="N8" i="47"/>
  <c r="P8" i="47"/>
  <c r="J8" i="47"/>
  <c r="P45" i="47"/>
  <c r="N45" i="47"/>
  <c r="L45" i="47"/>
  <c r="J45" i="47"/>
  <c r="H45" i="47"/>
  <c r="P44" i="47"/>
  <c r="N44" i="47"/>
  <c r="L44" i="47"/>
  <c r="J44" i="47"/>
  <c r="H44" i="47"/>
  <c r="P43" i="47"/>
  <c r="N43" i="47"/>
  <c r="L43" i="47"/>
  <c r="J43" i="47"/>
  <c r="H43" i="47"/>
  <c r="P42" i="47"/>
  <c r="N42" i="47"/>
  <c r="L42" i="47"/>
  <c r="J42" i="47"/>
  <c r="H42" i="47"/>
  <c r="P41" i="47"/>
  <c r="N41" i="47"/>
  <c r="L41" i="47"/>
  <c r="J41" i="47"/>
  <c r="H41" i="47"/>
  <c r="P40" i="47"/>
  <c r="N40" i="47"/>
  <c r="L40" i="47"/>
  <c r="J40" i="47"/>
  <c r="H40" i="47"/>
  <c r="S54" i="24" l="1"/>
  <c r="G36" i="33"/>
  <c r="G54" i="33" s="1"/>
  <c r="S55" i="24"/>
  <c r="G51" i="33"/>
  <c r="G55" i="33" s="1"/>
  <c r="U54" i="24"/>
  <c r="T54" i="24"/>
  <c r="H36" i="33"/>
  <c r="H54" i="33" s="1"/>
  <c r="U55" i="24"/>
  <c r="T55" i="24"/>
  <c r="L58" i="33"/>
  <c r="Q58" i="33"/>
  <c r="O58" i="33"/>
  <c r="N58" i="33"/>
  <c r="P58" i="33"/>
  <c r="M58" i="33"/>
  <c r="K58" i="33"/>
  <c r="R58" i="33"/>
  <c r="T22" i="48"/>
  <c r="T21" i="48"/>
  <c r="T20" i="48"/>
  <c r="S18" i="48"/>
  <c r="T18" i="48" s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C7" i="16"/>
  <c r="B7" i="16"/>
  <c r="U37" i="29"/>
  <c r="U38" i="29"/>
  <c r="U39" i="29"/>
  <c r="H12" i="9" s="1"/>
  <c r="U36" i="29"/>
  <c r="U26" i="28"/>
  <c r="U27" i="28"/>
  <c r="U28" i="28"/>
  <c r="U29" i="28"/>
  <c r="U67" i="29"/>
  <c r="U65" i="29"/>
  <c r="U45" i="29"/>
  <c r="U49" i="29"/>
  <c r="U50" i="29"/>
  <c r="H9" i="9" s="1"/>
  <c r="U51" i="29"/>
  <c r="U52" i="29"/>
  <c r="H11" i="9" s="1"/>
  <c r="U48" i="29"/>
  <c r="U27" i="29"/>
  <c r="U28" i="29"/>
  <c r="U29" i="29"/>
  <c r="U26" i="29"/>
  <c r="U40" i="26"/>
  <c r="U38" i="26"/>
  <c r="E12" i="9" s="1"/>
  <c r="U39" i="26"/>
  <c r="U26" i="26"/>
  <c r="U27" i="26"/>
  <c r="U28" i="26"/>
  <c r="U29" i="26"/>
  <c r="U26" i="23"/>
  <c r="U27" i="23"/>
  <c r="U28" i="23"/>
  <c r="U29" i="23"/>
  <c r="U36" i="23"/>
  <c r="U37" i="23"/>
  <c r="D12" i="9" s="1"/>
  <c r="U38" i="23"/>
  <c r="U39" i="23"/>
  <c r="G25" i="29"/>
  <c r="L47" i="45" s="1"/>
  <c r="H25" i="29"/>
  <c r="M47" i="45" s="1"/>
  <c r="I25" i="29"/>
  <c r="N47" i="45" s="1"/>
  <c r="J25" i="29"/>
  <c r="O47" i="45" s="1"/>
  <c r="K25" i="29"/>
  <c r="P47" i="45" s="1"/>
  <c r="L25" i="29"/>
  <c r="Q47" i="45" s="1"/>
  <c r="M25" i="29"/>
  <c r="R47" i="45" s="1"/>
  <c r="N25" i="29"/>
  <c r="S47" i="45" s="1"/>
  <c r="O25" i="29"/>
  <c r="T47" i="45" s="1"/>
  <c r="P25" i="29"/>
  <c r="U47" i="45" s="1"/>
  <c r="Q25" i="29"/>
  <c r="V47" i="45" s="1"/>
  <c r="F25" i="29"/>
  <c r="K47" i="45" s="1"/>
  <c r="K47" i="44"/>
  <c r="G25" i="28"/>
  <c r="L47" i="44" s="1"/>
  <c r="H25" i="28"/>
  <c r="M47" i="44" s="1"/>
  <c r="I25" i="28"/>
  <c r="J25" i="28"/>
  <c r="O47" i="44" s="1"/>
  <c r="K25" i="28"/>
  <c r="L25" i="28"/>
  <c r="Q47" i="44" s="1"/>
  <c r="M25" i="28"/>
  <c r="R47" i="44" s="1"/>
  <c r="N25" i="28"/>
  <c r="S47" i="44" s="1"/>
  <c r="O25" i="28"/>
  <c r="P25" i="28"/>
  <c r="U47" i="44" s="1"/>
  <c r="Q25" i="28"/>
  <c r="R25" i="28"/>
  <c r="S25" i="28"/>
  <c r="T25" i="28"/>
  <c r="T33" i="28" s="1"/>
  <c r="G25" i="27"/>
  <c r="L47" i="32" s="1"/>
  <c r="H25" i="27"/>
  <c r="I25" i="27"/>
  <c r="N47" i="32" s="1"/>
  <c r="J25" i="27"/>
  <c r="O47" i="32" s="1"/>
  <c r="K25" i="27"/>
  <c r="P47" i="32" s="1"/>
  <c r="L25" i="27"/>
  <c r="Q47" i="32" s="1"/>
  <c r="M25" i="27"/>
  <c r="R47" i="32" s="1"/>
  <c r="N25" i="27"/>
  <c r="S47" i="32" s="1"/>
  <c r="O25" i="27"/>
  <c r="T47" i="32" s="1"/>
  <c r="P25" i="27"/>
  <c r="U47" i="32" s="1"/>
  <c r="Q25" i="27"/>
  <c r="V47" i="32" s="1"/>
  <c r="R25" i="27"/>
  <c r="R33" i="27" s="1"/>
  <c r="S25" i="27"/>
  <c r="T25" i="27"/>
  <c r="F25" i="27"/>
  <c r="K47" i="32" s="1"/>
  <c r="H25" i="26"/>
  <c r="H34" i="26" s="1"/>
  <c r="G25" i="26"/>
  <c r="F25" i="26"/>
  <c r="K47" i="31" s="1"/>
  <c r="I25" i="26"/>
  <c r="N47" i="31" s="1"/>
  <c r="J25" i="26"/>
  <c r="O47" i="31" s="1"/>
  <c r="K25" i="26"/>
  <c r="P47" i="31" s="1"/>
  <c r="L25" i="26"/>
  <c r="Q47" i="31" s="1"/>
  <c r="M25" i="26"/>
  <c r="R47" i="31" s="1"/>
  <c r="N25" i="26"/>
  <c r="S47" i="31" s="1"/>
  <c r="O25" i="26"/>
  <c r="T47" i="31" s="1"/>
  <c r="P25" i="26"/>
  <c r="U47" i="31" s="1"/>
  <c r="Q25" i="26"/>
  <c r="V47" i="31" s="1"/>
  <c r="R25" i="26"/>
  <c r="S25" i="26"/>
  <c r="T25" i="26"/>
  <c r="G25" i="23"/>
  <c r="L46" i="30" s="1"/>
  <c r="H25" i="23"/>
  <c r="M46" i="30" s="1"/>
  <c r="I25" i="23"/>
  <c r="N46" i="30" s="1"/>
  <c r="J25" i="23"/>
  <c r="O46" i="30" s="1"/>
  <c r="K25" i="23"/>
  <c r="P46" i="30" s="1"/>
  <c r="L25" i="23"/>
  <c r="Q46" i="30" s="1"/>
  <c r="M25" i="23"/>
  <c r="R46" i="30" s="1"/>
  <c r="N25" i="23"/>
  <c r="S46" i="30" s="1"/>
  <c r="O25" i="23"/>
  <c r="T46" i="30" s="1"/>
  <c r="P25" i="23"/>
  <c r="U46" i="30" s="1"/>
  <c r="Q25" i="23"/>
  <c r="V46" i="30" s="1"/>
  <c r="R25" i="23"/>
  <c r="S25" i="23"/>
  <c r="T25" i="23"/>
  <c r="U48" i="28"/>
  <c r="U49" i="28"/>
  <c r="U50" i="28"/>
  <c r="G9" i="9" s="1"/>
  <c r="U51" i="28"/>
  <c r="U52" i="28"/>
  <c r="G11" i="9" s="1"/>
  <c r="U65" i="28"/>
  <c r="U36" i="28"/>
  <c r="U37" i="28"/>
  <c r="G12" i="9" s="1"/>
  <c r="U38" i="28"/>
  <c r="U39" i="28"/>
  <c r="U45" i="28"/>
  <c r="H63" i="28"/>
  <c r="M55" i="44" s="1"/>
  <c r="G63" i="28"/>
  <c r="L55" i="44" s="1"/>
  <c r="F63" i="28"/>
  <c r="H44" i="28"/>
  <c r="M51" i="44" s="1"/>
  <c r="G44" i="28"/>
  <c r="L51" i="44" s="1"/>
  <c r="K51" i="44"/>
  <c r="L45" i="44"/>
  <c r="K45" i="44"/>
  <c r="U36" i="27"/>
  <c r="U37" i="27"/>
  <c r="F12" i="9" s="1"/>
  <c r="U38" i="27"/>
  <c r="U39" i="27"/>
  <c r="U46" i="27"/>
  <c r="U49" i="27"/>
  <c r="U50" i="27"/>
  <c r="U51" i="27"/>
  <c r="F9" i="9" s="1"/>
  <c r="U52" i="27"/>
  <c r="U53" i="27"/>
  <c r="F11" i="9" s="1"/>
  <c r="U67" i="27"/>
  <c r="H65" i="27"/>
  <c r="G65" i="27"/>
  <c r="L55" i="32" s="1"/>
  <c r="F65" i="27"/>
  <c r="K55" i="32" s="1"/>
  <c r="H45" i="27"/>
  <c r="M51" i="32" s="1"/>
  <c r="G45" i="27"/>
  <c r="F45" i="27"/>
  <c r="M45" i="32"/>
  <c r="L45" i="32"/>
  <c r="U49" i="23"/>
  <c r="U50" i="23"/>
  <c r="U51" i="23"/>
  <c r="D9" i="9" s="1"/>
  <c r="U52" i="23"/>
  <c r="U53" i="23"/>
  <c r="D11" i="9" s="1"/>
  <c r="U67" i="23"/>
  <c r="U46" i="23"/>
  <c r="U68" i="26"/>
  <c r="U50" i="26"/>
  <c r="U51" i="26"/>
  <c r="U52" i="26"/>
  <c r="E9" i="9" s="1"/>
  <c r="U53" i="26"/>
  <c r="U54" i="26"/>
  <c r="E11" i="9" s="1"/>
  <c r="U37" i="26"/>
  <c r="U47" i="26"/>
  <c r="G44" i="29"/>
  <c r="L51" i="45" s="1"/>
  <c r="H44" i="29"/>
  <c r="M51" i="45" s="1"/>
  <c r="I44" i="29"/>
  <c r="N51" i="45" s="1"/>
  <c r="J44" i="29"/>
  <c r="O51" i="45" s="1"/>
  <c r="K44" i="29"/>
  <c r="P51" i="45" s="1"/>
  <c r="L44" i="29"/>
  <c r="Q51" i="45" s="1"/>
  <c r="M44" i="29"/>
  <c r="R51" i="45" s="1"/>
  <c r="N44" i="29"/>
  <c r="O44" i="29"/>
  <c r="T51" i="45" s="1"/>
  <c r="P44" i="29"/>
  <c r="U51" i="45" s="1"/>
  <c r="Q44" i="29"/>
  <c r="V51" i="45" s="1"/>
  <c r="F44" i="29"/>
  <c r="K51" i="45" s="1"/>
  <c r="I44" i="28"/>
  <c r="N51" i="44" s="1"/>
  <c r="J44" i="28"/>
  <c r="K44" i="28"/>
  <c r="P51" i="44" s="1"/>
  <c r="L44" i="28"/>
  <c r="Q51" i="44" s="1"/>
  <c r="M44" i="28"/>
  <c r="R51" i="44" s="1"/>
  <c r="N44" i="28"/>
  <c r="O44" i="28"/>
  <c r="T51" i="44" s="1"/>
  <c r="P44" i="28"/>
  <c r="U51" i="44" s="1"/>
  <c r="Q44" i="28"/>
  <c r="V51" i="44" s="1"/>
  <c r="R44" i="28"/>
  <c r="S44" i="28"/>
  <c r="T44" i="28"/>
  <c r="I45" i="27"/>
  <c r="N51" i="32" s="1"/>
  <c r="J45" i="27"/>
  <c r="O51" i="32" s="1"/>
  <c r="K45" i="27"/>
  <c r="P51" i="32" s="1"/>
  <c r="L45" i="27"/>
  <c r="Q51" i="32" s="1"/>
  <c r="M45" i="27"/>
  <c r="R51" i="32" s="1"/>
  <c r="N45" i="27"/>
  <c r="S51" i="32" s="1"/>
  <c r="O45" i="27"/>
  <c r="T51" i="32" s="1"/>
  <c r="P45" i="27"/>
  <c r="U51" i="32" s="1"/>
  <c r="Q45" i="27"/>
  <c r="V51" i="32" s="1"/>
  <c r="R45" i="27"/>
  <c r="S45" i="27"/>
  <c r="T45" i="27"/>
  <c r="G46" i="26"/>
  <c r="L51" i="31" s="1"/>
  <c r="H46" i="26"/>
  <c r="M51" i="31" s="1"/>
  <c r="I46" i="26"/>
  <c r="N51" i="31" s="1"/>
  <c r="J46" i="26"/>
  <c r="K46" i="26"/>
  <c r="P51" i="31" s="1"/>
  <c r="L46" i="26"/>
  <c r="Q51" i="31" s="1"/>
  <c r="M46" i="26"/>
  <c r="R51" i="31" s="1"/>
  <c r="N46" i="26"/>
  <c r="S51" i="31" s="1"/>
  <c r="O46" i="26"/>
  <c r="T51" i="31" s="1"/>
  <c r="P46" i="26"/>
  <c r="U51" i="31" s="1"/>
  <c r="Q46" i="26"/>
  <c r="V51" i="31" s="1"/>
  <c r="R46" i="26"/>
  <c r="S46" i="26"/>
  <c r="T46" i="26"/>
  <c r="F46" i="26"/>
  <c r="G45" i="23"/>
  <c r="L50" i="30" s="1"/>
  <c r="H45" i="23"/>
  <c r="I45" i="23"/>
  <c r="N50" i="30" s="1"/>
  <c r="J45" i="23"/>
  <c r="K45" i="23"/>
  <c r="L45" i="23"/>
  <c r="M45" i="23"/>
  <c r="R50" i="30" s="1"/>
  <c r="N45" i="23"/>
  <c r="O45" i="23"/>
  <c r="T50" i="30" s="1"/>
  <c r="P45" i="23"/>
  <c r="Q45" i="23"/>
  <c r="R45" i="23"/>
  <c r="S45" i="23"/>
  <c r="T45" i="23"/>
  <c r="K50" i="30"/>
  <c r="S92" i="45"/>
  <c r="T92" i="45"/>
  <c r="U92" i="45"/>
  <c r="V92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M7" i="45"/>
  <c r="N7" i="45"/>
  <c r="O7" i="45"/>
  <c r="P7" i="45"/>
  <c r="Q7" i="45"/>
  <c r="R7" i="45"/>
  <c r="S7" i="45"/>
  <c r="T7" i="45"/>
  <c r="U7" i="45"/>
  <c r="V7" i="45"/>
  <c r="L7" i="45"/>
  <c r="M61" i="44"/>
  <c r="N61" i="44"/>
  <c r="O61" i="44"/>
  <c r="P61" i="44"/>
  <c r="Q61" i="44"/>
  <c r="R61" i="44"/>
  <c r="S61" i="44"/>
  <c r="T61" i="44"/>
  <c r="U61" i="44"/>
  <c r="V61" i="44"/>
  <c r="K61" i="44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O51" i="44"/>
  <c r="N47" i="44"/>
  <c r="P47" i="44"/>
  <c r="T47" i="44"/>
  <c r="V47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7" i="44"/>
  <c r="N7" i="44"/>
  <c r="O7" i="44"/>
  <c r="P7" i="44"/>
  <c r="Q7" i="44"/>
  <c r="R7" i="44"/>
  <c r="S7" i="44"/>
  <c r="T7" i="44"/>
  <c r="U7" i="44"/>
  <c r="V7" i="44"/>
  <c r="L7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M7" i="32"/>
  <c r="N7" i="32"/>
  <c r="O7" i="32"/>
  <c r="P7" i="32"/>
  <c r="Q7" i="32"/>
  <c r="R7" i="32"/>
  <c r="S7" i="32"/>
  <c r="T7" i="32"/>
  <c r="U7" i="32"/>
  <c r="V7" i="32"/>
  <c r="L7" i="32"/>
  <c r="L6" i="32"/>
  <c r="M6" i="32"/>
  <c r="N6" i="32"/>
  <c r="O6" i="32"/>
  <c r="P6" i="32"/>
  <c r="Q6" i="32"/>
  <c r="R6" i="32"/>
  <c r="S6" i="32"/>
  <c r="T6" i="32"/>
  <c r="U6" i="32"/>
  <c r="V6" i="32"/>
  <c r="K6" i="32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L6" i="31"/>
  <c r="M6" i="31"/>
  <c r="N6" i="31"/>
  <c r="O6" i="31"/>
  <c r="P6" i="31"/>
  <c r="Q6" i="31"/>
  <c r="R6" i="31"/>
  <c r="S6" i="31"/>
  <c r="T6" i="31"/>
  <c r="U6" i="31"/>
  <c r="V6" i="31"/>
  <c r="K6" i="31"/>
  <c r="K90" i="30"/>
  <c r="G27" i="25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L6" i="30"/>
  <c r="M6" i="30"/>
  <c r="N6" i="30"/>
  <c r="O6" i="30"/>
  <c r="P6" i="30"/>
  <c r="Q6" i="30"/>
  <c r="R6" i="30"/>
  <c r="S6" i="30"/>
  <c r="T6" i="30"/>
  <c r="U6" i="30"/>
  <c r="V6" i="30"/>
  <c r="K6" i="30"/>
  <c r="V41" i="39"/>
  <c r="V41" i="38"/>
  <c r="V41" i="37"/>
  <c r="V25" i="37"/>
  <c r="V26" i="33"/>
  <c r="O56" i="24"/>
  <c r="U5" i="30"/>
  <c r="L53" i="39"/>
  <c r="R50" i="39"/>
  <c r="R54" i="39" s="1"/>
  <c r="Q50" i="39"/>
  <c r="Q54" i="39" s="1"/>
  <c r="P50" i="39"/>
  <c r="P54" i="39" s="1"/>
  <c r="O50" i="39"/>
  <c r="O54" i="39" s="1"/>
  <c r="N50" i="39"/>
  <c r="N54" i="39" s="1"/>
  <c r="M50" i="39"/>
  <c r="M54" i="39" s="1"/>
  <c r="L50" i="39"/>
  <c r="L54" i="39" s="1"/>
  <c r="K50" i="39"/>
  <c r="K54" i="39" s="1"/>
  <c r="J50" i="39"/>
  <c r="J54" i="39" s="1"/>
  <c r="I50" i="39"/>
  <c r="H50" i="39"/>
  <c r="G50" i="39"/>
  <c r="R35" i="39"/>
  <c r="R53" i="39" s="1"/>
  <c r="Q35" i="39"/>
  <c r="Q53" i="39" s="1"/>
  <c r="P35" i="39"/>
  <c r="T9" i="45" s="1"/>
  <c r="O35" i="39"/>
  <c r="O53" i="39" s="1"/>
  <c r="N35" i="39"/>
  <c r="N53" i="39" s="1"/>
  <c r="M35" i="39"/>
  <c r="Q9" i="45" s="1"/>
  <c r="L35" i="39"/>
  <c r="P9" i="45" s="1"/>
  <c r="K35" i="39"/>
  <c r="K53" i="39" s="1"/>
  <c r="J35" i="39"/>
  <c r="J53" i="39" s="1"/>
  <c r="I35" i="39"/>
  <c r="H35" i="39"/>
  <c r="T35" i="38" s="1"/>
  <c r="T53" i="38" s="1"/>
  <c r="G35" i="39"/>
  <c r="K9" i="45" s="1"/>
  <c r="Q53" i="38"/>
  <c r="R50" i="38"/>
  <c r="R54" i="38" s="1"/>
  <c r="Q50" i="38"/>
  <c r="Q54" i="38" s="1"/>
  <c r="P50" i="38"/>
  <c r="P54" i="38" s="1"/>
  <c r="O50" i="38"/>
  <c r="O54" i="38" s="1"/>
  <c r="N50" i="38"/>
  <c r="N54" i="38" s="1"/>
  <c r="M50" i="38"/>
  <c r="M54" i="38" s="1"/>
  <c r="L50" i="38"/>
  <c r="L54" i="38" s="1"/>
  <c r="K50" i="38"/>
  <c r="K54" i="38" s="1"/>
  <c r="J50" i="38"/>
  <c r="J54" i="38" s="1"/>
  <c r="I50" i="38"/>
  <c r="H50" i="38"/>
  <c r="R35" i="38"/>
  <c r="V9" i="44" s="1"/>
  <c r="Q35" i="38"/>
  <c r="U9" i="44" s="1"/>
  <c r="P35" i="38"/>
  <c r="P53" i="38" s="1"/>
  <c r="O35" i="38"/>
  <c r="O53" i="38" s="1"/>
  <c r="N35" i="38"/>
  <c r="N53" i="38" s="1"/>
  <c r="M35" i="38"/>
  <c r="M53" i="38" s="1"/>
  <c r="L35" i="38"/>
  <c r="L53" i="38" s="1"/>
  <c r="K35" i="38"/>
  <c r="O9" i="44" s="1"/>
  <c r="J35" i="38"/>
  <c r="J53" i="38" s="1"/>
  <c r="I35" i="38"/>
  <c r="U35" i="37" s="1"/>
  <c r="H35" i="38"/>
  <c r="L9" i="44" s="1"/>
  <c r="G35" i="38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R50" i="37"/>
  <c r="R54" i="37" s="1"/>
  <c r="Q50" i="37"/>
  <c r="Q54" i="37" s="1"/>
  <c r="P50" i="37"/>
  <c r="P54" i="37" s="1"/>
  <c r="O50" i="37"/>
  <c r="O54" i="37" s="1"/>
  <c r="N50" i="37"/>
  <c r="N54" i="37" s="1"/>
  <c r="M50" i="37"/>
  <c r="M54" i="37" s="1"/>
  <c r="L50" i="37"/>
  <c r="L54" i="37" s="1"/>
  <c r="K50" i="37"/>
  <c r="K54" i="37" s="1"/>
  <c r="J50" i="37"/>
  <c r="J54" i="37" s="1"/>
  <c r="I50" i="37"/>
  <c r="H50" i="37"/>
  <c r="G50" i="37"/>
  <c r="U53" i="37"/>
  <c r="R35" i="37"/>
  <c r="R53" i="37" s="1"/>
  <c r="Q35" i="37"/>
  <c r="Q53" i="37" s="1"/>
  <c r="P35" i="37"/>
  <c r="P53" i="37" s="1"/>
  <c r="O35" i="37"/>
  <c r="O53" i="37" s="1"/>
  <c r="N35" i="37"/>
  <c r="R9" i="32" s="1"/>
  <c r="M35" i="37"/>
  <c r="Q9" i="32" s="1"/>
  <c r="L35" i="37"/>
  <c r="L53" i="37" s="1"/>
  <c r="K35" i="37"/>
  <c r="K53" i="37" s="1"/>
  <c r="J35" i="37"/>
  <c r="J53" i="37" s="1"/>
  <c r="I35" i="37"/>
  <c r="H35" i="37"/>
  <c r="G35" i="37"/>
  <c r="S36" i="33" s="1"/>
  <c r="S54" i="33" s="1"/>
  <c r="F31" i="25"/>
  <c r="U57" i="33"/>
  <c r="T57" i="33"/>
  <c r="S57" i="33"/>
  <c r="H56" i="24"/>
  <c r="I56" i="24"/>
  <c r="J56" i="24"/>
  <c r="M56" i="24"/>
  <c r="H36" i="24"/>
  <c r="H54" i="24" s="1"/>
  <c r="I36" i="24"/>
  <c r="I54" i="24" s="1"/>
  <c r="J36" i="24"/>
  <c r="J54" i="24" s="1"/>
  <c r="K36" i="24"/>
  <c r="K54" i="24" s="1"/>
  <c r="L36" i="24"/>
  <c r="L54" i="24" s="1"/>
  <c r="M36" i="24"/>
  <c r="M54" i="24" s="1"/>
  <c r="N36" i="24"/>
  <c r="N54" i="24" s="1"/>
  <c r="O36" i="24"/>
  <c r="O54" i="24" s="1"/>
  <c r="P36" i="24"/>
  <c r="P54" i="24" s="1"/>
  <c r="Q36" i="24"/>
  <c r="Q54" i="24" s="1"/>
  <c r="R36" i="24"/>
  <c r="R54" i="24" s="1"/>
  <c r="G36" i="24"/>
  <c r="G54" i="24" s="1"/>
  <c r="N61" i="32"/>
  <c r="O61" i="32"/>
  <c r="P61" i="32"/>
  <c r="Q61" i="32"/>
  <c r="R61" i="32"/>
  <c r="S61" i="32"/>
  <c r="T61" i="32"/>
  <c r="U61" i="32"/>
  <c r="V61" i="32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L59" i="31"/>
  <c r="M59" i="31"/>
  <c r="N59" i="31"/>
  <c r="O59" i="31"/>
  <c r="P59" i="31"/>
  <c r="Q59" i="31"/>
  <c r="R59" i="31"/>
  <c r="S59" i="31"/>
  <c r="T59" i="31"/>
  <c r="U59" i="31"/>
  <c r="V59" i="31"/>
  <c r="K59" i="31"/>
  <c r="L53" i="31"/>
  <c r="M53" i="31"/>
  <c r="N53" i="31"/>
  <c r="O53" i="31"/>
  <c r="P53" i="31"/>
  <c r="Q53" i="31"/>
  <c r="R53" i="31"/>
  <c r="S53" i="31"/>
  <c r="T53" i="31"/>
  <c r="U53" i="31"/>
  <c r="V53" i="31"/>
  <c r="K53" i="31"/>
  <c r="K60" i="30"/>
  <c r="K62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Q63" i="29"/>
  <c r="V55" i="45" s="1"/>
  <c r="P63" i="29"/>
  <c r="U55" i="45" s="1"/>
  <c r="O63" i="29"/>
  <c r="T55" i="45" s="1"/>
  <c r="N63" i="29"/>
  <c r="S55" i="45" s="1"/>
  <c r="M63" i="29"/>
  <c r="R55" i="45" s="1"/>
  <c r="L63" i="29"/>
  <c r="Q55" i="45" s="1"/>
  <c r="K63" i="29"/>
  <c r="P55" i="45" s="1"/>
  <c r="J63" i="29"/>
  <c r="O55" i="45" s="1"/>
  <c r="I63" i="29"/>
  <c r="N55" i="45" s="1"/>
  <c r="H63" i="29"/>
  <c r="M55" i="45" s="1"/>
  <c r="G63" i="29"/>
  <c r="L55" i="45" s="1"/>
  <c r="F63" i="29"/>
  <c r="K55" i="45" s="1"/>
  <c r="T63" i="28"/>
  <c r="S63" i="28"/>
  <c r="R63" i="28"/>
  <c r="Q63" i="28"/>
  <c r="V55" i="44" s="1"/>
  <c r="P63" i="28"/>
  <c r="U55" i="44" s="1"/>
  <c r="O63" i="28"/>
  <c r="T55" i="44" s="1"/>
  <c r="N63" i="28"/>
  <c r="S55" i="44" s="1"/>
  <c r="M63" i="28"/>
  <c r="R55" i="44" s="1"/>
  <c r="L63" i="28"/>
  <c r="Q55" i="44" s="1"/>
  <c r="K63" i="28"/>
  <c r="P55" i="44" s="1"/>
  <c r="J63" i="28"/>
  <c r="O55" i="44" s="1"/>
  <c r="I63" i="28"/>
  <c r="N55" i="44" s="1"/>
  <c r="T65" i="27"/>
  <c r="S65" i="27"/>
  <c r="R65" i="27"/>
  <c r="Q65" i="27"/>
  <c r="V55" i="32" s="1"/>
  <c r="P65" i="27"/>
  <c r="U55" i="32" s="1"/>
  <c r="O65" i="27"/>
  <c r="T55" i="32" s="1"/>
  <c r="N65" i="27"/>
  <c r="S55" i="32" s="1"/>
  <c r="M65" i="27"/>
  <c r="R55" i="32" s="1"/>
  <c r="L65" i="27"/>
  <c r="Q55" i="32" s="1"/>
  <c r="K65" i="27"/>
  <c r="P55" i="32" s="1"/>
  <c r="J65" i="27"/>
  <c r="O55" i="32" s="1"/>
  <c r="I65" i="27"/>
  <c r="T66" i="26"/>
  <c r="S66" i="26"/>
  <c r="R66" i="26"/>
  <c r="Q66" i="26"/>
  <c r="V55" i="31" s="1"/>
  <c r="P66" i="26"/>
  <c r="U55" i="31" s="1"/>
  <c r="O66" i="26"/>
  <c r="T55" i="31" s="1"/>
  <c r="N66" i="26"/>
  <c r="S55" i="31" s="1"/>
  <c r="M66" i="26"/>
  <c r="R55" i="31" s="1"/>
  <c r="L66" i="26"/>
  <c r="Q55" i="31" s="1"/>
  <c r="K66" i="26"/>
  <c r="P55" i="31" s="1"/>
  <c r="J66" i="26"/>
  <c r="O55" i="31" s="1"/>
  <c r="I66" i="26"/>
  <c r="N55" i="31" s="1"/>
  <c r="H66" i="26"/>
  <c r="M55" i="31" s="1"/>
  <c r="G66" i="26"/>
  <c r="L55" i="31" s="1"/>
  <c r="F66" i="26"/>
  <c r="K55" i="31" s="1"/>
  <c r="H65" i="23"/>
  <c r="I65" i="23"/>
  <c r="N54" i="30" s="1"/>
  <c r="J65" i="23"/>
  <c r="O54" i="30" s="1"/>
  <c r="K65" i="23"/>
  <c r="P54" i="30" s="1"/>
  <c r="L65" i="23"/>
  <c r="M65" i="23"/>
  <c r="R54" i="30" s="1"/>
  <c r="N65" i="23"/>
  <c r="O65" i="23"/>
  <c r="P65" i="23"/>
  <c r="Q65" i="23"/>
  <c r="V54" i="30" s="1"/>
  <c r="R65" i="23"/>
  <c r="S65" i="23"/>
  <c r="T65" i="23"/>
  <c r="G65" i="23"/>
  <c r="L54" i="30" s="1"/>
  <c r="K54" i="30"/>
  <c r="H51" i="24"/>
  <c r="H55" i="24" s="1"/>
  <c r="I51" i="24"/>
  <c r="I55" i="24" s="1"/>
  <c r="J51" i="24"/>
  <c r="J55" i="24" s="1"/>
  <c r="K51" i="24"/>
  <c r="K55" i="24" s="1"/>
  <c r="L51" i="24"/>
  <c r="L55" i="24" s="1"/>
  <c r="M51" i="24"/>
  <c r="M55" i="24" s="1"/>
  <c r="N51" i="24"/>
  <c r="N55" i="24" s="1"/>
  <c r="O51" i="24"/>
  <c r="O55" i="24" s="1"/>
  <c r="P51" i="24"/>
  <c r="P55" i="24" s="1"/>
  <c r="Q51" i="24"/>
  <c r="Q55" i="24" s="1"/>
  <c r="R51" i="24"/>
  <c r="R55" i="24" s="1"/>
  <c r="G51" i="24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7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P33" i="11"/>
  <c r="O33" i="11"/>
  <c r="N33" i="11"/>
  <c r="M33" i="11"/>
  <c r="L33" i="11"/>
  <c r="K33" i="11"/>
  <c r="J33" i="11"/>
  <c r="I33" i="11"/>
  <c r="H33" i="11"/>
  <c r="Q32" i="11"/>
  <c r="P32" i="11"/>
  <c r="O32" i="11"/>
  <c r="N32" i="11"/>
  <c r="M32" i="11"/>
  <c r="L32" i="11"/>
  <c r="K32" i="11"/>
  <c r="J32" i="11"/>
  <c r="I32" i="11"/>
  <c r="H32" i="11"/>
  <c r="Q31" i="11"/>
  <c r="P31" i="11"/>
  <c r="O31" i="11"/>
  <c r="N31" i="11"/>
  <c r="M31" i="11"/>
  <c r="L31" i="11"/>
  <c r="K31" i="11"/>
  <c r="J31" i="11"/>
  <c r="I31" i="11"/>
  <c r="H31" i="11"/>
  <c r="Q30" i="11"/>
  <c r="P30" i="11"/>
  <c r="O30" i="11"/>
  <c r="N30" i="11"/>
  <c r="M30" i="11"/>
  <c r="L30" i="11"/>
  <c r="K30" i="11"/>
  <c r="J30" i="11"/>
  <c r="H30" i="11"/>
  <c r="I30" i="11"/>
  <c r="F37" i="2"/>
  <c r="F23" i="10" s="1"/>
  <c r="G37" i="2"/>
  <c r="G23" i="10" s="1"/>
  <c r="H37" i="2"/>
  <c r="H23" i="10" s="1"/>
  <c r="I37" i="2"/>
  <c r="I23" i="10" s="1"/>
  <c r="J37" i="2"/>
  <c r="J23" i="10" s="1"/>
  <c r="K37" i="2"/>
  <c r="K23" i="10" s="1"/>
  <c r="L37" i="2"/>
  <c r="L23" i="10" s="1"/>
  <c r="M37" i="2"/>
  <c r="M23" i="10" s="1"/>
  <c r="N37" i="2"/>
  <c r="N23" i="10" s="1"/>
  <c r="O37" i="2"/>
  <c r="O23" i="10" s="1"/>
  <c r="P37" i="2"/>
  <c r="P23" i="10" s="1"/>
  <c r="E37" i="2"/>
  <c r="E23" i="10" s="1"/>
  <c r="F36" i="2"/>
  <c r="F22" i="10" s="1"/>
  <c r="G36" i="2"/>
  <c r="G22" i="10" s="1"/>
  <c r="H36" i="2"/>
  <c r="H22" i="10" s="1"/>
  <c r="I36" i="2"/>
  <c r="I22" i="10" s="1"/>
  <c r="J36" i="2"/>
  <c r="J22" i="10" s="1"/>
  <c r="K36" i="2"/>
  <c r="K22" i="10" s="1"/>
  <c r="L36" i="2"/>
  <c r="L22" i="10" s="1"/>
  <c r="M36" i="2"/>
  <c r="M22" i="10" s="1"/>
  <c r="N36" i="2"/>
  <c r="N22" i="10" s="1"/>
  <c r="O36" i="2"/>
  <c r="O22" i="10" s="1"/>
  <c r="P36" i="2"/>
  <c r="P22" i="10" s="1"/>
  <c r="E36" i="2"/>
  <c r="E22" i="10" s="1"/>
  <c r="H12" i="10"/>
  <c r="G10" i="10"/>
  <c r="I10" i="10"/>
  <c r="O10" i="10"/>
  <c r="E21" i="2"/>
  <c r="F12" i="10" s="1"/>
  <c r="F21" i="2"/>
  <c r="G12" i="10" s="1"/>
  <c r="G21" i="2"/>
  <c r="H21" i="2"/>
  <c r="I12" i="10" s="1"/>
  <c r="I21" i="2"/>
  <c r="J12" i="10" s="1"/>
  <c r="J21" i="2"/>
  <c r="K12" i="10" s="1"/>
  <c r="K21" i="2"/>
  <c r="L12" i="10" s="1"/>
  <c r="L21" i="2"/>
  <c r="M12" i="10" s="1"/>
  <c r="M21" i="2"/>
  <c r="N12" i="10" s="1"/>
  <c r="N21" i="2"/>
  <c r="O12" i="10" s="1"/>
  <c r="O21" i="2"/>
  <c r="P12" i="10" s="1"/>
  <c r="D21" i="2"/>
  <c r="E12" i="10" s="1"/>
  <c r="E20" i="2"/>
  <c r="F11" i="10" s="1"/>
  <c r="F20" i="2"/>
  <c r="G11" i="10" s="1"/>
  <c r="G20" i="2"/>
  <c r="H11" i="10" s="1"/>
  <c r="H20" i="2"/>
  <c r="I11" i="10" s="1"/>
  <c r="I20" i="2"/>
  <c r="J11" i="10" s="1"/>
  <c r="J20" i="2"/>
  <c r="K11" i="10" s="1"/>
  <c r="K20" i="2"/>
  <c r="L11" i="10" s="1"/>
  <c r="L20" i="2"/>
  <c r="M11" i="10" s="1"/>
  <c r="M20" i="2"/>
  <c r="N11" i="10" s="1"/>
  <c r="N20" i="2"/>
  <c r="O11" i="10" s="1"/>
  <c r="O20" i="2"/>
  <c r="P11" i="10" s="1"/>
  <c r="D20" i="2"/>
  <c r="E11" i="10" s="1"/>
  <c r="E19" i="2"/>
  <c r="F10" i="10" s="1"/>
  <c r="F19" i="2"/>
  <c r="G19" i="2"/>
  <c r="H10" i="10" s="1"/>
  <c r="H19" i="2"/>
  <c r="I19" i="2"/>
  <c r="J10" i="10" s="1"/>
  <c r="J19" i="2"/>
  <c r="K10" i="10" s="1"/>
  <c r="K19" i="2"/>
  <c r="L10" i="10" s="1"/>
  <c r="L19" i="2"/>
  <c r="M10" i="10" s="1"/>
  <c r="M19" i="2"/>
  <c r="N10" i="10" s="1"/>
  <c r="N19" i="2"/>
  <c r="O19" i="2"/>
  <c r="P10" i="10" s="1"/>
  <c r="D19" i="2"/>
  <c r="E10" i="10" s="1"/>
  <c r="K44" i="15"/>
  <c r="H44" i="15"/>
  <c r="F44" i="15"/>
  <c r="L44" i="15"/>
  <c r="M34" i="15"/>
  <c r="M44" i="15"/>
  <c r="H10" i="9" l="1"/>
  <c r="H13" i="9" s="1"/>
  <c r="O11" i="9" s="1"/>
  <c r="F33" i="29"/>
  <c r="K49" i="45" s="1"/>
  <c r="J33" i="27"/>
  <c r="G57" i="37"/>
  <c r="K16" i="30"/>
  <c r="F16" i="25"/>
  <c r="G16" i="25" s="1"/>
  <c r="G18" i="25" s="1"/>
  <c r="G19" i="25" s="1"/>
  <c r="L87" i="30" s="1"/>
  <c r="N33" i="27"/>
  <c r="S49" i="32" s="1"/>
  <c r="S9" i="45"/>
  <c r="H53" i="39"/>
  <c r="M53" i="39"/>
  <c r="O9" i="45"/>
  <c r="I53" i="39"/>
  <c r="U35" i="38"/>
  <c r="U53" i="38" s="1"/>
  <c r="P53" i="39"/>
  <c r="V9" i="45"/>
  <c r="N9" i="45"/>
  <c r="U9" i="45"/>
  <c r="M9" i="45"/>
  <c r="L9" i="45"/>
  <c r="G53" i="39"/>
  <c r="S35" i="38"/>
  <c r="S53" i="38" s="1"/>
  <c r="R9" i="45"/>
  <c r="I58" i="30"/>
  <c r="I59" i="44"/>
  <c r="I59" i="31"/>
  <c r="I59" i="32"/>
  <c r="I59" i="45"/>
  <c r="U25" i="29"/>
  <c r="I55" i="44"/>
  <c r="I55" i="31"/>
  <c r="I55" i="45"/>
  <c r="I55" i="32"/>
  <c r="I54" i="30"/>
  <c r="I51" i="31"/>
  <c r="I51" i="45"/>
  <c r="I51" i="32"/>
  <c r="I50" i="30"/>
  <c r="I51" i="44"/>
  <c r="I47" i="45"/>
  <c r="I47" i="32"/>
  <c r="I47" i="31"/>
  <c r="I46" i="30"/>
  <c r="I47" i="44"/>
  <c r="I53" i="31"/>
  <c r="I53" i="45"/>
  <c r="I52" i="30"/>
  <c r="I53" i="32"/>
  <c r="I53" i="44"/>
  <c r="I53" i="38"/>
  <c r="K53" i="38"/>
  <c r="S9" i="44"/>
  <c r="M9" i="44"/>
  <c r="H9" i="45"/>
  <c r="H9" i="30"/>
  <c r="H9" i="32"/>
  <c r="H9" i="31"/>
  <c r="H9" i="44"/>
  <c r="R53" i="38"/>
  <c r="P9" i="44"/>
  <c r="H15" i="45"/>
  <c r="H15" i="44"/>
  <c r="H15" i="32"/>
  <c r="H15" i="31"/>
  <c r="H15" i="30"/>
  <c r="G53" i="38"/>
  <c r="S35" i="37"/>
  <c r="S53" i="37" s="1"/>
  <c r="N9" i="44"/>
  <c r="H53" i="38"/>
  <c r="T35" i="37"/>
  <c r="T53" i="37" s="1"/>
  <c r="I54" i="38"/>
  <c r="I57" i="38" s="1"/>
  <c r="U50" i="37"/>
  <c r="U54" i="37" s="1"/>
  <c r="U57" i="37" s="1"/>
  <c r="T9" i="44"/>
  <c r="H12" i="31"/>
  <c r="H12" i="44"/>
  <c r="H12" i="30"/>
  <c r="H12" i="32"/>
  <c r="H12" i="45"/>
  <c r="R9" i="44"/>
  <c r="H7" i="45"/>
  <c r="H7" i="44"/>
  <c r="H7" i="32"/>
  <c r="H7" i="31"/>
  <c r="H7" i="30"/>
  <c r="Q9" i="44"/>
  <c r="G10" i="9"/>
  <c r="G13" i="9" s="1"/>
  <c r="N9" i="9" s="1"/>
  <c r="H47" i="44"/>
  <c r="H47" i="31"/>
  <c r="H47" i="45"/>
  <c r="H47" i="32"/>
  <c r="H46" i="30"/>
  <c r="H59" i="32"/>
  <c r="H59" i="45"/>
  <c r="H58" i="30"/>
  <c r="H59" i="44"/>
  <c r="H59" i="31"/>
  <c r="H55" i="32"/>
  <c r="H54" i="30"/>
  <c r="H55" i="44"/>
  <c r="H55" i="31"/>
  <c r="H55" i="45"/>
  <c r="H50" i="30"/>
  <c r="H51" i="44"/>
  <c r="H51" i="31"/>
  <c r="H51" i="45"/>
  <c r="H51" i="32"/>
  <c r="H52" i="30"/>
  <c r="H53" i="44"/>
  <c r="H53" i="32"/>
  <c r="H53" i="31"/>
  <c r="H53" i="45"/>
  <c r="H53" i="37"/>
  <c r="T36" i="33"/>
  <c r="T54" i="33" s="1"/>
  <c r="I53" i="37"/>
  <c r="U36" i="33"/>
  <c r="U54" i="33" s="1"/>
  <c r="L9" i="32"/>
  <c r="T9" i="32"/>
  <c r="F10" i="9"/>
  <c r="F13" i="9" s="1"/>
  <c r="M12" i="9" s="1"/>
  <c r="G47" i="31"/>
  <c r="G47" i="45"/>
  <c r="G47" i="32"/>
  <c r="G46" i="30"/>
  <c r="G47" i="44"/>
  <c r="G53" i="44"/>
  <c r="G53" i="31"/>
  <c r="G53" i="45"/>
  <c r="G53" i="32"/>
  <c r="G52" i="30"/>
  <c r="L33" i="27"/>
  <c r="Q49" i="32" s="1"/>
  <c r="T33" i="27"/>
  <c r="G54" i="30"/>
  <c r="G55" i="44"/>
  <c r="G55" i="31"/>
  <c r="G55" i="45"/>
  <c r="G55" i="32"/>
  <c r="G58" i="30"/>
  <c r="G59" i="44"/>
  <c r="G59" i="31"/>
  <c r="G59" i="32"/>
  <c r="G59" i="45"/>
  <c r="G51" i="31"/>
  <c r="G51" i="45"/>
  <c r="G51" i="32"/>
  <c r="G51" i="44"/>
  <c r="G50" i="30"/>
  <c r="F7" i="45"/>
  <c r="F7" i="44"/>
  <c r="F7" i="32"/>
  <c r="F7" i="31"/>
  <c r="F7" i="30"/>
  <c r="F12" i="45"/>
  <c r="F12" i="44"/>
  <c r="F12" i="32"/>
  <c r="F12" i="31"/>
  <c r="F12" i="30"/>
  <c r="U29" i="24"/>
  <c r="U31" i="24" s="1"/>
  <c r="F15" i="32"/>
  <c r="F15" i="31"/>
  <c r="F15" i="30"/>
  <c r="F15" i="45"/>
  <c r="F15" i="44"/>
  <c r="K46" i="30"/>
  <c r="E15" i="45"/>
  <c r="E15" i="32"/>
  <c r="E15" i="30"/>
  <c r="E15" i="31"/>
  <c r="E15" i="44"/>
  <c r="E7" i="45"/>
  <c r="E7" i="44"/>
  <c r="E7" i="32"/>
  <c r="E7" i="31"/>
  <c r="E7" i="30"/>
  <c r="E12" i="45"/>
  <c r="E12" i="44"/>
  <c r="E12" i="32"/>
  <c r="E12" i="31"/>
  <c r="E12" i="30"/>
  <c r="L90" i="30"/>
  <c r="G69" i="23"/>
  <c r="H27" i="24" s="1"/>
  <c r="H59" i="24" s="1"/>
  <c r="E10" i="9"/>
  <c r="E13" i="9" s="1"/>
  <c r="L9" i="9" s="1"/>
  <c r="F54" i="30"/>
  <c r="F55" i="44"/>
  <c r="F55" i="31"/>
  <c r="F55" i="45"/>
  <c r="F55" i="32"/>
  <c r="F51" i="44"/>
  <c r="F51" i="31"/>
  <c r="F51" i="45"/>
  <c r="F51" i="32"/>
  <c r="F50" i="30"/>
  <c r="F58" i="30"/>
  <c r="F59" i="44"/>
  <c r="F59" i="31"/>
  <c r="F59" i="32"/>
  <c r="F59" i="45"/>
  <c r="F47" i="31"/>
  <c r="F47" i="45"/>
  <c r="F47" i="32"/>
  <c r="F46" i="30"/>
  <c r="F47" i="44"/>
  <c r="F34" i="26"/>
  <c r="K49" i="31" s="1"/>
  <c r="F53" i="44"/>
  <c r="F53" i="45"/>
  <c r="F52" i="30"/>
  <c r="F53" i="31"/>
  <c r="F53" i="32"/>
  <c r="D10" i="9"/>
  <c r="D13" i="9" s="1"/>
  <c r="K11" i="9" s="1"/>
  <c r="E47" i="31"/>
  <c r="E47" i="32"/>
  <c r="E46" i="30"/>
  <c r="E47" i="44"/>
  <c r="E47" i="45"/>
  <c r="E53" i="44"/>
  <c r="E52" i="30"/>
  <c r="E53" i="45"/>
  <c r="E53" i="31"/>
  <c r="E53" i="32"/>
  <c r="E59" i="32"/>
  <c r="E59" i="31"/>
  <c r="E58" i="30"/>
  <c r="E59" i="45"/>
  <c r="E59" i="44"/>
  <c r="E54" i="30"/>
  <c r="E55" i="44"/>
  <c r="E55" i="31"/>
  <c r="E55" i="45"/>
  <c r="E55" i="32"/>
  <c r="H33" i="23"/>
  <c r="M48" i="30" s="1"/>
  <c r="P33" i="23"/>
  <c r="U48" i="30" s="1"/>
  <c r="I61" i="44"/>
  <c r="I61" i="45"/>
  <c r="I60" i="30"/>
  <c r="I61" i="31"/>
  <c r="I61" i="32"/>
  <c r="I7" i="45"/>
  <c r="I7" i="44"/>
  <c r="I7" i="32"/>
  <c r="I7" i="31"/>
  <c r="I7" i="30"/>
  <c r="I15" i="45"/>
  <c r="I15" i="44"/>
  <c r="I15" i="32"/>
  <c r="I15" i="31"/>
  <c r="I15" i="30"/>
  <c r="I12" i="44"/>
  <c r="I12" i="45"/>
  <c r="I12" i="30"/>
  <c r="I12" i="32"/>
  <c r="I12" i="31"/>
  <c r="I54" i="39"/>
  <c r="U50" i="38"/>
  <c r="U54" i="38" s="1"/>
  <c r="H54" i="39"/>
  <c r="T50" i="38"/>
  <c r="T54" i="38" s="1"/>
  <c r="G54" i="39"/>
  <c r="G57" i="39" s="1"/>
  <c r="S50" i="38"/>
  <c r="S54" i="38" s="1"/>
  <c r="H61" i="31"/>
  <c r="H61" i="32"/>
  <c r="H61" i="44"/>
  <c r="H61" i="45"/>
  <c r="H60" i="30"/>
  <c r="G12" i="31"/>
  <c r="G12" i="45"/>
  <c r="G12" i="44"/>
  <c r="G12" i="32"/>
  <c r="G12" i="30"/>
  <c r="G7" i="45"/>
  <c r="G7" i="44"/>
  <c r="G7" i="32"/>
  <c r="G7" i="31"/>
  <c r="G7" i="30"/>
  <c r="G15" i="45"/>
  <c r="G15" i="32"/>
  <c r="G15" i="31"/>
  <c r="G15" i="30"/>
  <c r="G15" i="44"/>
  <c r="G60" i="30"/>
  <c r="G61" i="31"/>
  <c r="G61" i="32"/>
  <c r="G61" i="44"/>
  <c r="G61" i="45"/>
  <c r="F6" i="30"/>
  <c r="F6" i="45"/>
  <c r="F6" i="44"/>
  <c r="F6" i="32"/>
  <c r="F6" i="31"/>
  <c r="E6" i="44"/>
  <c r="E6" i="31"/>
  <c r="E6" i="30"/>
  <c r="E6" i="45"/>
  <c r="E6" i="32"/>
  <c r="I6" i="31"/>
  <c r="I6" i="45"/>
  <c r="I6" i="32"/>
  <c r="I6" i="30"/>
  <c r="I6" i="44"/>
  <c r="H6" i="32"/>
  <c r="H6" i="31"/>
  <c r="H6" i="45"/>
  <c r="H6" i="30"/>
  <c r="H6" i="44"/>
  <c r="G6" i="30"/>
  <c r="G6" i="31"/>
  <c r="G6" i="45"/>
  <c r="G6" i="32"/>
  <c r="G6" i="44"/>
  <c r="I2" i="17"/>
  <c r="O33" i="27"/>
  <c r="T49" i="32" s="1"/>
  <c r="J58" i="33"/>
  <c r="P34" i="26"/>
  <c r="U49" i="31" s="1"/>
  <c r="H54" i="38"/>
  <c r="T50" i="37"/>
  <c r="T54" i="37" s="1"/>
  <c r="G54" i="38"/>
  <c r="G57" i="38" s="1"/>
  <c r="S50" i="37"/>
  <c r="S54" i="37" s="1"/>
  <c r="H54" i="37"/>
  <c r="T51" i="33"/>
  <c r="T55" i="33" s="1"/>
  <c r="I54" i="37"/>
  <c r="U51" i="33"/>
  <c r="U55" i="33" s="1"/>
  <c r="U58" i="33" s="1"/>
  <c r="G54" i="37"/>
  <c r="S51" i="33"/>
  <c r="S55" i="33" s="1"/>
  <c r="S33" i="28"/>
  <c r="R33" i="28"/>
  <c r="T34" i="26"/>
  <c r="S34" i="26"/>
  <c r="R34" i="26"/>
  <c r="J57" i="39"/>
  <c r="M33" i="29"/>
  <c r="R49" i="45" s="1"/>
  <c r="H33" i="27"/>
  <c r="M49" i="32" s="1"/>
  <c r="M50" i="32" s="1"/>
  <c r="G33" i="27"/>
  <c r="L49" i="32" s="1"/>
  <c r="L50" i="32" s="1"/>
  <c r="M33" i="27"/>
  <c r="R49" i="32" s="1"/>
  <c r="J34" i="26"/>
  <c r="O49" i="31" s="1"/>
  <c r="K33" i="28"/>
  <c r="P49" i="44" s="1"/>
  <c r="J33" i="28"/>
  <c r="O49" i="44" s="1"/>
  <c r="P33" i="28"/>
  <c r="U49" i="44" s="1"/>
  <c r="H33" i="28"/>
  <c r="M49" i="44" s="1"/>
  <c r="M57" i="39"/>
  <c r="N57" i="39"/>
  <c r="O57" i="39"/>
  <c r="R57" i="39"/>
  <c r="J33" i="29"/>
  <c r="O49" i="45" s="1"/>
  <c r="P33" i="29"/>
  <c r="U49" i="45" s="1"/>
  <c r="L33" i="29"/>
  <c r="Q49" i="45" s="1"/>
  <c r="U24" i="29"/>
  <c r="L57" i="38"/>
  <c r="L48" i="44"/>
  <c r="Q33" i="28"/>
  <c r="V49" i="44" s="1"/>
  <c r="I33" i="28"/>
  <c r="N49" i="44" s="1"/>
  <c r="O33" i="28"/>
  <c r="T49" i="44" s="1"/>
  <c r="G33" i="28"/>
  <c r="L49" i="44" s="1"/>
  <c r="L50" i="44" s="1"/>
  <c r="L54" i="44"/>
  <c r="F33" i="28"/>
  <c r="K49" i="44" s="1"/>
  <c r="K50" i="44" s="1"/>
  <c r="O49" i="32"/>
  <c r="Q33" i="27"/>
  <c r="V49" i="32" s="1"/>
  <c r="I33" i="27"/>
  <c r="N49" i="32" s="1"/>
  <c r="Q34" i="26"/>
  <c r="V49" i="31" s="1"/>
  <c r="I34" i="26"/>
  <c r="N49" i="31" s="1"/>
  <c r="O34" i="26"/>
  <c r="T49" i="31" s="1"/>
  <c r="G34" i="26"/>
  <c r="L49" i="31" s="1"/>
  <c r="N34" i="26"/>
  <c r="S49" i="31" s="1"/>
  <c r="M34" i="26"/>
  <c r="R49" i="31" s="1"/>
  <c r="L34" i="26"/>
  <c r="Q49" i="31" s="1"/>
  <c r="K34" i="26"/>
  <c r="P49" i="31" s="1"/>
  <c r="Q56" i="24"/>
  <c r="Q58" i="24" s="1"/>
  <c r="R5" i="30"/>
  <c r="P5" i="30"/>
  <c r="O5" i="30"/>
  <c r="V5" i="30"/>
  <c r="N5" i="30"/>
  <c r="M5" i="30"/>
  <c r="T5" i="30"/>
  <c r="L5" i="30"/>
  <c r="S5" i="30"/>
  <c r="Q5" i="30"/>
  <c r="G66" i="27"/>
  <c r="G70" i="27" s="1"/>
  <c r="K11" i="45"/>
  <c r="K9" i="44"/>
  <c r="K11" i="44"/>
  <c r="H27" i="25"/>
  <c r="K9" i="30"/>
  <c r="K11" i="30"/>
  <c r="T66" i="27"/>
  <c r="T70" i="27" s="1"/>
  <c r="S66" i="27"/>
  <c r="S70" i="27" s="1"/>
  <c r="J70" i="23"/>
  <c r="U44" i="29"/>
  <c r="T67" i="26"/>
  <c r="T71" i="26" s="1"/>
  <c r="S67" i="26"/>
  <c r="S71" i="26" s="1"/>
  <c r="R67" i="26"/>
  <c r="R71" i="26" s="1"/>
  <c r="J67" i="26"/>
  <c r="J71" i="26" s="1"/>
  <c r="P57" i="37"/>
  <c r="O57" i="37"/>
  <c r="M53" i="37"/>
  <c r="N53" i="37"/>
  <c r="N57" i="37" s="1"/>
  <c r="S9" i="32"/>
  <c r="K11" i="32"/>
  <c r="K9" i="32"/>
  <c r="P9" i="32"/>
  <c r="O9" i="32"/>
  <c r="V9" i="32"/>
  <c r="N9" i="32"/>
  <c r="U9" i="32"/>
  <c r="M9" i="32"/>
  <c r="K9" i="31"/>
  <c r="R66" i="27"/>
  <c r="R70" i="27" s="1"/>
  <c r="J66" i="27"/>
  <c r="J70" i="27" s="1"/>
  <c r="J33" i="23"/>
  <c r="O48" i="30" s="1"/>
  <c r="K70" i="23"/>
  <c r="I33" i="23"/>
  <c r="N48" i="30" s="1"/>
  <c r="L70" i="23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64" i="29"/>
  <c r="M66" i="29" s="1"/>
  <c r="M69" i="29" s="1"/>
  <c r="U63" i="29"/>
  <c r="S64" i="28"/>
  <c r="S68" i="28" s="1"/>
  <c r="K33" i="29"/>
  <c r="P49" i="45" s="1"/>
  <c r="H33" i="29"/>
  <c r="Q33" i="29"/>
  <c r="V49" i="45" s="1"/>
  <c r="I33" i="29"/>
  <c r="N49" i="45" s="1"/>
  <c r="O33" i="29"/>
  <c r="T49" i="45" s="1"/>
  <c r="G33" i="29"/>
  <c r="L49" i="45" s="1"/>
  <c r="N33" i="29"/>
  <c r="S49" i="45" s="1"/>
  <c r="M33" i="28"/>
  <c r="R49" i="44" s="1"/>
  <c r="L33" i="28"/>
  <c r="Q49" i="44" s="1"/>
  <c r="T64" i="28"/>
  <c r="T68" i="28" s="1"/>
  <c r="U25" i="28"/>
  <c r="N33" i="28"/>
  <c r="S49" i="44" s="1"/>
  <c r="S33" i="27"/>
  <c r="K33" i="27"/>
  <c r="P49" i="32" s="1"/>
  <c r="Q66" i="27"/>
  <c r="Q70" i="27" s="1"/>
  <c r="I66" i="27"/>
  <c r="I70" i="27" s="1"/>
  <c r="P66" i="27"/>
  <c r="P70" i="27" s="1"/>
  <c r="H66" i="27"/>
  <c r="H70" i="27" s="1"/>
  <c r="O66" i="27"/>
  <c r="O70" i="27" s="1"/>
  <c r="P33" i="27"/>
  <c r="U49" i="32" s="1"/>
  <c r="F66" i="27"/>
  <c r="F70" i="27" s="1"/>
  <c r="N66" i="27"/>
  <c r="N70" i="27" s="1"/>
  <c r="K66" i="27"/>
  <c r="K70" i="27" s="1"/>
  <c r="M66" i="27"/>
  <c r="M70" i="27" s="1"/>
  <c r="L66" i="27"/>
  <c r="L70" i="27" s="1"/>
  <c r="F33" i="27"/>
  <c r="K49" i="32" s="1"/>
  <c r="F67" i="26"/>
  <c r="F71" i="26" s="1"/>
  <c r="M67" i="26"/>
  <c r="M71" i="26" s="1"/>
  <c r="Q67" i="26"/>
  <c r="Q71" i="26" s="1"/>
  <c r="I67" i="26"/>
  <c r="I71" i="26" s="1"/>
  <c r="P67" i="26"/>
  <c r="P71" i="26" s="1"/>
  <c r="G67" i="26"/>
  <c r="G71" i="26" s="1"/>
  <c r="O33" i="23"/>
  <c r="T48" i="30" s="1"/>
  <c r="G33" i="23"/>
  <c r="L48" i="30" s="1"/>
  <c r="Q70" i="23"/>
  <c r="I70" i="23"/>
  <c r="N33" i="23"/>
  <c r="S48" i="30" s="1"/>
  <c r="P70" i="23"/>
  <c r="H70" i="23"/>
  <c r="M33" i="23"/>
  <c r="R48" i="30" s="1"/>
  <c r="O70" i="23"/>
  <c r="G70" i="23"/>
  <c r="L33" i="23"/>
  <c r="Q48" i="30" s="1"/>
  <c r="N70" i="23"/>
  <c r="K33" i="23"/>
  <c r="P48" i="30" s="1"/>
  <c r="M70" i="23"/>
  <c r="Q33" i="23"/>
  <c r="V48" i="30" s="1"/>
  <c r="L64" i="29"/>
  <c r="F64" i="29"/>
  <c r="K64" i="29"/>
  <c r="G64" i="29"/>
  <c r="J64" i="29"/>
  <c r="Q64" i="29"/>
  <c r="I64" i="29"/>
  <c r="P64" i="29"/>
  <c r="H64" i="29"/>
  <c r="O64" i="29"/>
  <c r="N64" i="29"/>
  <c r="R64" i="28"/>
  <c r="J64" i="28"/>
  <c r="I64" i="28"/>
  <c r="N64" i="28"/>
  <c r="N68" i="28" s="1"/>
  <c r="Q64" i="28"/>
  <c r="Q68" i="28" s="1"/>
  <c r="P64" i="28"/>
  <c r="H64" i="28"/>
  <c r="O64" i="28"/>
  <c r="O68" i="28" s="1"/>
  <c r="F64" i="28"/>
  <c r="F66" i="28" s="1"/>
  <c r="G64" i="28"/>
  <c r="G68" i="28" s="1"/>
  <c r="M64" i="28"/>
  <c r="M68" i="28" s="1"/>
  <c r="L64" i="28"/>
  <c r="L68" i="28" s="1"/>
  <c r="K64" i="28"/>
  <c r="U63" i="28"/>
  <c r="K55" i="44"/>
  <c r="K56" i="44" s="1"/>
  <c r="U44" i="28"/>
  <c r="U25" i="27"/>
  <c r="M47" i="32"/>
  <c r="M48" i="32" s="1"/>
  <c r="K45" i="32"/>
  <c r="K54" i="32" s="1"/>
  <c r="V45" i="32"/>
  <c r="P45" i="32"/>
  <c r="P48" i="32" s="1"/>
  <c r="U45" i="27"/>
  <c r="H67" i="26"/>
  <c r="H71" i="26" s="1"/>
  <c r="K67" i="26"/>
  <c r="L67" i="26"/>
  <c r="N67" i="26"/>
  <c r="N71" i="26" s="1"/>
  <c r="O67" i="26"/>
  <c r="L47" i="31"/>
  <c r="M49" i="31"/>
  <c r="M47" i="31"/>
  <c r="U25" i="26"/>
  <c r="O66" i="23"/>
  <c r="O68" i="23" s="1"/>
  <c r="O71" i="23" s="1"/>
  <c r="N66" i="23"/>
  <c r="N68" i="23" s="1"/>
  <c r="N71" i="23" s="1"/>
  <c r="G66" i="23"/>
  <c r="G68" i="23" s="1"/>
  <c r="G71" i="23" s="1"/>
  <c r="H28" i="24" s="1"/>
  <c r="H60" i="24" s="1"/>
  <c r="G24" i="25" s="1"/>
  <c r="G25" i="25" s="1"/>
  <c r="L89" i="30" s="1"/>
  <c r="M66" i="23"/>
  <c r="M68" i="23" s="1"/>
  <c r="M71" i="23" s="1"/>
  <c r="L66" i="23"/>
  <c r="L68" i="23" s="1"/>
  <c r="L71" i="23" s="1"/>
  <c r="K66" i="23"/>
  <c r="K68" i="23" s="1"/>
  <c r="K71" i="23" s="1"/>
  <c r="J66" i="23"/>
  <c r="J68" i="23" s="1"/>
  <c r="I66" i="23"/>
  <c r="I68" i="23" s="1"/>
  <c r="Q66" i="23"/>
  <c r="Q68" i="23" s="1"/>
  <c r="Q71" i="23" s="1"/>
  <c r="H66" i="23"/>
  <c r="H68" i="23" s="1"/>
  <c r="H71" i="23" s="1"/>
  <c r="P66" i="23"/>
  <c r="P68" i="23" s="1"/>
  <c r="P71" i="23" s="1"/>
  <c r="U25" i="23"/>
  <c r="N44" i="30"/>
  <c r="N47" i="30" s="1"/>
  <c r="U60" i="24"/>
  <c r="T24" i="25" s="1"/>
  <c r="T25" i="25" s="1"/>
  <c r="O50" i="30"/>
  <c r="S44" i="30"/>
  <c r="R44" i="30"/>
  <c r="Q44" i="30"/>
  <c r="P44" i="30"/>
  <c r="P47" i="30" s="1"/>
  <c r="Q50" i="30"/>
  <c r="V50" i="30"/>
  <c r="U45" i="44"/>
  <c r="U48" i="44" s="1"/>
  <c r="O45" i="45"/>
  <c r="O48" i="45" s="1"/>
  <c r="S45" i="44"/>
  <c r="S56" i="44" s="1"/>
  <c r="L56" i="44"/>
  <c r="K54" i="44"/>
  <c r="K52" i="44"/>
  <c r="R45" i="44"/>
  <c r="R54" i="44" s="1"/>
  <c r="L52" i="44"/>
  <c r="U65" i="27"/>
  <c r="N55" i="32"/>
  <c r="T45" i="44"/>
  <c r="V45" i="44"/>
  <c r="Q45" i="44"/>
  <c r="Q52" i="44" s="1"/>
  <c r="P45" i="44"/>
  <c r="O45" i="44"/>
  <c r="O52" i="44" s="1"/>
  <c r="N45" i="44"/>
  <c r="M45" i="44"/>
  <c r="M46" i="44" s="1"/>
  <c r="L51" i="32"/>
  <c r="L52" i="32" s="1"/>
  <c r="N45" i="32"/>
  <c r="N48" i="32" s="1"/>
  <c r="O45" i="32"/>
  <c r="K51" i="32"/>
  <c r="U45" i="32"/>
  <c r="T45" i="32"/>
  <c r="T48" i="32" s="1"/>
  <c r="S45" i="32"/>
  <c r="S52" i="32" s="1"/>
  <c r="R45" i="32"/>
  <c r="Q45" i="32"/>
  <c r="Q54" i="32" s="1"/>
  <c r="M55" i="32"/>
  <c r="M56" i="32" s="1"/>
  <c r="L48" i="32"/>
  <c r="U50" i="30"/>
  <c r="P50" i="30"/>
  <c r="M50" i="30"/>
  <c r="U65" i="23"/>
  <c r="U45" i="23"/>
  <c r="U54" i="30"/>
  <c r="T54" i="30"/>
  <c r="S54" i="30"/>
  <c r="M54" i="30"/>
  <c r="U66" i="26"/>
  <c r="O51" i="31"/>
  <c r="K51" i="31"/>
  <c r="U24" i="26"/>
  <c r="U46" i="26"/>
  <c r="Q54" i="30"/>
  <c r="U44" i="30"/>
  <c r="U53" i="30" s="1"/>
  <c r="M44" i="30"/>
  <c r="O44" i="30"/>
  <c r="O47" i="30" s="1"/>
  <c r="V44" i="30"/>
  <c r="T44" i="30"/>
  <c r="T47" i="30" s="1"/>
  <c r="L44" i="30"/>
  <c r="L47" i="30" s="1"/>
  <c r="S51" i="45"/>
  <c r="S51" i="44"/>
  <c r="P45" i="31"/>
  <c r="P52" i="31" s="1"/>
  <c r="M45" i="31"/>
  <c r="M54" i="31" s="1"/>
  <c r="U45" i="31"/>
  <c r="U54" i="31" s="1"/>
  <c r="O45" i="31"/>
  <c r="O48" i="31" s="1"/>
  <c r="N45" i="31"/>
  <c r="N54" i="31" s="1"/>
  <c r="V45" i="31"/>
  <c r="Q45" i="31"/>
  <c r="Q54" i="31" s="1"/>
  <c r="R45" i="31"/>
  <c r="R48" i="31" s="1"/>
  <c r="K45" i="31"/>
  <c r="S45" i="31"/>
  <c r="L45" i="31"/>
  <c r="T45" i="3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M45" i="45"/>
  <c r="M48" i="45" s="1"/>
  <c r="T45" i="45"/>
  <c r="T52" i="45" s="1"/>
  <c r="U45" i="45"/>
  <c r="U48" i="45" s="1"/>
  <c r="V45" i="45"/>
  <c r="K48" i="44"/>
  <c r="L46" i="44"/>
  <c r="L54" i="32"/>
  <c r="K11" i="31"/>
  <c r="L56" i="32"/>
  <c r="P57" i="39"/>
  <c r="G31" i="25"/>
  <c r="R56" i="24"/>
  <c r="R58" i="24" s="1"/>
  <c r="K56" i="24"/>
  <c r="K58" i="24" s="1"/>
  <c r="P56" i="24"/>
  <c r="P58" i="24" s="1"/>
  <c r="N56" i="24"/>
  <c r="N58" i="24" s="1"/>
  <c r="L56" i="24"/>
  <c r="L58" i="24" s="1"/>
  <c r="K57" i="38"/>
  <c r="I57" i="39"/>
  <c r="Q57" i="39"/>
  <c r="K57" i="39"/>
  <c r="L57" i="39"/>
  <c r="P57" i="38"/>
  <c r="Q57" i="38"/>
  <c r="M57" i="38"/>
  <c r="N57" i="38"/>
  <c r="O57" i="38"/>
  <c r="J57" i="38"/>
  <c r="J57" i="37"/>
  <c r="M57" i="37"/>
  <c r="R57" i="37"/>
  <c r="G53" i="37"/>
  <c r="Q57" i="37"/>
  <c r="K57" i="37"/>
  <c r="L57" i="37"/>
  <c r="H58" i="24"/>
  <c r="J58" i="24"/>
  <c r="G55" i="24"/>
  <c r="M58" i="24"/>
  <c r="I58" i="24"/>
  <c r="O58" i="24"/>
  <c r="M52" i="32"/>
  <c r="M54" i="32"/>
  <c r="M46" i="32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H61" i="24" l="1"/>
  <c r="H68" i="24" s="1"/>
  <c r="U62" i="30"/>
  <c r="Q28" i="24"/>
  <c r="Q60" i="24" s="1"/>
  <c r="S62" i="30"/>
  <c r="O28" i="24"/>
  <c r="O60" i="24" s="1"/>
  <c r="N24" i="25" s="1"/>
  <c r="N25" i="25" s="1"/>
  <c r="S89" i="30" s="1"/>
  <c r="V62" i="30"/>
  <c r="E62" i="30" s="1"/>
  <c r="R28" i="24"/>
  <c r="R60" i="24" s="1"/>
  <c r="Q24" i="25" s="1"/>
  <c r="Q25" i="25" s="1"/>
  <c r="V89" i="30" s="1"/>
  <c r="E91" i="31" s="1"/>
  <c r="T62" i="30"/>
  <c r="P28" i="24"/>
  <c r="P60" i="24" s="1"/>
  <c r="O24" i="25" s="1"/>
  <c r="O25" i="25" s="1"/>
  <c r="T89" i="30" s="1"/>
  <c r="M62" i="30"/>
  <c r="I28" i="24"/>
  <c r="I60" i="24" s="1"/>
  <c r="P62" i="30"/>
  <c r="L28" i="24"/>
  <c r="L60" i="24" s="1"/>
  <c r="K24" i="25" s="1"/>
  <c r="K25" i="25" s="1"/>
  <c r="P89" i="30" s="1"/>
  <c r="Q62" i="30"/>
  <c r="M28" i="24"/>
  <c r="M60" i="24" s="1"/>
  <c r="L24" i="25" s="1"/>
  <c r="L25" i="25" s="1"/>
  <c r="Q89" i="30" s="1"/>
  <c r="R62" i="30"/>
  <c r="N28" i="24"/>
  <c r="N60" i="24" s="1"/>
  <c r="M24" i="25" s="1"/>
  <c r="M25" i="25" s="1"/>
  <c r="R89" i="30" s="1"/>
  <c r="I9" i="32"/>
  <c r="I9" i="45"/>
  <c r="I9" i="30"/>
  <c r="I9" i="44"/>
  <c r="I9" i="31"/>
  <c r="P30" i="3"/>
  <c r="R57" i="38"/>
  <c r="G9" i="44"/>
  <c r="G9" i="31"/>
  <c r="G9" i="45"/>
  <c r="G9" i="32"/>
  <c r="G9" i="30"/>
  <c r="I27" i="25"/>
  <c r="N90" i="30" s="1"/>
  <c r="H69" i="23"/>
  <c r="I27" i="24" s="1"/>
  <c r="I59" i="24" s="1"/>
  <c r="L60" i="30"/>
  <c r="F13" i="23"/>
  <c r="E51" i="44"/>
  <c r="E51" i="31"/>
  <c r="E51" i="32"/>
  <c r="E51" i="45"/>
  <c r="E50" i="30"/>
  <c r="T57" i="37"/>
  <c r="N59" i="39"/>
  <c r="N60" i="39" s="1"/>
  <c r="R63" i="45"/>
  <c r="M24" i="43"/>
  <c r="M25" i="43" s="1"/>
  <c r="R91" i="45" s="1"/>
  <c r="H57" i="39"/>
  <c r="S33" i="23"/>
  <c r="R33" i="23"/>
  <c r="G32" i="25"/>
  <c r="L91" i="30" s="1"/>
  <c r="M72" i="23"/>
  <c r="R63" i="30" s="1"/>
  <c r="R64" i="30" s="1"/>
  <c r="P72" i="23"/>
  <c r="U63" i="30" s="1"/>
  <c r="U64" i="30" s="1"/>
  <c r="N72" i="23"/>
  <c r="S63" i="30" s="1"/>
  <c r="S64" i="30" s="1"/>
  <c r="E63" i="31"/>
  <c r="Q72" i="23"/>
  <c r="V63" i="30" s="1"/>
  <c r="L62" i="30"/>
  <c r="G72" i="23"/>
  <c r="E63" i="44"/>
  <c r="O72" i="23"/>
  <c r="T63" i="30" s="1"/>
  <c r="T64" i="30" s="1"/>
  <c r="L72" i="23"/>
  <c r="Q63" i="30" s="1"/>
  <c r="Q64" i="30" s="1"/>
  <c r="N59" i="30"/>
  <c r="I71" i="23"/>
  <c r="H72" i="23"/>
  <c r="K72" i="23"/>
  <c r="P63" i="30" s="1"/>
  <c r="P64" i="30" s="1"/>
  <c r="O59" i="30"/>
  <c r="J71" i="23"/>
  <c r="I45" i="32"/>
  <c r="I45" i="44"/>
  <c r="I44" i="30"/>
  <c r="I45" i="31"/>
  <c r="I45" i="45"/>
  <c r="I49" i="44"/>
  <c r="I48" i="30"/>
  <c r="I49" i="31"/>
  <c r="I49" i="45"/>
  <c r="I49" i="32"/>
  <c r="I5" i="30"/>
  <c r="I5" i="31"/>
  <c r="I5" i="45"/>
  <c r="I5" i="44"/>
  <c r="I5" i="32"/>
  <c r="U52" i="45"/>
  <c r="H5" i="45"/>
  <c r="H5" i="44"/>
  <c r="H5" i="32"/>
  <c r="H5" i="31"/>
  <c r="H5" i="30"/>
  <c r="S57" i="37"/>
  <c r="V54" i="44"/>
  <c r="H45" i="31"/>
  <c r="H45" i="44"/>
  <c r="H45" i="45"/>
  <c r="H45" i="32"/>
  <c r="H44" i="30"/>
  <c r="H49" i="32"/>
  <c r="H48" i="30"/>
  <c r="H49" i="44"/>
  <c r="H49" i="31"/>
  <c r="H49" i="45"/>
  <c r="G49" i="32"/>
  <c r="G48" i="30"/>
  <c r="G49" i="44"/>
  <c r="G49" i="31"/>
  <c r="G49" i="45"/>
  <c r="G5" i="45"/>
  <c r="G5" i="44"/>
  <c r="G5" i="32"/>
  <c r="G5" i="31"/>
  <c r="G5" i="30"/>
  <c r="V52" i="32"/>
  <c r="G45" i="31"/>
  <c r="G45" i="45"/>
  <c r="G45" i="32"/>
  <c r="G44" i="30"/>
  <c r="G45" i="44"/>
  <c r="S58" i="33"/>
  <c r="G68" i="27"/>
  <c r="G71" i="27" s="1"/>
  <c r="F5" i="32"/>
  <c r="F5" i="30"/>
  <c r="F5" i="44"/>
  <c r="F5" i="31"/>
  <c r="F5" i="45"/>
  <c r="F45" i="44"/>
  <c r="F45" i="31"/>
  <c r="F45" i="45"/>
  <c r="F44" i="30"/>
  <c r="F45" i="32"/>
  <c r="F49" i="32"/>
  <c r="F48" i="30"/>
  <c r="F49" i="44"/>
  <c r="F49" i="31"/>
  <c r="F49" i="45"/>
  <c r="V53" i="30"/>
  <c r="E44" i="30"/>
  <c r="E45" i="44"/>
  <c r="E45" i="31"/>
  <c r="E45" i="45"/>
  <c r="E45" i="32"/>
  <c r="E49" i="45"/>
  <c r="E48" i="30"/>
  <c r="E49" i="32"/>
  <c r="E49" i="44"/>
  <c r="E49" i="31"/>
  <c r="E5" i="30"/>
  <c r="E5" i="44"/>
  <c r="E5" i="31"/>
  <c r="E5" i="32"/>
  <c r="E5" i="45"/>
  <c r="O52" i="45"/>
  <c r="U57" i="38"/>
  <c r="U33" i="29"/>
  <c r="P29" i="3" s="1"/>
  <c r="T57" i="38"/>
  <c r="S57" i="38"/>
  <c r="H57" i="38"/>
  <c r="T58" i="33"/>
  <c r="L46" i="32"/>
  <c r="H57" i="37"/>
  <c r="P50" i="31"/>
  <c r="M50" i="31"/>
  <c r="I57" i="37"/>
  <c r="S50" i="45"/>
  <c r="O56" i="45"/>
  <c r="U54" i="44"/>
  <c r="T50" i="44"/>
  <c r="M48" i="44"/>
  <c r="U50" i="44"/>
  <c r="Q48" i="44"/>
  <c r="N27" i="3"/>
  <c r="V28" i="39"/>
  <c r="M49" i="45"/>
  <c r="M50" i="45" s="1"/>
  <c r="P27" i="3"/>
  <c r="U52" i="44"/>
  <c r="L27" i="3"/>
  <c r="L50" i="31"/>
  <c r="L48" i="31"/>
  <c r="J27" i="3"/>
  <c r="F18" i="25"/>
  <c r="F19" i="25" s="1"/>
  <c r="K87" i="30" s="1"/>
  <c r="H16" i="25"/>
  <c r="I16" i="25" s="1"/>
  <c r="M68" i="29"/>
  <c r="I68" i="27"/>
  <c r="I71" i="27" s="1"/>
  <c r="T69" i="26"/>
  <c r="I69" i="26"/>
  <c r="L11" i="9"/>
  <c r="L10" i="9"/>
  <c r="L12" i="9"/>
  <c r="H31" i="25"/>
  <c r="M90" i="30"/>
  <c r="N12" i="9"/>
  <c r="O66" i="28"/>
  <c r="S57" i="32"/>
  <c r="S58" i="32" s="1"/>
  <c r="S68" i="27"/>
  <c r="O10" i="9"/>
  <c r="G66" i="28"/>
  <c r="M9" i="9"/>
  <c r="M10" i="9"/>
  <c r="K57" i="32"/>
  <c r="K58" i="32" s="1"/>
  <c r="M11" i="9"/>
  <c r="M57" i="32"/>
  <c r="M58" i="32" s="1"/>
  <c r="R68" i="27"/>
  <c r="T68" i="27"/>
  <c r="J69" i="26"/>
  <c r="Q69" i="26"/>
  <c r="K10" i="9"/>
  <c r="O9" i="9"/>
  <c r="O12" i="9"/>
  <c r="S69" i="26"/>
  <c r="P69" i="26"/>
  <c r="R69" i="26"/>
  <c r="K9" i="9"/>
  <c r="K12" i="9"/>
  <c r="N11" i="9"/>
  <c r="N10" i="9"/>
  <c r="N30" i="3"/>
  <c r="L68" i="27"/>
  <c r="L71" i="27" s="1"/>
  <c r="M68" i="27"/>
  <c r="M71" i="27" s="1"/>
  <c r="L30" i="3"/>
  <c r="F68" i="27"/>
  <c r="U57" i="32"/>
  <c r="U58" i="32" s="1"/>
  <c r="J68" i="27"/>
  <c r="J71" i="27" s="1"/>
  <c r="Q68" i="27"/>
  <c r="Q71" i="27" s="1"/>
  <c r="N51" i="30"/>
  <c r="T70" i="23"/>
  <c r="S70" i="23"/>
  <c r="T33" i="23"/>
  <c r="R70" i="23"/>
  <c r="H30" i="3"/>
  <c r="H21" i="17"/>
  <c r="K57" i="45"/>
  <c r="K58" i="45" s="1"/>
  <c r="U64" i="29"/>
  <c r="S66" i="28"/>
  <c r="I68" i="29"/>
  <c r="I66" i="29"/>
  <c r="Q68" i="29"/>
  <c r="Q66" i="29"/>
  <c r="N66" i="29"/>
  <c r="N69" i="29" s="1"/>
  <c r="N68" i="29"/>
  <c r="P68" i="29"/>
  <c r="P66" i="29"/>
  <c r="P69" i="29" s="1"/>
  <c r="J68" i="29"/>
  <c r="J66" i="29"/>
  <c r="J69" i="29" s="1"/>
  <c r="G68" i="29"/>
  <c r="G66" i="29"/>
  <c r="G69" i="29" s="1"/>
  <c r="K66" i="29"/>
  <c r="K69" i="29" s="1"/>
  <c r="K68" i="29"/>
  <c r="O66" i="29"/>
  <c r="O69" i="29" s="1"/>
  <c r="O68" i="29"/>
  <c r="F68" i="29"/>
  <c r="F66" i="29"/>
  <c r="F69" i="29" s="1"/>
  <c r="P28" i="3"/>
  <c r="H68" i="29"/>
  <c r="H66" i="29"/>
  <c r="H69" i="29" s="1"/>
  <c r="Q57" i="45"/>
  <c r="Q58" i="45" s="1"/>
  <c r="L66" i="29"/>
  <c r="L68" i="29"/>
  <c r="K66" i="28"/>
  <c r="K68" i="28"/>
  <c r="P62" i="44" s="1"/>
  <c r="Q66" i="28"/>
  <c r="F69" i="28"/>
  <c r="F68" i="28"/>
  <c r="I66" i="28"/>
  <c r="I68" i="28"/>
  <c r="N62" i="44" s="1"/>
  <c r="N28" i="3"/>
  <c r="J66" i="28"/>
  <c r="J68" i="28"/>
  <c r="H66" i="28"/>
  <c r="H68" i="28"/>
  <c r="M62" i="44" s="1"/>
  <c r="R66" i="28"/>
  <c r="R69" i="28" s="1"/>
  <c r="R68" i="28"/>
  <c r="T66" i="28"/>
  <c r="P66" i="28"/>
  <c r="P68" i="28"/>
  <c r="U62" i="44" s="1"/>
  <c r="L28" i="3"/>
  <c r="J28" i="3"/>
  <c r="S50" i="31"/>
  <c r="T50" i="31"/>
  <c r="M69" i="26"/>
  <c r="F69" i="26"/>
  <c r="N69" i="26"/>
  <c r="L69" i="26"/>
  <c r="L72" i="26" s="1"/>
  <c r="L71" i="26"/>
  <c r="K69" i="26"/>
  <c r="K72" i="26" s="1"/>
  <c r="K71" i="26"/>
  <c r="O69" i="26"/>
  <c r="O72" i="26" s="1"/>
  <c r="O71" i="26"/>
  <c r="J30" i="3"/>
  <c r="H69" i="26"/>
  <c r="G69" i="26"/>
  <c r="Q49" i="30"/>
  <c r="H28" i="3"/>
  <c r="O57" i="44"/>
  <c r="O58" i="44" s="1"/>
  <c r="V57" i="45"/>
  <c r="P57" i="44"/>
  <c r="P58" i="44" s="1"/>
  <c r="V57" i="44"/>
  <c r="V62" i="44"/>
  <c r="M57" i="44"/>
  <c r="M58" i="44" s="1"/>
  <c r="N57" i="44"/>
  <c r="N58" i="44" s="1"/>
  <c r="N66" i="28"/>
  <c r="U33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68" i="27"/>
  <c r="H71" i="27" s="1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N56" i="32"/>
  <c r="Q52" i="32"/>
  <c r="U33" i="27"/>
  <c r="Q50" i="32"/>
  <c r="N62" i="31"/>
  <c r="R62" i="31"/>
  <c r="U34" i="26"/>
  <c r="S54" i="31"/>
  <c r="P48" i="31"/>
  <c r="P56" i="31"/>
  <c r="R52" i="31"/>
  <c r="S48" i="31"/>
  <c r="P54" i="31"/>
  <c r="S46" i="31"/>
  <c r="O62" i="31"/>
  <c r="V50" i="31"/>
  <c r="R54" i="31"/>
  <c r="R50" i="31"/>
  <c r="S52" i="31"/>
  <c r="L52" i="31"/>
  <c r="S56" i="31"/>
  <c r="L56" i="31"/>
  <c r="R46" i="31"/>
  <c r="N49" i="30"/>
  <c r="N55" i="30"/>
  <c r="R49" i="30"/>
  <c r="N53" i="30"/>
  <c r="T66" i="23"/>
  <c r="T68" i="23" s="1"/>
  <c r="T71" i="23" s="1"/>
  <c r="R66" i="23"/>
  <c r="R68" i="23" s="1"/>
  <c r="R71" i="23" s="1"/>
  <c r="S28" i="24" s="1"/>
  <c r="S60" i="24" s="1"/>
  <c r="S66" i="23"/>
  <c r="S68" i="23" s="1"/>
  <c r="S71" i="23" s="1"/>
  <c r="T28" i="24" s="1"/>
  <c r="T60" i="24" s="1"/>
  <c r="S24" i="25" s="1"/>
  <c r="S25" i="25" s="1"/>
  <c r="P51" i="30"/>
  <c r="Q53" i="30"/>
  <c r="P45" i="30"/>
  <c r="O45" i="30"/>
  <c r="O51" i="30"/>
  <c r="P53" i="30"/>
  <c r="Q47" i="30"/>
  <c r="Q55" i="30"/>
  <c r="P55" i="30"/>
  <c r="Q45" i="30"/>
  <c r="O53" i="30"/>
  <c r="O55" i="30"/>
  <c r="U49" i="30"/>
  <c r="M55" i="30"/>
  <c r="Q51" i="30"/>
  <c r="S45" i="30"/>
  <c r="S56" i="30"/>
  <c r="S57" i="30" s="1"/>
  <c r="O56" i="30"/>
  <c r="O57" i="30" s="1"/>
  <c r="L49" i="30"/>
  <c r="M45" i="30"/>
  <c r="P49" i="30"/>
  <c r="L53" i="30"/>
  <c r="L55" i="30"/>
  <c r="M49" i="30"/>
  <c r="V55" i="30"/>
  <c r="O49" i="30"/>
  <c r="S55" i="30"/>
  <c r="L51" i="30"/>
  <c r="T51" i="30"/>
  <c r="T55" i="30"/>
  <c r="M47" i="30"/>
  <c r="R51" i="30"/>
  <c r="N45" i="30"/>
  <c r="V47" i="30"/>
  <c r="S51" i="30"/>
  <c r="U55" i="30"/>
  <c r="R45" i="30"/>
  <c r="M51" i="30"/>
  <c r="T45" i="30"/>
  <c r="S53" i="30"/>
  <c r="S49" i="30"/>
  <c r="S47" i="30"/>
  <c r="U51" i="30"/>
  <c r="R55" i="30"/>
  <c r="U45" i="30"/>
  <c r="M53" i="30"/>
  <c r="V45" i="30"/>
  <c r="R53" i="30"/>
  <c r="U47" i="30"/>
  <c r="R47" i="30"/>
  <c r="T49" i="30"/>
  <c r="V49" i="30"/>
  <c r="T53" i="30"/>
  <c r="O50" i="45"/>
  <c r="P50" i="45"/>
  <c r="U56" i="44"/>
  <c r="S54" i="44"/>
  <c r="T46" i="44"/>
  <c r="M66" i="28"/>
  <c r="M69" i="28" s="1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4" i="45"/>
  <c r="M56" i="45"/>
  <c r="T56" i="44"/>
  <c r="K57" i="44"/>
  <c r="K58" i="44" s="1"/>
  <c r="T54" i="44"/>
  <c r="N46" i="44"/>
  <c r="R56" i="44"/>
  <c r="L66" i="28"/>
  <c r="M50" i="44"/>
  <c r="M52" i="44"/>
  <c r="R48" i="44"/>
  <c r="S52" i="44"/>
  <c r="S48" i="44"/>
  <c r="S50" i="44"/>
  <c r="O57" i="32"/>
  <c r="O58" i="32" s="1"/>
  <c r="V62" i="32"/>
  <c r="N57" i="32"/>
  <c r="N58" i="32" s="1"/>
  <c r="N68" i="27"/>
  <c r="N71" i="27" s="1"/>
  <c r="U66" i="27"/>
  <c r="P68" i="27"/>
  <c r="P71" i="27" s="1"/>
  <c r="O62" i="32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Q62" i="32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S46" i="32"/>
  <c r="Q57" i="32"/>
  <c r="Q58" i="32" s="1"/>
  <c r="R48" i="32"/>
  <c r="R50" i="32"/>
  <c r="R62" i="32"/>
  <c r="R57" i="32"/>
  <c r="R58" i="32" s="1"/>
  <c r="V59" i="30"/>
  <c r="U56" i="30"/>
  <c r="U57" i="30" s="1"/>
  <c r="U59" i="30"/>
  <c r="N56" i="30"/>
  <c r="N57" i="30" s="1"/>
  <c r="U61" i="30"/>
  <c r="P61" i="30"/>
  <c r="V61" i="30"/>
  <c r="P56" i="30"/>
  <c r="P57" i="30" s="1"/>
  <c r="V56" i="30"/>
  <c r="P59" i="30"/>
  <c r="S61" i="30"/>
  <c r="T59" i="30"/>
  <c r="R56" i="31"/>
  <c r="R59" i="30"/>
  <c r="T61" i="30"/>
  <c r="R56" i="30"/>
  <c r="R57" i="30" s="1"/>
  <c r="R61" i="30"/>
  <c r="T56" i="30"/>
  <c r="T57" i="30" s="1"/>
  <c r="N46" i="31"/>
  <c r="O52" i="31"/>
  <c r="V62" i="31"/>
  <c r="Q48" i="31"/>
  <c r="Q52" i="31"/>
  <c r="Q46" i="31"/>
  <c r="Q50" i="31"/>
  <c r="Q56" i="31"/>
  <c r="U46" i="31"/>
  <c r="U52" i="31"/>
  <c r="U50" i="31"/>
  <c r="U48" i="31"/>
  <c r="V46" i="31"/>
  <c r="U56" i="31"/>
  <c r="U62" i="31"/>
  <c r="Q59" i="30"/>
  <c r="V51" i="30"/>
  <c r="Q56" i="30"/>
  <c r="Q57" i="30" s="1"/>
  <c r="Q61" i="30"/>
  <c r="S59" i="30"/>
  <c r="S57" i="45"/>
  <c r="S58" i="45" s="1"/>
  <c r="L57" i="44"/>
  <c r="L58" i="44" s="1"/>
  <c r="T57" i="44"/>
  <c r="T58" i="44" s="1"/>
  <c r="R57" i="44"/>
  <c r="R58" i="44" s="1"/>
  <c r="O68" i="27"/>
  <c r="O71" i="27" s="1"/>
  <c r="T57" i="32"/>
  <c r="T58" i="32" s="1"/>
  <c r="K68" i="27"/>
  <c r="K71" i="27" s="1"/>
  <c r="P57" i="32"/>
  <c r="P58" i="32" s="1"/>
  <c r="K48" i="31"/>
  <c r="K56" i="31"/>
  <c r="V56" i="31"/>
  <c r="O46" i="31"/>
  <c r="M56" i="31"/>
  <c r="N52" i="31"/>
  <c r="N56" i="31"/>
  <c r="T56" i="31"/>
  <c r="O54" i="31"/>
  <c r="T52" i="31"/>
  <c r="M48" i="31"/>
  <c r="L54" i="31"/>
  <c r="K54" i="31"/>
  <c r="T48" i="31"/>
  <c r="V52" i="31"/>
  <c r="T46" i="31"/>
  <c r="P46" i="31"/>
  <c r="L46" i="31"/>
  <c r="K52" i="31"/>
  <c r="O56" i="31"/>
  <c r="V48" i="31"/>
  <c r="M46" i="31"/>
  <c r="M52" i="31"/>
  <c r="O50" i="31"/>
  <c r="M62" i="31"/>
  <c r="T54" i="31"/>
  <c r="N50" i="31"/>
  <c r="K50" i="31"/>
  <c r="N48" i="31"/>
  <c r="V54" i="31"/>
  <c r="L57" i="32"/>
  <c r="L58" i="32" s="1"/>
  <c r="L56" i="30"/>
  <c r="L57" i="30" s="1"/>
  <c r="L59" i="30"/>
  <c r="M59" i="30"/>
  <c r="M56" i="30"/>
  <c r="M57" i="30" s="1"/>
  <c r="P57" i="45"/>
  <c r="P58" i="45" s="1"/>
  <c r="K56" i="45"/>
  <c r="P46" i="45"/>
  <c r="N46" i="45"/>
  <c r="N54" i="45"/>
  <c r="N52" i="45"/>
  <c r="K54" i="45"/>
  <c r="S48" i="45"/>
  <c r="N50" i="45"/>
  <c r="K48" i="45"/>
  <c r="L50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K62" i="31"/>
  <c r="I61" i="24" l="1"/>
  <c r="I68" i="24" s="1"/>
  <c r="P24" i="25"/>
  <c r="P25" i="25" s="1"/>
  <c r="U89" i="30" s="1"/>
  <c r="H24" i="25"/>
  <c r="H25" i="25" s="1"/>
  <c r="M89" i="30" s="1"/>
  <c r="E63" i="32"/>
  <c r="E63" i="45"/>
  <c r="H66" i="24"/>
  <c r="E91" i="32"/>
  <c r="H65" i="24"/>
  <c r="E91" i="45"/>
  <c r="E89" i="30"/>
  <c r="E91" i="44"/>
  <c r="O62" i="30"/>
  <c r="K28" i="24"/>
  <c r="K60" i="24" s="1"/>
  <c r="N62" i="30"/>
  <c r="J28" i="24"/>
  <c r="J60" i="24" s="1"/>
  <c r="T71" i="27"/>
  <c r="U27" i="38" s="1"/>
  <c r="U29" i="38" s="1"/>
  <c r="S71" i="27"/>
  <c r="T27" i="38" s="1"/>
  <c r="T29" i="38" s="1"/>
  <c r="F71" i="27"/>
  <c r="G59" i="37" s="1"/>
  <c r="R71" i="27"/>
  <c r="S27" i="38" s="1"/>
  <c r="S29" i="38" s="1"/>
  <c r="R27" i="38"/>
  <c r="R29" i="38" s="1"/>
  <c r="R27" i="39"/>
  <c r="R29" i="39" s="1"/>
  <c r="J27" i="38"/>
  <c r="J29" i="38" s="1"/>
  <c r="J27" i="39"/>
  <c r="J29" i="39" s="1"/>
  <c r="L27" i="38"/>
  <c r="L29" i="38" s="1"/>
  <c r="L27" i="39"/>
  <c r="L29" i="39" s="1"/>
  <c r="L30" i="39" s="1"/>
  <c r="K27" i="38"/>
  <c r="K29" i="38" s="1"/>
  <c r="K27" i="39"/>
  <c r="K29" i="39" s="1"/>
  <c r="K30" i="39" s="1"/>
  <c r="Q27" i="39"/>
  <c r="Q29" i="39" s="1"/>
  <c r="Q30" i="39" s="1"/>
  <c r="Q27" i="38"/>
  <c r="Q29" i="38" s="1"/>
  <c r="P27" i="39"/>
  <c r="P29" i="39" s="1"/>
  <c r="P30" i="39" s="1"/>
  <c r="P27" i="38"/>
  <c r="P29" i="38" s="1"/>
  <c r="O27" i="38"/>
  <c r="O29" i="38" s="1"/>
  <c r="O27" i="39"/>
  <c r="O29" i="39" s="1"/>
  <c r="O30" i="39" s="1"/>
  <c r="N27" i="38"/>
  <c r="N29" i="38" s="1"/>
  <c r="N30" i="38" s="1"/>
  <c r="N31" i="38" s="1"/>
  <c r="N27" i="39"/>
  <c r="N29" i="39" s="1"/>
  <c r="N30" i="39" s="1"/>
  <c r="R16" i="45" s="1"/>
  <c r="M27" i="38"/>
  <c r="M29" i="38" s="1"/>
  <c r="M27" i="39"/>
  <c r="M29" i="39" s="1"/>
  <c r="F15" i="23"/>
  <c r="F66" i="23"/>
  <c r="F68" i="23" s="1"/>
  <c r="I31" i="25"/>
  <c r="H18" i="25"/>
  <c r="H19" i="25" s="1"/>
  <c r="M87" i="30" s="1"/>
  <c r="M60" i="30"/>
  <c r="J27" i="25"/>
  <c r="J31" i="25" s="1"/>
  <c r="I69" i="23"/>
  <c r="M8" i="30"/>
  <c r="H52" i="24"/>
  <c r="L17" i="30" s="1"/>
  <c r="H64" i="24"/>
  <c r="L16" i="30"/>
  <c r="L8" i="30"/>
  <c r="N64" i="39"/>
  <c r="N67" i="39"/>
  <c r="R72" i="23"/>
  <c r="Q60" i="45"/>
  <c r="L69" i="29"/>
  <c r="L70" i="29" s="1"/>
  <c r="Q64" i="45" s="1"/>
  <c r="Q65" i="45" s="1"/>
  <c r="P59" i="39"/>
  <c r="P60" i="39" s="1"/>
  <c r="T63" i="45"/>
  <c r="O24" i="43"/>
  <c r="S69" i="28"/>
  <c r="U63" i="45"/>
  <c r="P24" i="43"/>
  <c r="Q59" i="39"/>
  <c r="Q60" i="39" s="1"/>
  <c r="S59" i="38"/>
  <c r="M63" i="45"/>
  <c r="H24" i="43"/>
  <c r="H25" i="43" s="1"/>
  <c r="M91" i="45" s="1"/>
  <c r="I59" i="39"/>
  <c r="P63" i="45"/>
  <c r="K24" i="43"/>
  <c r="K25" i="43" s="1"/>
  <c r="P91" i="45" s="1"/>
  <c r="L59" i="39"/>
  <c r="L60" i="39" s="1"/>
  <c r="O59" i="39"/>
  <c r="O60" i="39" s="1"/>
  <c r="N24" i="43"/>
  <c r="S63" i="45"/>
  <c r="T69" i="28"/>
  <c r="T70" i="28" s="1"/>
  <c r="N65" i="39"/>
  <c r="G24" i="43"/>
  <c r="G25" i="43" s="1"/>
  <c r="L91" i="45" s="1"/>
  <c r="H59" i="39"/>
  <c r="L63" i="45"/>
  <c r="V60" i="45"/>
  <c r="I59" i="30" s="1"/>
  <c r="Q69" i="29"/>
  <c r="G59" i="39"/>
  <c r="F24" i="43"/>
  <c r="F25" i="43" s="1"/>
  <c r="K63" i="45"/>
  <c r="J24" i="43"/>
  <c r="J25" i="43" s="1"/>
  <c r="O91" i="45" s="1"/>
  <c r="K59" i="39"/>
  <c r="K60" i="39" s="1"/>
  <c r="O63" i="45"/>
  <c r="N60" i="45"/>
  <c r="I69" i="29"/>
  <c r="G69" i="28"/>
  <c r="G70" i="28" s="1"/>
  <c r="N60" i="44"/>
  <c r="I69" i="28"/>
  <c r="N59" i="38"/>
  <c r="R63" i="44"/>
  <c r="M60" i="44"/>
  <c r="H69" i="28"/>
  <c r="K60" i="44"/>
  <c r="N69" i="28"/>
  <c r="Q69" i="28"/>
  <c r="Q70" i="28" s="1"/>
  <c r="V64" i="44" s="1"/>
  <c r="O69" i="28"/>
  <c r="R72" i="27"/>
  <c r="O60" i="44"/>
  <c r="J69" i="28"/>
  <c r="L69" i="28"/>
  <c r="L70" i="28" s="1"/>
  <c r="Q64" i="44" s="1"/>
  <c r="Q65" i="44" s="1"/>
  <c r="U60" i="44"/>
  <c r="P69" i="28"/>
  <c r="P60" i="44"/>
  <c r="K69" i="28"/>
  <c r="K70" i="28" s="1"/>
  <c r="P64" i="44" s="1"/>
  <c r="P65" i="44" s="1"/>
  <c r="K72" i="27"/>
  <c r="P64" i="32" s="1"/>
  <c r="P65" i="32" s="1"/>
  <c r="P24" i="41"/>
  <c r="P25" i="41" s="1"/>
  <c r="U91" i="32" s="1"/>
  <c r="Q59" i="37"/>
  <c r="Q60" i="37" s="1"/>
  <c r="Q27" i="37"/>
  <c r="U63" i="32"/>
  <c r="R60" i="32"/>
  <c r="Q60" i="32"/>
  <c r="R72" i="26"/>
  <c r="R73" i="26" s="1"/>
  <c r="S72" i="26"/>
  <c r="S73" i="26" s="1"/>
  <c r="O60" i="32"/>
  <c r="N60" i="32"/>
  <c r="V60" i="32"/>
  <c r="G60" i="31" s="1"/>
  <c r="T72" i="26"/>
  <c r="T73" i="26" s="1"/>
  <c r="O27" i="37"/>
  <c r="O59" i="37"/>
  <c r="O60" i="37" s="1"/>
  <c r="N24" i="41"/>
  <c r="N25" i="41" s="1"/>
  <c r="S91" i="32" s="1"/>
  <c r="S63" i="32"/>
  <c r="M62" i="32"/>
  <c r="H72" i="27"/>
  <c r="M64" i="32" s="1"/>
  <c r="M65" i="32" s="1"/>
  <c r="G72" i="27"/>
  <c r="L64" i="32" s="1"/>
  <c r="L65" i="32" s="1"/>
  <c r="I72" i="26"/>
  <c r="I73" i="26" s="1"/>
  <c r="N64" i="31" s="1"/>
  <c r="N65" i="31" s="1"/>
  <c r="N72" i="26"/>
  <c r="F72" i="26"/>
  <c r="F73" i="26" s="1"/>
  <c r="R24" i="25"/>
  <c r="R25" i="25" s="1"/>
  <c r="L28" i="33"/>
  <c r="L60" i="33"/>
  <c r="P63" i="31"/>
  <c r="S72" i="23"/>
  <c r="Q72" i="26"/>
  <c r="Q73" i="26" s="1"/>
  <c r="V64" i="31" s="1"/>
  <c r="M72" i="26"/>
  <c r="T72" i="23"/>
  <c r="J72" i="26"/>
  <c r="J73" i="26" s="1"/>
  <c r="O64" i="31" s="1"/>
  <c r="O65" i="31" s="1"/>
  <c r="P60" i="33"/>
  <c r="P28" i="33"/>
  <c r="T63" i="31"/>
  <c r="G72" i="26"/>
  <c r="M28" i="33"/>
  <c r="M60" i="33"/>
  <c r="Q63" i="31"/>
  <c r="P72" i="26"/>
  <c r="H72" i="26"/>
  <c r="J72" i="23"/>
  <c r="U71" i="23"/>
  <c r="I72" i="23"/>
  <c r="I46" i="31"/>
  <c r="I46" i="45"/>
  <c r="I45" i="30"/>
  <c r="I46" i="32"/>
  <c r="I46" i="44"/>
  <c r="I48" i="32"/>
  <c r="I48" i="31"/>
  <c r="I48" i="45"/>
  <c r="I48" i="44"/>
  <c r="I47" i="30"/>
  <c r="I52" i="32"/>
  <c r="I51" i="30"/>
  <c r="I52" i="44"/>
  <c r="I52" i="31"/>
  <c r="I52" i="45"/>
  <c r="I56" i="32"/>
  <c r="I56" i="31"/>
  <c r="I56" i="44"/>
  <c r="I56" i="45"/>
  <c r="I55" i="30"/>
  <c r="I49" i="30"/>
  <c r="I50" i="44"/>
  <c r="I50" i="31"/>
  <c r="I50" i="45"/>
  <c r="I50" i="32"/>
  <c r="I54" i="45"/>
  <c r="I53" i="30"/>
  <c r="I54" i="32"/>
  <c r="I54" i="44"/>
  <c r="I54" i="31"/>
  <c r="V58" i="45"/>
  <c r="I56" i="30"/>
  <c r="I57" i="44"/>
  <c r="I57" i="31"/>
  <c r="I57" i="45"/>
  <c r="I57" i="32"/>
  <c r="H55" i="30"/>
  <c r="H56" i="44"/>
  <c r="H56" i="31"/>
  <c r="H56" i="45"/>
  <c r="H56" i="32"/>
  <c r="H46" i="44"/>
  <c r="H46" i="31"/>
  <c r="H46" i="45"/>
  <c r="H46" i="32"/>
  <c r="H45" i="30"/>
  <c r="V58" i="44"/>
  <c r="H57" i="32"/>
  <c r="H56" i="30"/>
  <c r="H57" i="45"/>
  <c r="H57" i="44"/>
  <c r="H57" i="31"/>
  <c r="H52" i="45"/>
  <c r="H52" i="31"/>
  <c r="H52" i="32"/>
  <c r="H51" i="30"/>
  <c r="H52" i="44"/>
  <c r="H62" i="31"/>
  <c r="H62" i="44"/>
  <c r="H62" i="45"/>
  <c r="H62" i="32"/>
  <c r="H61" i="30"/>
  <c r="H53" i="30"/>
  <c r="H54" i="31"/>
  <c r="H54" i="45"/>
  <c r="H54" i="32"/>
  <c r="H54" i="44"/>
  <c r="H50" i="32"/>
  <c r="H50" i="45"/>
  <c r="H49" i="30"/>
  <c r="H50" i="44"/>
  <c r="H50" i="31"/>
  <c r="H47" i="30"/>
  <c r="H48" i="44"/>
  <c r="H48" i="32"/>
  <c r="H48" i="31"/>
  <c r="H48" i="45"/>
  <c r="G47" i="30"/>
  <c r="G48" i="44"/>
  <c r="G48" i="31"/>
  <c r="G48" i="45"/>
  <c r="G48" i="32"/>
  <c r="V58" i="32"/>
  <c r="G57" i="32"/>
  <c r="G56" i="30"/>
  <c r="G57" i="44"/>
  <c r="G57" i="31"/>
  <c r="G57" i="45"/>
  <c r="G50" i="32"/>
  <c r="G49" i="30"/>
  <c r="G50" i="44"/>
  <c r="G50" i="31"/>
  <c r="G50" i="45"/>
  <c r="G62" i="44"/>
  <c r="G62" i="31"/>
  <c r="G62" i="45"/>
  <c r="G61" i="30"/>
  <c r="G62" i="32"/>
  <c r="G46" i="44"/>
  <c r="G46" i="31"/>
  <c r="G46" i="45"/>
  <c r="G46" i="32"/>
  <c r="G45" i="30"/>
  <c r="G55" i="30"/>
  <c r="G56" i="44"/>
  <c r="G56" i="31"/>
  <c r="G56" i="32"/>
  <c r="G56" i="45"/>
  <c r="G54" i="44"/>
  <c r="G54" i="31"/>
  <c r="G54" i="45"/>
  <c r="G54" i="32"/>
  <c r="G53" i="30"/>
  <c r="G52" i="31"/>
  <c r="G52" i="45"/>
  <c r="G52" i="32"/>
  <c r="G51" i="30"/>
  <c r="G52" i="44"/>
  <c r="F53" i="30"/>
  <c r="F54" i="44"/>
  <c r="F54" i="31"/>
  <c r="F54" i="45"/>
  <c r="F54" i="32"/>
  <c r="F52" i="45"/>
  <c r="F52" i="32"/>
  <c r="F52" i="44"/>
  <c r="F51" i="30"/>
  <c r="F52" i="31"/>
  <c r="F45" i="30"/>
  <c r="F46" i="44"/>
  <c r="F46" i="31"/>
  <c r="F46" i="45"/>
  <c r="F46" i="32"/>
  <c r="F56" i="32"/>
  <c r="F56" i="44"/>
  <c r="F55" i="30"/>
  <c r="F56" i="31"/>
  <c r="F56" i="45"/>
  <c r="F48" i="32"/>
  <c r="F48" i="44"/>
  <c r="F47" i="30"/>
  <c r="F48" i="31"/>
  <c r="F48" i="45"/>
  <c r="F50" i="45"/>
  <c r="F50" i="32"/>
  <c r="F50" i="31"/>
  <c r="F49" i="30"/>
  <c r="F50" i="44"/>
  <c r="F61" i="30"/>
  <c r="F62" i="44"/>
  <c r="F62" i="31"/>
  <c r="F62" i="45"/>
  <c r="F62" i="32"/>
  <c r="E50" i="31"/>
  <c r="E49" i="30"/>
  <c r="E50" i="45"/>
  <c r="E50" i="32"/>
  <c r="E50" i="44"/>
  <c r="V64" i="30"/>
  <c r="E64" i="32"/>
  <c r="E64" i="31"/>
  <c r="E64" i="44"/>
  <c r="E64" i="45"/>
  <c r="E63" i="30"/>
  <c r="E47" i="30"/>
  <c r="E48" i="44"/>
  <c r="E48" i="32"/>
  <c r="E48" i="31"/>
  <c r="E48" i="45"/>
  <c r="E56" i="32"/>
  <c r="E55" i="30"/>
  <c r="E56" i="31"/>
  <c r="E56" i="45"/>
  <c r="E56" i="44"/>
  <c r="E60" i="44"/>
  <c r="E60" i="45"/>
  <c r="E60" i="31"/>
  <c r="E60" i="32"/>
  <c r="E59" i="30"/>
  <c r="E52" i="44"/>
  <c r="E52" i="32"/>
  <c r="E52" i="31"/>
  <c r="E52" i="45"/>
  <c r="E51" i="30"/>
  <c r="E61" i="30"/>
  <c r="E62" i="44"/>
  <c r="E62" i="31"/>
  <c r="E62" i="32"/>
  <c r="E62" i="45"/>
  <c r="E46" i="45"/>
  <c r="E45" i="30"/>
  <c r="E46" i="44"/>
  <c r="E46" i="31"/>
  <c r="E46" i="32"/>
  <c r="V57" i="30"/>
  <c r="E57" i="45"/>
  <c r="E57" i="44"/>
  <c r="E57" i="32"/>
  <c r="E56" i="30"/>
  <c r="E57" i="31"/>
  <c r="E53" i="30"/>
  <c r="E54" i="44"/>
  <c r="E54" i="45"/>
  <c r="E54" i="32"/>
  <c r="E54" i="31"/>
  <c r="K60" i="32"/>
  <c r="P31" i="3"/>
  <c r="L31" i="3"/>
  <c r="U71" i="26"/>
  <c r="K60" i="31"/>
  <c r="P62" i="31"/>
  <c r="O62" i="44"/>
  <c r="U66" i="29"/>
  <c r="U68" i="29"/>
  <c r="K60" i="45"/>
  <c r="R70" i="28"/>
  <c r="V60" i="44"/>
  <c r="N29" i="3"/>
  <c r="L29" i="3"/>
  <c r="K73" i="26"/>
  <c r="P64" i="31" s="1"/>
  <c r="P65" i="31" s="1"/>
  <c r="J29" i="3"/>
  <c r="O73" i="26"/>
  <c r="T64" i="31" s="1"/>
  <c r="T65" i="31" s="1"/>
  <c r="L73" i="26"/>
  <c r="U60" i="45"/>
  <c r="Q62" i="45"/>
  <c r="S60" i="45"/>
  <c r="P70" i="29"/>
  <c r="U64" i="45" s="1"/>
  <c r="U65" i="45" s="1"/>
  <c r="U62" i="45"/>
  <c r="N70" i="29"/>
  <c r="S64" i="45" s="1"/>
  <c r="S65" i="45" s="1"/>
  <c r="S62" i="45"/>
  <c r="U64" i="28"/>
  <c r="S57" i="44"/>
  <c r="S58" i="44" s="1"/>
  <c r="M60" i="32"/>
  <c r="U66" i="28"/>
  <c r="Q60" i="44"/>
  <c r="Q62" i="44"/>
  <c r="Q72" i="27"/>
  <c r="V64" i="32" s="1"/>
  <c r="S60" i="32"/>
  <c r="U60" i="32"/>
  <c r="U68" i="27"/>
  <c r="I72" i="27"/>
  <c r="N64" i="32" s="1"/>
  <c r="N65" i="32" s="1"/>
  <c r="N62" i="32"/>
  <c r="U69" i="26"/>
  <c r="L60" i="44"/>
  <c r="R60" i="44"/>
  <c r="T60" i="44"/>
  <c r="S60" i="44"/>
  <c r="P60" i="32"/>
  <c r="T60" i="32"/>
  <c r="L60" i="32"/>
  <c r="G70" i="29"/>
  <c r="L60" i="45"/>
  <c r="H70" i="29"/>
  <c r="M60" i="45"/>
  <c r="M70" i="29"/>
  <c r="R60" i="45"/>
  <c r="J70" i="29"/>
  <c r="O60" i="45"/>
  <c r="K70" i="29"/>
  <c r="P60" i="45"/>
  <c r="O70" i="29"/>
  <c r="T60" i="45"/>
  <c r="T62" i="32"/>
  <c r="L62" i="32"/>
  <c r="P62" i="32"/>
  <c r="Q62" i="31"/>
  <c r="T62" i="31"/>
  <c r="J16" i="25"/>
  <c r="I18" i="25"/>
  <c r="I19" i="25" s="1"/>
  <c r="K62" i="44"/>
  <c r="K62" i="32"/>
  <c r="N60" i="38" l="1"/>
  <c r="N64" i="38" s="1"/>
  <c r="M24" i="42"/>
  <c r="M25" i="42" s="1"/>
  <c r="R91" i="44" s="1"/>
  <c r="I65" i="24"/>
  <c r="J31" i="24"/>
  <c r="J32" i="24" s="1"/>
  <c r="J27" i="24"/>
  <c r="J59" i="24" s="1"/>
  <c r="J61" i="24" s="1"/>
  <c r="I66" i="24"/>
  <c r="H32" i="25"/>
  <c r="M91" i="30" s="1"/>
  <c r="I24" i="25"/>
  <c r="I25" i="25" s="1"/>
  <c r="N89" i="30" s="1"/>
  <c r="J24" i="25"/>
  <c r="J25" i="25" s="1"/>
  <c r="O89" i="30" s="1"/>
  <c r="S60" i="38"/>
  <c r="S64" i="38" s="1"/>
  <c r="R24" i="42"/>
  <c r="R25" i="42" s="1"/>
  <c r="F72" i="27"/>
  <c r="R8" i="45"/>
  <c r="N31" i="39"/>
  <c r="N51" i="39"/>
  <c r="R17" i="45" s="1"/>
  <c r="N63" i="39"/>
  <c r="I60" i="32"/>
  <c r="O29" i="37"/>
  <c r="O30" i="37" s="1"/>
  <c r="Q29" i="37"/>
  <c r="Q30" i="37" s="1"/>
  <c r="Q31" i="37" s="1"/>
  <c r="G59" i="30"/>
  <c r="I52" i="24"/>
  <c r="M17" i="30" s="1"/>
  <c r="N60" i="30"/>
  <c r="K27" i="25"/>
  <c r="K31" i="25" s="1"/>
  <c r="K32" i="25" s="1"/>
  <c r="P91" i="30" s="1"/>
  <c r="J69" i="23"/>
  <c r="O90" i="30"/>
  <c r="I64" i="24"/>
  <c r="M16" i="30"/>
  <c r="I60" i="31"/>
  <c r="I60" i="45"/>
  <c r="I60" i="44"/>
  <c r="U69" i="29"/>
  <c r="V65" i="31"/>
  <c r="F64" i="30" s="1"/>
  <c r="F64" i="32"/>
  <c r="F64" i="31"/>
  <c r="F64" i="45"/>
  <c r="F63" i="30"/>
  <c r="O67" i="39"/>
  <c r="O64" i="39"/>
  <c r="O65" i="39"/>
  <c r="K64" i="39"/>
  <c r="K65" i="39"/>
  <c r="K67" i="39"/>
  <c r="P8" i="45"/>
  <c r="L51" i="39"/>
  <c r="P17" i="45" s="1"/>
  <c r="L63" i="39"/>
  <c r="P16" i="45"/>
  <c r="L31" i="39"/>
  <c r="T59" i="38"/>
  <c r="R30" i="39"/>
  <c r="Q24" i="43"/>
  <c r="V63" i="45"/>
  <c r="R59" i="39"/>
  <c r="R60" i="39" s="1"/>
  <c r="L67" i="39"/>
  <c r="L64" i="39"/>
  <c r="L65" i="39"/>
  <c r="S70" i="28"/>
  <c r="U59" i="38"/>
  <c r="Q64" i="39"/>
  <c r="Q67" i="39"/>
  <c r="Q65" i="39"/>
  <c r="O25" i="43"/>
  <c r="T91" i="45" s="1"/>
  <c r="O32" i="43"/>
  <c r="T93" i="45" s="1"/>
  <c r="U8" i="45"/>
  <c r="Q31" i="39"/>
  <c r="Q63" i="39"/>
  <c r="U16" i="45"/>
  <c r="Q51" i="39"/>
  <c r="U17" i="45" s="1"/>
  <c r="N32" i="43"/>
  <c r="S93" i="45" s="1"/>
  <c r="N25" i="43"/>
  <c r="S91" i="45" s="1"/>
  <c r="J30" i="39"/>
  <c r="I24" i="43"/>
  <c r="I25" i="43" s="1"/>
  <c r="N91" i="45" s="1"/>
  <c r="N63" i="45"/>
  <c r="J59" i="39"/>
  <c r="J60" i="39" s="1"/>
  <c r="P32" i="43"/>
  <c r="U93" i="45" s="1"/>
  <c r="P25" i="43"/>
  <c r="U91" i="45" s="1"/>
  <c r="P65" i="39"/>
  <c r="P64" i="39"/>
  <c r="P67" i="39"/>
  <c r="P51" i="39"/>
  <c r="T17" i="45" s="1"/>
  <c r="T8" i="45"/>
  <c r="T16" i="45"/>
  <c r="P31" i="39"/>
  <c r="P63" i="39"/>
  <c r="O8" i="45"/>
  <c r="O16" i="45"/>
  <c r="K63" i="39"/>
  <c r="K51" i="39"/>
  <c r="O17" i="45" s="1"/>
  <c r="K31" i="39"/>
  <c r="M30" i="39"/>
  <c r="Q63" i="45"/>
  <c r="L24" i="43"/>
  <c r="L25" i="43" s="1"/>
  <c r="Q91" i="45" s="1"/>
  <c r="M59" i="39"/>
  <c r="M60" i="39" s="1"/>
  <c r="K91" i="45"/>
  <c r="F32" i="43"/>
  <c r="S16" i="45"/>
  <c r="O63" i="39"/>
  <c r="S8" i="45"/>
  <c r="O51" i="39"/>
  <c r="S17" i="45" s="1"/>
  <c r="O31" i="39"/>
  <c r="V65" i="44"/>
  <c r="H65" i="44" s="1"/>
  <c r="H64" i="31"/>
  <c r="H63" i="30"/>
  <c r="H64" i="32"/>
  <c r="H64" i="44"/>
  <c r="H64" i="45"/>
  <c r="Q59" i="38"/>
  <c r="Q30" i="38"/>
  <c r="Q31" i="38" s="1"/>
  <c r="U63" i="44"/>
  <c r="P59" i="38"/>
  <c r="P30" i="38"/>
  <c r="P31" i="38" s="1"/>
  <c r="T63" i="44"/>
  <c r="G59" i="38"/>
  <c r="F24" i="42" s="1"/>
  <c r="F25" i="42" s="1"/>
  <c r="K63" i="44"/>
  <c r="U69" i="28"/>
  <c r="N63" i="38"/>
  <c r="R8" i="44"/>
  <c r="R16" i="44"/>
  <c r="N51" i="38"/>
  <c r="R17" i="44" s="1"/>
  <c r="O70" i="28"/>
  <c r="T64" i="44" s="1"/>
  <c r="T65" i="44" s="1"/>
  <c r="N67" i="38"/>
  <c r="I59" i="38"/>
  <c r="H24" i="42" s="1"/>
  <c r="H25" i="42" s="1"/>
  <c r="M91" i="44" s="1"/>
  <c r="M63" i="44"/>
  <c r="M30" i="38"/>
  <c r="M31" i="38" s="1"/>
  <c r="M59" i="38"/>
  <c r="Q63" i="44"/>
  <c r="P70" i="28"/>
  <c r="U64" i="44" s="1"/>
  <c r="U65" i="44" s="1"/>
  <c r="K59" i="38"/>
  <c r="K30" i="38"/>
  <c r="K31" i="38" s="1"/>
  <c r="O63" i="44"/>
  <c r="J70" i="28"/>
  <c r="O64" i="44" s="1"/>
  <c r="O65" i="44" s="1"/>
  <c r="T24" i="41"/>
  <c r="T25" i="41" s="1"/>
  <c r="U59" i="37"/>
  <c r="I27" i="39" s="1"/>
  <c r="U27" i="37"/>
  <c r="U29" i="37" s="1"/>
  <c r="R30" i="38"/>
  <c r="R31" i="38" s="1"/>
  <c r="R59" i="38"/>
  <c r="V63" i="44"/>
  <c r="J30" i="38"/>
  <c r="J31" i="38" s="1"/>
  <c r="J59" i="38"/>
  <c r="N63" i="44"/>
  <c r="F70" i="28"/>
  <c r="O30" i="38"/>
  <c r="O31" i="38" s="1"/>
  <c r="O59" i="38"/>
  <c r="S63" i="44"/>
  <c r="S24" i="41"/>
  <c r="S25" i="41" s="1"/>
  <c r="T59" i="37"/>
  <c r="H27" i="39" s="1"/>
  <c r="T27" i="37"/>
  <c r="T29" i="37" s="1"/>
  <c r="T72" i="27"/>
  <c r="H70" i="28"/>
  <c r="M64" i="44" s="1"/>
  <c r="M65" i="44" s="1"/>
  <c r="I70" i="28"/>
  <c r="N64" i="44" s="1"/>
  <c r="N65" i="44" s="1"/>
  <c r="L59" i="38"/>
  <c r="L30" i="38"/>
  <c r="L31" i="38" s="1"/>
  <c r="P63" i="44"/>
  <c r="S59" i="37"/>
  <c r="G27" i="39" s="1"/>
  <c r="R24" i="41"/>
  <c r="R25" i="41" s="1"/>
  <c r="S27" i="37"/>
  <c r="S29" i="37" s="1"/>
  <c r="N70" i="28"/>
  <c r="S64" i="44" s="1"/>
  <c r="S65" i="44" s="1"/>
  <c r="S72" i="27"/>
  <c r="H59" i="38"/>
  <c r="G24" i="42" s="1"/>
  <c r="G25" i="42" s="1"/>
  <c r="L91" i="44" s="1"/>
  <c r="L63" i="44"/>
  <c r="J59" i="37"/>
  <c r="J60" i="37" s="1"/>
  <c r="I24" i="41"/>
  <c r="I25" i="41" s="1"/>
  <c r="N91" i="32" s="1"/>
  <c r="J27" i="37"/>
  <c r="N63" i="32"/>
  <c r="G60" i="44"/>
  <c r="G27" i="37"/>
  <c r="F24" i="41"/>
  <c r="F25" i="41" s="1"/>
  <c r="K63" i="32"/>
  <c r="U71" i="27"/>
  <c r="M27" i="37"/>
  <c r="M59" i="37"/>
  <c r="M60" i="37" s="1"/>
  <c r="L24" i="41"/>
  <c r="L25" i="41" s="1"/>
  <c r="Q91" i="32" s="1"/>
  <c r="Q63" i="32"/>
  <c r="L72" i="27"/>
  <c r="Q64" i="32" s="1"/>
  <c r="Q65" i="32" s="1"/>
  <c r="Q64" i="37"/>
  <c r="Q65" i="37"/>
  <c r="Q67" i="37"/>
  <c r="O64" i="37"/>
  <c r="O67" i="37"/>
  <c r="O65" i="37"/>
  <c r="G60" i="32"/>
  <c r="P27" i="37"/>
  <c r="O24" i="41"/>
  <c r="O25" i="41" s="1"/>
  <c r="T91" i="32" s="1"/>
  <c r="P59" i="37"/>
  <c r="P60" i="37" s="1"/>
  <c r="T63" i="32"/>
  <c r="K59" i="37"/>
  <c r="K60" i="37" s="1"/>
  <c r="J24" i="41"/>
  <c r="J25" i="41" s="1"/>
  <c r="O91" i="32" s="1"/>
  <c r="K27" i="37"/>
  <c r="O63" i="32"/>
  <c r="J72" i="27"/>
  <c r="O64" i="32" s="1"/>
  <c r="O65" i="32" s="1"/>
  <c r="G60" i="45"/>
  <c r="G24" i="41"/>
  <c r="G25" i="41" s="1"/>
  <c r="L91" i="32" s="1"/>
  <c r="H27" i="37"/>
  <c r="H59" i="37"/>
  <c r="L63" i="32"/>
  <c r="U60" i="33"/>
  <c r="U28" i="33"/>
  <c r="U30" i="33" s="1"/>
  <c r="U31" i="33" s="1"/>
  <c r="T60" i="33"/>
  <c r="T28" i="33"/>
  <c r="O72" i="27"/>
  <c r="T64" i="32" s="1"/>
  <c r="T65" i="32" s="1"/>
  <c r="N27" i="37"/>
  <c r="N59" i="37"/>
  <c r="N60" i="37" s="1"/>
  <c r="M24" i="41"/>
  <c r="M25" i="41" s="1"/>
  <c r="R91" i="32" s="1"/>
  <c r="R63" i="32"/>
  <c r="M72" i="27"/>
  <c r="R64" i="32" s="1"/>
  <c r="R65" i="32" s="1"/>
  <c r="H24" i="41"/>
  <c r="H25" i="41" s="1"/>
  <c r="M91" i="32" s="1"/>
  <c r="I27" i="37"/>
  <c r="I59" i="37"/>
  <c r="M63" i="32"/>
  <c r="R59" i="37"/>
  <c r="R60" i="37" s="1"/>
  <c r="Q24" i="41"/>
  <c r="Q25" i="41" s="1"/>
  <c r="V91" i="32" s="1"/>
  <c r="R27" i="37"/>
  <c r="V63" i="32"/>
  <c r="L27" i="37"/>
  <c r="L59" i="37"/>
  <c r="L60" i="37" s="1"/>
  <c r="K24" i="41"/>
  <c r="K25" i="41" s="1"/>
  <c r="P91" i="32" s="1"/>
  <c r="P63" i="32"/>
  <c r="S60" i="33"/>
  <c r="S28" i="33"/>
  <c r="H60" i="33"/>
  <c r="G24" i="40" s="1"/>
  <c r="G25" i="40" s="1"/>
  <c r="L91" i="31" s="1"/>
  <c r="H28" i="33"/>
  <c r="L63" i="31"/>
  <c r="N28" i="33"/>
  <c r="N60" i="33"/>
  <c r="R63" i="31"/>
  <c r="I60" i="33"/>
  <c r="H24" i="40" s="1"/>
  <c r="H25" i="40" s="1"/>
  <c r="M91" i="31" s="1"/>
  <c r="I28" i="33"/>
  <c r="M63" i="31"/>
  <c r="G73" i="26"/>
  <c r="M73" i="26"/>
  <c r="R64" i="31" s="1"/>
  <c r="R65" i="31" s="1"/>
  <c r="F64" i="44"/>
  <c r="H73" i="26"/>
  <c r="M64" i="31" s="1"/>
  <c r="M65" i="31" s="1"/>
  <c r="R60" i="33"/>
  <c r="R28" i="33"/>
  <c r="V63" i="31"/>
  <c r="G28" i="33"/>
  <c r="G60" i="33"/>
  <c r="F24" i="40" s="1"/>
  <c r="F25" i="40" s="1"/>
  <c r="U72" i="26"/>
  <c r="K63" i="31"/>
  <c r="Q60" i="33"/>
  <c r="Q28" i="33"/>
  <c r="U63" i="31"/>
  <c r="P73" i="26"/>
  <c r="U64" i="31" s="1"/>
  <c r="U65" i="31" s="1"/>
  <c r="O24" i="40"/>
  <c r="O25" i="40" s="1"/>
  <c r="T91" i="31" s="1"/>
  <c r="O60" i="33"/>
  <c r="O28" i="33"/>
  <c r="S63" i="31"/>
  <c r="K28" i="33"/>
  <c r="K60" i="33"/>
  <c r="O63" i="31"/>
  <c r="N73" i="26"/>
  <c r="S64" i="31" s="1"/>
  <c r="S65" i="31" s="1"/>
  <c r="L24" i="40"/>
  <c r="L25" i="40" s="1"/>
  <c r="Q91" i="31" s="1"/>
  <c r="K24" i="40"/>
  <c r="K25" i="40" s="1"/>
  <c r="P91" i="31" s="1"/>
  <c r="J60" i="33"/>
  <c r="J28" i="33"/>
  <c r="N63" i="31"/>
  <c r="F33" i="23"/>
  <c r="U33" i="23" s="1"/>
  <c r="I57" i="30"/>
  <c r="I58" i="44"/>
  <c r="I58" i="45"/>
  <c r="I58" i="31"/>
  <c r="I58" i="32"/>
  <c r="H58" i="32"/>
  <c r="H57" i="30"/>
  <c r="H58" i="44"/>
  <c r="H58" i="31"/>
  <c r="H58" i="45"/>
  <c r="H60" i="45"/>
  <c r="H60" i="31"/>
  <c r="H60" i="32"/>
  <c r="H59" i="30"/>
  <c r="H60" i="44"/>
  <c r="V65" i="32"/>
  <c r="G63" i="30"/>
  <c r="G64" i="44"/>
  <c r="G64" i="31"/>
  <c r="G64" i="45"/>
  <c r="G64" i="32"/>
  <c r="G58" i="32"/>
  <c r="G57" i="30"/>
  <c r="G58" i="44"/>
  <c r="G58" i="45"/>
  <c r="G58" i="31"/>
  <c r="E58" i="31"/>
  <c r="E58" i="45"/>
  <c r="E57" i="30"/>
  <c r="E58" i="32"/>
  <c r="E58" i="44"/>
  <c r="E65" i="45"/>
  <c r="E64" i="30"/>
  <c r="E65" i="44"/>
  <c r="E65" i="32"/>
  <c r="E65" i="31"/>
  <c r="K44" i="30"/>
  <c r="K47" i="30" s="1"/>
  <c r="F70" i="23"/>
  <c r="F72" i="23" s="1"/>
  <c r="U24" i="23"/>
  <c r="J33" i="3"/>
  <c r="G56" i="24"/>
  <c r="G58" i="24" s="1"/>
  <c r="K5" i="30"/>
  <c r="N31" i="3"/>
  <c r="Q70" i="29"/>
  <c r="V64" i="45" s="1"/>
  <c r="V62" i="45"/>
  <c r="I70" i="29"/>
  <c r="N64" i="45" s="1"/>
  <c r="N65" i="45" s="1"/>
  <c r="N62" i="45"/>
  <c r="K62" i="45"/>
  <c r="F70" i="29"/>
  <c r="M70" i="28"/>
  <c r="U68" i="28"/>
  <c r="N72" i="27"/>
  <c r="S64" i="32" s="1"/>
  <c r="S65" i="32" s="1"/>
  <c r="S62" i="32"/>
  <c r="P72" i="27"/>
  <c r="U62" i="32"/>
  <c r="U70" i="27"/>
  <c r="U67" i="26"/>
  <c r="K57" i="31"/>
  <c r="K58" i="31" s="1"/>
  <c r="Q64" i="31"/>
  <c r="Q65" i="31" s="1"/>
  <c r="N87" i="30"/>
  <c r="R62" i="44"/>
  <c r="S62" i="44"/>
  <c r="L64" i="44"/>
  <c r="L65" i="44" s="1"/>
  <c r="L62" i="44"/>
  <c r="T62" i="44"/>
  <c r="S62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64" i="31"/>
  <c r="K65" i="31" s="1"/>
  <c r="K16" i="25"/>
  <c r="J18" i="25"/>
  <c r="J19" i="25" s="1"/>
  <c r="P33" i="3"/>
  <c r="N65" i="38" l="1"/>
  <c r="M60" i="38"/>
  <c r="M67" i="38" s="1"/>
  <c r="L24" i="42"/>
  <c r="L25" i="42" s="1"/>
  <c r="Q91" i="44" s="1"/>
  <c r="O60" i="38"/>
  <c r="O64" i="38" s="1"/>
  <c r="N24" i="42"/>
  <c r="N25" i="42" s="1"/>
  <c r="S91" i="44" s="1"/>
  <c r="P60" i="38"/>
  <c r="P65" i="38" s="1"/>
  <c r="O24" i="42"/>
  <c r="O25" i="42" s="1"/>
  <c r="T91" i="44" s="1"/>
  <c r="K91" i="44"/>
  <c r="J60" i="38"/>
  <c r="J65" i="38" s="1"/>
  <c r="I24" i="42"/>
  <c r="I25" i="42" s="1"/>
  <c r="N91" i="44" s="1"/>
  <c r="Q60" i="38"/>
  <c r="Q67" i="38" s="1"/>
  <c r="P24" i="42"/>
  <c r="P25" i="42" s="1"/>
  <c r="U91" i="44" s="1"/>
  <c r="L60" i="38"/>
  <c r="L67" i="38" s="1"/>
  <c r="K24" i="42"/>
  <c r="K25" i="42" s="1"/>
  <c r="P91" i="44" s="1"/>
  <c r="R60" i="38"/>
  <c r="R65" i="38" s="1"/>
  <c r="Q24" i="42"/>
  <c r="Q25" i="42" s="1"/>
  <c r="V91" i="44" s="1"/>
  <c r="K60" i="38"/>
  <c r="K67" i="38" s="1"/>
  <c r="J24" i="42"/>
  <c r="J25" i="42" s="1"/>
  <c r="O91" i="44" s="1"/>
  <c r="K31" i="24"/>
  <c r="K32" i="24" s="1"/>
  <c r="K27" i="24"/>
  <c r="K59" i="24" s="1"/>
  <c r="K61" i="24" s="1"/>
  <c r="K68" i="24" s="1"/>
  <c r="I32" i="25"/>
  <c r="N91" i="30" s="1"/>
  <c r="J68" i="24"/>
  <c r="J65" i="24"/>
  <c r="J66" i="24"/>
  <c r="J32" i="25"/>
  <c r="O91" i="30" s="1"/>
  <c r="U52" i="33"/>
  <c r="U32" i="33"/>
  <c r="S67" i="38"/>
  <c r="S65" i="38"/>
  <c r="T60" i="38"/>
  <c r="T64" i="38" s="1"/>
  <c r="S24" i="42"/>
  <c r="S25" i="42" s="1"/>
  <c r="U60" i="38"/>
  <c r="U65" i="38" s="1"/>
  <c r="T24" i="42"/>
  <c r="T25" i="42" s="1"/>
  <c r="O31" i="37"/>
  <c r="S16" i="32"/>
  <c r="O51" i="37"/>
  <c r="S17" i="32" s="1"/>
  <c r="S8" i="32"/>
  <c r="O63" i="37"/>
  <c r="S60" i="37"/>
  <c r="S65" i="37" s="1"/>
  <c r="G27" i="38"/>
  <c r="Q51" i="37"/>
  <c r="U17" i="32" s="1"/>
  <c r="Q63" i="37"/>
  <c r="T60" i="37"/>
  <c r="T65" i="37" s="1"/>
  <c r="H27" i="38"/>
  <c r="N29" i="37"/>
  <c r="N30" i="37" s="1"/>
  <c r="P29" i="37"/>
  <c r="P30" i="37" s="1"/>
  <c r="M29" i="37"/>
  <c r="M30" i="37" s="1"/>
  <c r="U8" i="32"/>
  <c r="U60" i="37"/>
  <c r="U65" i="37" s="1"/>
  <c r="I27" i="38"/>
  <c r="J29" i="37"/>
  <c r="J30" i="37" s="1"/>
  <c r="L29" i="37"/>
  <c r="L30" i="37" s="1"/>
  <c r="U16" i="32"/>
  <c r="R29" i="37"/>
  <c r="R30" i="37" s="1"/>
  <c r="K29" i="37"/>
  <c r="K30" i="37" s="1"/>
  <c r="O60" i="30"/>
  <c r="L27" i="25"/>
  <c r="L31" i="25" s="1"/>
  <c r="L32" i="25" s="1"/>
  <c r="Q91" i="30" s="1"/>
  <c r="K69" i="23"/>
  <c r="P90" i="30"/>
  <c r="J52" i="24"/>
  <c r="N17" i="30" s="1"/>
  <c r="J64" i="24"/>
  <c r="N16" i="30"/>
  <c r="N8" i="30"/>
  <c r="P32" i="3"/>
  <c r="H65" i="45"/>
  <c r="H65" i="31"/>
  <c r="H64" i="30"/>
  <c r="H65" i="32"/>
  <c r="F65" i="45"/>
  <c r="F65" i="31"/>
  <c r="F65" i="44"/>
  <c r="F65" i="32"/>
  <c r="J64" i="39"/>
  <c r="J65" i="39"/>
  <c r="J67" i="39"/>
  <c r="Q16" i="45"/>
  <c r="Q8" i="45"/>
  <c r="M51" i="39"/>
  <c r="Q17" i="45" s="1"/>
  <c r="M63" i="39"/>
  <c r="M31" i="39"/>
  <c r="I63" i="32"/>
  <c r="I62" i="30"/>
  <c r="I63" i="45"/>
  <c r="I63" i="31"/>
  <c r="I63" i="44"/>
  <c r="R64" i="39"/>
  <c r="R67" i="39"/>
  <c r="R65" i="39"/>
  <c r="N8" i="45"/>
  <c r="N16" i="45"/>
  <c r="J31" i="39"/>
  <c r="J51" i="39"/>
  <c r="N17" i="45" s="1"/>
  <c r="J63" i="39"/>
  <c r="Q32" i="43"/>
  <c r="V93" i="45" s="1"/>
  <c r="Q25" i="43"/>
  <c r="V91" i="45" s="1"/>
  <c r="R31" i="39"/>
  <c r="V16" i="45"/>
  <c r="R63" i="39"/>
  <c r="V8" i="45"/>
  <c r="R51" i="39"/>
  <c r="V17" i="45" s="1"/>
  <c r="M67" i="39"/>
  <c r="M64" i="39"/>
  <c r="M65" i="39"/>
  <c r="U16" i="44"/>
  <c r="Q63" i="38"/>
  <c r="U8" i="44"/>
  <c r="Q51" i="38"/>
  <c r="U17" i="44" s="1"/>
  <c r="S16" i="44"/>
  <c r="O63" i="38"/>
  <c r="S8" i="44"/>
  <c r="O51" i="38"/>
  <c r="S17" i="44" s="1"/>
  <c r="L65" i="38"/>
  <c r="Q8" i="44"/>
  <c r="M63" i="38"/>
  <c r="Q16" i="44"/>
  <c r="M51" i="38"/>
  <c r="Q17" i="44" s="1"/>
  <c r="N8" i="44"/>
  <c r="J51" i="38"/>
  <c r="N17" i="44" s="1"/>
  <c r="N16" i="44"/>
  <c r="J63" i="38"/>
  <c r="P63" i="38"/>
  <c r="P51" i="38"/>
  <c r="T17" i="44" s="1"/>
  <c r="T16" i="44"/>
  <c r="T8" i="44"/>
  <c r="V8" i="44"/>
  <c r="V16" i="44"/>
  <c r="R51" i="38"/>
  <c r="V17" i="44" s="1"/>
  <c r="R63" i="38"/>
  <c r="H63" i="32"/>
  <c r="H63" i="44"/>
  <c r="H63" i="45"/>
  <c r="H62" i="30"/>
  <c r="H63" i="31"/>
  <c r="O8" i="44"/>
  <c r="K63" i="38"/>
  <c r="K51" i="38"/>
  <c r="O17" i="44" s="1"/>
  <c r="O16" i="44"/>
  <c r="P67" i="38"/>
  <c r="U70" i="28"/>
  <c r="P8" i="44"/>
  <c r="P16" i="44"/>
  <c r="L51" i="38"/>
  <c r="P17" i="44" s="1"/>
  <c r="L63" i="38"/>
  <c r="R67" i="38"/>
  <c r="M64" i="37"/>
  <c r="M65" i="37"/>
  <c r="M67" i="37"/>
  <c r="G62" i="30"/>
  <c r="G63" i="32"/>
  <c r="G63" i="31"/>
  <c r="G63" i="44"/>
  <c r="G63" i="45"/>
  <c r="T24" i="40"/>
  <c r="T25" i="40" s="1"/>
  <c r="U61" i="33"/>
  <c r="G91" i="44"/>
  <c r="G89" i="30"/>
  <c r="G91" i="31"/>
  <c r="G91" i="45"/>
  <c r="G91" i="32"/>
  <c r="R24" i="40"/>
  <c r="R25" i="40" s="1"/>
  <c r="R64" i="37"/>
  <c r="R65" i="37"/>
  <c r="R67" i="37"/>
  <c r="N67" i="37"/>
  <c r="N64" i="37"/>
  <c r="N65" i="37"/>
  <c r="K67" i="37"/>
  <c r="K65" i="37"/>
  <c r="K64" i="37"/>
  <c r="U25" i="41"/>
  <c r="K91" i="32"/>
  <c r="P64" i="37"/>
  <c r="P65" i="37"/>
  <c r="P67" i="37"/>
  <c r="L64" i="37"/>
  <c r="L65" i="37"/>
  <c r="L67" i="37"/>
  <c r="S24" i="40"/>
  <c r="S25" i="40" s="1"/>
  <c r="J64" i="37"/>
  <c r="J67" i="37"/>
  <c r="J65" i="37"/>
  <c r="P24" i="40"/>
  <c r="P25" i="40" s="1"/>
  <c r="U91" i="31" s="1"/>
  <c r="I24" i="40"/>
  <c r="I25" i="40" s="1"/>
  <c r="N91" i="31" s="1"/>
  <c r="F63" i="31"/>
  <c r="F63" i="44"/>
  <c r="F63" i="32"/>
  <c r="F62" i="30"/>
  <c r="F63" i="45"/>
  <c r="J24" i="40"/>
  <c r="J25" i="40" s="1"/>
  <c r="O91" i="31" s="1"/>
  <c r="Q24" i="40"/>
  <c r="Q25" i="40" s="1"/>
  <c r="V91" i="31" s="1"/>
  <c r="N24" i="40"/>
  <c r="N25" i="40" s="1"/>
  <c r="S91" i="31" s="1"/>
  <c r="M24" i="40"/>
  <c r="M25" i="40" s="1"/>
  <c r="R91" i="31" s="1"/>
  <c r="K48" i="30"/>
  <c r="K49" i="30" s="1"/>
  <c r="G61" i="24"/>
  <c r="G65" i="24" s="1"/>
  <c r="F24" i="25"/>
  <c r="V65" i="45"/>
  <c r="I64" i="32"/>
  <c r="I64" i="44"/>
  <c r="I64" i="31"/>
  <c r="I64" i="45"/>
  <c r="I63" i="30"/>
  <c r="I62" i="45"/>
  <c r="I62" i="31"/>
  <c r="I61" i="30"/>
  <c r="I62" i="32"/>
  <c r="I62" i="44"/>
  <c r="G65" i="32"/>
  <c r="G64" i="30"/>
  <c r="G65" i="44"/>
  <c r="G65" i="31"/>
  <c r="G65" i="45"/>
  <c r="U66" i="23"/>
  <c r="K55" i="30"/>
  <c r="K53" i="30"/>
  <c r="K51" i="30"/>
  <c r="L45" i="30"/>
  <c r="H27" i="3"/>
  <c r="K56" i="30"/>
  <c r="K57" i="30" s="1"/>
  <c r="K61" i="30"/>
  <c r="N33" i="3"/>
  <c r="L33" i="3"/>
  <c r="J31" i="3"/>
  <c r="H29" i="3"/>
  <c r="K59" i="30"/>
  <c r="U68" i="23"/>
  <c r="U70" i="29"/>
  <c r="R64" i="44"/>
  <c r="R65" i="44" s="1"/>
  <c r="U72" i="27"/>
  <c r="U64" i="32"/>
  <c r="U65" i="32" s="1"/>
  <c r="K63" i="30"/>
  <c r="K64" i="30" s="1"/>
  <c r="O87" i="30"/>
  <c r="K64" i="44"/>
  <c r="K65" i="44" s="1"/>
  <c r="K64" i="45"/>
  <c r="K65" i="45" s="1"/>
  <c r="K64" i="32"/>
  <c r="K65" i="32" s="1"/>
  <c r="L16" i="25"/>
  <c r="K18" i="25"/>
  <c r="K19" i="25" s="1"/>
  <c r="P64" i="38" l="1"/>
  <c r="R64" i="38"/>
  <c r="Q64" i="38"/>
  <c r="U25" i="42"/>
  <c r="O67" i="38"/>
  <c r="O65" i="38"/>
  <c r="Q65" i="38"/>
  <c r="M64" i="38"/>
  <c r="K64" i="38"/>
  <c r="K65" i="38"/>
  <c r="M65" i="38"/>
  <c r="J64" i="38"/>
  <c r="L64" i="38"/>
  <c r="J67" i="38"/>
  <c r="H91" i="44"/>
  <c r="H89" i="30"/>
  <c r="H91" i="31"/>
  <c r="H91" i="45"/>
  <c r="H91" i="32"/>
  <c r="K66" i="24"/>
  <c r="K65" i="24"/>
  <c r="L31" i="24"/>
  <c r="L32" i="24" s="1"/>
  <c r="L27" i="24"/>
  <c r="L59" i="24" s="1"/>
  <c r="L61" i="24" s="1"/>
  <c r="T67" i="38"/>
  <c r="U67" i="38"/>
  <c r="U64" i="38"/>
  <c r="T65" i="38"/>
  <c r="S64" i="37"/>
  <c r="P31" i="37"/>
  <c r="P51" i="37"/>
  <c r="T17" i="32" s="1"/>
  <c r="T8" i="32"/>
  <c r="T16" i="32"/>
  <c r="P63" i="37"/>
  <c r="K31" i="37"/>
  <c r="K63" i="37"/>
  <c r="O8" i="32"/>
  <c r="K51" i="37"/>
  <c r="O17" i="32" s="1"/>
  <c r="O16" i="32"/>
  <c r="M31" i="37"/>
  <c r="M63" i="37"/>
  <c r="Q16" i="32"/>
  <c r="Q8" i="32"/>
  <c r="M51" i="37"/>
  <c r="Q17" i="32" s="1"/>
  <c r="J31" i="37"/>
  <c r="J51" i="37"/>
  <c r="N17" i="32" s="1"/>
  <c r="J63" i="37"/>
  <c r="N16" i="32"/>
  <c r="N8" i="32"/>
  <c r="R31" i="37"/>
  <c r="R51" i="37"/>
  <c r="V17" i="32" s="1"/>
  <c r="G17" i="31" s="1"/>
  <c r="R63" i="37"/>
  <c r="V8" i="32"/>
  <c r="G8" i="32" s="1"/>
  <c r="V16" i="32"/>
  <c r="G16" i="44" s="1"/>
  <c r="L31" i="37"/>
  <c r="P16" i="32"/>
  <c r="L63" i="37"/>
  <c r="L51" i="37"/>
  <c r="P17" i="32" s="1"/>
  <c r="P8" i="32"/>
  <c r="N31" i="37"/>
  <c r="N63" i="37"/>
  <c r="R16" i="32"/>
  <c r="N51" i="37"/>
  <c r="R17" i="32" s="1"/>
  <c r="R8" i="32"/>
  <c r="T64" i="37"/>
  <c r="T67" i="37"/>
  <c r="U64" i="37"/>
  <c r="S67" i="37"/>
  <c r="U67" i="37"/>
  <c r="P60" i="30"/>
  <c r="M27" i="25"/>
  <c r="M31" i="25" s="1"/>
  <c r="M32" i="25" s="1"/>
  <c r="R91" i="30" s="1"/>
  <c r="L69" i="23"/>
  <c r="Q90" i="30"/>
  <c r="K52" i="24"/>
  <c r="O17" i="30" s="1"/>
  <c r="O16" i="30"/>
  <c r="O8" i="30"/>
  <c r="K64" i="24"/>
  <c r="G52" i="24"/>
  <c r="F11" i="25" s="1"/>
  <c r="F14" i="25" s="1"/>
  <c r="U25" i="43"/>
  <c r="N34" i="3"/>
  <c r="I8" i="30"/>
  <c r="I8" i="32"/>
  <c r="I8" i="45"/>
  <c r="I8" i="31"/>
  <c r="I8" i="44"/>
  <c r="I16" i="44"/>
  <c r="I16" i="30"/>
  <c r="I16" i="45"/>
  <c r="I16" i="31"/>
  <c r="I16" i="32"/>
  <c r="I91" i="31"/>
  <c r="I91" i="44"/>
  <c r="I91" i="45"/>
  <c r="I89" i="30"/>
  <c r="I91" i="32"/>
  <c r="I17" i="44"/>
  <c r="I17" i="31"/>
  <c r="I17" i="45"/>
  <c r="I17" i="32"/>
  <c r="I17" i="30"/>
  <c r="I93" i="44"/>
  <c r="I93" i="45"/>
  <c r="I93" i="31"/>
  <c r="I93" i="32"/>
  <c r="I91" i="30"/>
  <c r="H8" i="45"/>
  <c r="H8" i="32"/>
  <c r="H8" i="30"/>
  <c r="H8" i="31"/>
  <c r="H8" i="44"/>
  <c r="H17" i="45"/>
  <c r="H17" i="32"/>
  <c r="H17" i="30"/>
  <c r="H17" i="31"/>
  <c r="H17" i="44"/>
  <c r="H16" i="30"/>
  <c r="H16" i="44"/>
  <c r="H16" i="45"/>
  <c r="H16" i="31"/>
  <c r="H16" i="32"/>
  <c r="U65" i="33"/>
  <c r="U66" i="33"/>
  <c r="U68" i="33"/>
  <c r="F91" i="32"/>
  <c r="F91" i="45"/>
  <c r="F91" i="44"/>
  <c r="F89" i="30"/>
  <c r="F91" i="31"/>
  <c r="U25" i="40"/>
  <c r="G66" i="24"/>
  <c r="G68" i="24"/>
  <c r="F25" i="25"/>
  <c r="U25" i="25" s="1"/>
  <c r="F32" i="25"/>
  <c r="K91" i="30" s="1"/>
  <c r="I65" i="44"/>
  <c r="I65" i="31"/>
  <c r="I65" i="45"/>
  <c r="I65" i="32"/>
  <c r="I64" i="30"/>
  <c r="H31" i="3"/>
  <c r="L34" i="3"/>
  <c r="P34" i="3"/>
  <c r="P87" i="30"/>
  <c r="M16" i="25"/>
  <c r="L18" i="25"/>
  <c r="L19" i="25" s="1"/>
  <c r="M61" i="30"/>
  <c r="G16" i="32" l="1"/>
  <c r="G16" i="31"/>
  <c r="G8" i="44"/>
  <c r="M31" i="24"/>
  <c r="M32" i="24" s="1"/>
  <c r="M27" i="24"/>
  <c r="M59" i="24" s="1"/>
  <c r="M61" i="24" s="1"/>
  <c r="L66" i="24"/>
  <c r="L65" i="24"/>
  <c r="L68" i="24"/>
  <c r="G17" i="32"/>
  <c r="G17" i="44"/>
  <c r="G17" i="30"/>
  <c r="G16" i="30"/>
  <c r="G16" i="45"/>
  <c r="G8" i="30"/>
  <c r="G17" i="45"/>
  <c r="G8" i="45"/>
  <c r="G8" i="31"/>
  <c r="Q60" i="30"/>
  <c r="N27" i="25"/>
  <c r="N31" i="25" s="1"/>
  <c r="N32" i="25" s="1"/>
  <c r="S91" i="30" s="1"/>
  <c r="M69" i="23"/>
  <c r="R90" i="30"/>
  <c r="P16" i="30"/>
  <c r="P8" i="30"/>
  <c r="L52" i="24"/>
  <c r="P17" i="30" s="1"/>
  <c r="L64" i="24"/>
  <c r="K17" i="30"/>
  <c r="G64" i="24"/>
  <c r="K8" i="30"/>
  <c r="F20" i="25"/>
  <c r="G11" i="25"/>
  <c r="G14" i="25" s="1"/>
  <c r="K86" i="30"/>
  <c r="K93" i="30"/>
  <c r="Q87" i="30"/>
  <c r="M63" i="30"/>
  <c r="M64" i="30" s="1"/>
  <c r="N16" i="25"/>
  <c r="M18" i="25"/>
  <c r="M19" i="25" s="1"/>
  <c r="M65" i="24" l="1"/>
  <c r="M68" i="24"/>
  <c r="M66" i="24"/>
  <c r="N31" i="24"/>
  <c r="N32" i="24" s="1"/>
  <c r="N27" i="24"/>
  <c r="N59" i="24" s="1"/>
  <c r="N61" i="24" s="1"/>
  <c r="R60" i="30"/>
  <c r="O27" i="25"/>
  <c r="N69" i="23"/>
  <c r="S90" i="30"/>
  <c r="H11" i="25"/>
  <c r="H14" i="25" s="1"/>
  <c r="L93" i="30"/>
  <c r="L86" i="30"/>
  <c r="G20" i="25"/>
  <c r="K88" i="30"/>
  <c r="F33" i="25"/>
  <c r="R87" i="30"/>
  <c r="O16" i="25"/>
  <c r="N18" i="25"/>
  <c r="N19" i="25" s="1"/>
  <c r="N61" i="30"/>
  <c r="O31" i="24" l="1"/>
  <c r="O32" i="24" s="1"/>
  <c r="O27" i="24"/>
  <c r="O59" i="24" s="1"/>
  <c r="O61" i="24" s="1"/>
  <c r="N66" i="24"/>
  <c r="N68" i="24"/>
  <c r="N65" i="24"/>
  <c r="Q8" i="30"/>
  <c r="M52" i="24"/>
  <c r="Q16" i="30"/>
  <c r="M64" i="24"/>
  <c r="S60" i="30"/>
  <c r="P27" i="25"/>
  <c r="P31" i="25" s="1"/>
  <c r="P32" i="25" s="1"/>
  <c r="U91" i="30" s="1"/>
  <c r="O69" i="23"/>
  <c r="T90" i="30"/>
  <c r="O31" i="25"/>
  <c r="O32" i="25" s="1"/>
  <c r="T91" i="30" s="1"/>
  <c r="N64" i="24"/>
  <c r="R16" i="30"/>
  <c r="N52" i="24"/>
  <c r="R17" i="30" s="1"/>
  <c r="R8" i="30"/>
  <c r="I11" i="25"/>
  <c r="I14" i="25" s="1"/>
  <c r="M86" i="30"/>
  <c r="M93" i="30"/>
  <c r="H20" i="25"/>
  <c r="K92" i="30"/>
  <c r="K96" i="30" s="1"/>
  <c r="K97" i="30" s="1"/>
  <c r="F35" i="25"/>
  <c r="F36" i="25" s="1"/>
  <c r="G33" i="25"/>
  <c r="L88" i="30"/>
  <c r="U70" i="23"/>
  <c r="S87" i="30"/>
  <c r="O63" i="30"/>
  <c r="O64" i="30" s="1"/>
  <c r="O61" i="30"/>
  <c r="N63" i="30"/>
  <c r="N64" i="30" s="1"/>
  <c r="L61" i="30"/>
  <c r="P16" i="25"/>
  <c r="O18" i="25"/>
  <c r="O19" i="25" s="1"/>
  <c r="P31" i="24" l="1"/>
  <c r="P32" i="24" s="1"/>
  <c r="P27" i="24"/>
  <c r="P59" i="24" s="1"/>
  <c r="P61" i="24" s="1"/>
  <c r="O66" i="24"/>
  <c r="O68" i="24"/>
  <c r="O65" i="24"/>
  <c r="T60" i="30"/>
  <c r="Q27" i="25"/>
  <c r="P69" i="23"/>
  <c r="U90" i="30"/>
  <c r="Q17" i="30"/>
  <c r="H33" i="3"/>
  <c r="M88" i="30"/>
  <c r="H33" i="25"/>
  <c r="L92" i="30"/>
  <c r="L96" i="30" s="1"/>
  <c r="L97" i="30" s="1"/>
  <c r="G35" i="25"/>
  <c r="G36" i="25" s="1"/>
  <c r="J11" i="25"/>
  <c r="J14" i="25" s="1"/>
  <c r="N86" i="30"/>
  <c r="I20" i="25"/>
  <c r="N93" i="30"/>
  <c r="U72" i="23"/>
  <c r="T87" i="30"/>
  <c r="L63" i="30"/>
  <c r="L64" i="30" s="1"/>
  <c r="Q16" i="25"/>
  <c r="P18" i="25"/>
  <c r="P19" i="25" s="1"/>
  <c r="Q31" i="24" l="1"/>
  <c r="Q32" i="24" s="1"/>
  <c r="Q27" i="24"/>
  <c r="Q59" i="24" s="1"/>
  <c r="Q61" i="24" s="1"/>
  <c r="P68" i="24"/>
  <c r="P66" i="24"/>
  <c r="P65" i="24"/>
  <c r="T8" i="30"/>
  <c r="P64" i="24"/>
  <c r="P52" i="24"/>
  <c r="T17" i="30" s="1"/>
  <c r="T16" i="30"/>
  <c r="U60" i="30"/>
  <c r="V90" i="30"/>
  <c r="Q69" i="23"/>
  <c r="R27" i="24" s="1"/>
  <c r="R59" i="24" s="1"/>
  <c r="R61" i="24" s="1"/>
  <c r="F27" i="40"/>
  <c r="Q31" i="25"/>
  <c r="Q32" i="25" s="1"/>
  <c r="V91" i="30" s="1"/>
  <c r="E93" i="31" s="1"/>
  <c r="S16" i="30"/>
  <c r="S8" i="30"/>
  <c r="O64" i="24"/>
  <c r="O52" i="24"/>
  <c r="H34" i="3"/>
  <c r="I33" i="25"/>
  <c r="N88" i="30"/>
  <c r="K11" i="25"/>
  <c r="K14" i="25" s="1"/>
  <c r="O86" i="30"/>
  <c r="O93" i="30"/>
  <c r="J20" i="25"/>
  <c r="H35" i="25"/>
  <c r="H36" i="25" s="1"/>
  <c r="M92" i="30"/>
  <c r="M96" i="30" s="1"/>
  <c r="M97" i="30" s="1"/>
  <c r="Q18" i="25"/>
  <c r="Q19" i="25" s="1"/>
  <c r="F16" i="40"/>
  <c r="U87" i="30"/>
  <c r="R66" i="24" l="1"/>
  <c r="R68" i="24"/>
  <c r="R65" i="24"/>
  <c r="Q68" i="24"/>
  <c r="Q65" i="24"/>
  <c r="Q66" i="24"/>
  <c r="R31" i="24"/>
  <c r="R32" i="24" s="1"/>
  <c r="V30" i="24"/>
  <c r="E93" i="44"/>
  <c r="E91" i="30"/>
  <c r="E93" i="32"/>
  <c r="E92" i="31"/>
  <c r="E92" i="44"/>
  <c r="E92" i="32"/>
  <c r="E90" i="30"/>
  <c r="E92" i="45"/>
  <c r="E93" i="45"/>
  <c r="S17" i="30"/>
  <c r="K92" i="31"/>
  <c r="F70" i="26"/>
  <c r="G27" i="33" s="1"/>
  <c r="R27" i="25"/>
  <c r="G27" i="40"/>
  <c r="U16" i="30"/>
  <c r="Q64" i="24"/>
  <c r="U8" i="30"/>
  <c r="Q52" i="24"/>
  <c r="U17" i="30" s="1"/>
  <c r="V60" i="30"/>
  <c r="U69" i="23"/>
  <c r="N92" i="30"/>
  <c r="N96" i="30" s="1"/>
  <c r="N97" i="30" s="1"/>
  <c r="I35" i="25"/>
  <c r="I36" i="25" s="1"/>
  <c r="O88" i="30"/>
  <c r="J33" i="25"/>
  <c r="K20" i="25"/>
  <c r="P93" i="30"/>
  <c r="L11" i="25"/>
  <c r="L14" i="25" s="1"/>
  <c r="P86" i="30"/>
  <c r="R16" i="25"/>
  <c r="G16" i="40"/>
  <c r="F18" i="40"/>
  <c r="F19" i="40" s="1"/>
  <c r="V87" i="30"/>
  <c r="U19" i="25"/>
  <c r="V31" i="24" l="1"/>
  <c r="H32" i="3"/>
  <c r="R69" i="23"/>
  <c r="S27" i="24" s="1"/>
  <c r="S59" i="24" s="1"/>
  <c r="R31" i="25"/>
  <c r="R32" i="25" s="1"/>
  <c r="G70" i="26"/>
  <c r="H27" i="40"/>
  <c r="S27" i="25"/>
  <c r="L92" i="31"/>
  <c r="R64" i="24"/>
  <c r="V16" i="30"/>
  <c r="R52" i="24"/>
  <c r="V17" i="30" s="1"/>
  <c r="V8" i="30"/>
  <c r="E61" i="31"/>
  <c r="E61" i="32"/>
  <c r="E61" i="45"/>
  <c r="E61" i="44"/>
  <c r="E60" i="30"/>
  <c r="K61" i="31"/>
  <c r="E89" i="44"/>
  <c r="E89" i="45"/>
  <c r="E89" i="32"/>
  <c r="E87" i="30"/>
  <c r="E89" i="31"/>
  <c r="K33" i="25"/>
  <c r="P88" i="30"/>
  <c r="Q86" i="30"/>
  <c r="L20" i="25"/>
  <c r="M11" i="25"/>
  <c r="M14" i="25" s="1"/>
  <c r="Q93" i="30"/>
  <c r="O92" i="30"/>
  <c r="O96" i="30" s="1"/>
  <c r="O97" i="30" s="1"/>
  <c r="J35" i="25"/>
  <c r="J36" i="25" s="1"/>
  <c r="K89" i="31"/>
  <c r="R18" i="25"/>
  <c r="R19" i="25" s="1"/>
  <c r="S16" i="25"/>
  <c r="H16" i="40"/>
  <c r="G18" i="40"/>
  <c r="G19" i="40" s="1"/>
  <c r="F31" i="40"/>
  <c r="G31" i="40"/>
  <c r="G32" i="40" s="1"/>
  <c r="L93" i="31" s="1"/>
  <c r="E17" i="45" l="1"/>
  <c r="E17" i="31"/>
  <c r="E17" i="32"/>
  <c r="E17" i="30"/>
  <c r="E17" i="44"/>
  <c r="E16" i="45"/>
  <c r="E16" i="31"/>
  <c r="E16" i="44"/>
  <c r="E16" i="30"/>
  <c r="E16" i="32"/>
  <c r="G59" i="33"/>
  <c r="G30" i="33"/>
  <c r="G31" i="33" s="1"/>
  <c r="G32" i="33" s="1"/>
  <c r="V52" i="24"/>
  <c r="H70" i="26"/>
  <c r="I27" i="40"/>
  <c r="M92" i="31"/>
  <c r="T27" i="25"/>
  <c r="S69" i="23"/>
  <c r="T27" i="24" s="1"/>
  <c r="T59" i="24" s="1"/>
  <c r="S31" i="25"/>
  <c r="S32" i="25" s="1"/>
  <c r="E8" i="32"/>
  <c r="E8" i="44"/>
  <c r="E8" i="31"/>
  <c r="E8" i="45"/>
  <c r="E8" i="30"/>
  <c r="H27" i="33"/>
  <c r="L61" i="31"/>
  <c r="F32" i="40"/>
  <c r="K93" i="31" s="1"/>
  <c r="P92" i="30"/>
  <c r="P96" i="30" s="1"/>
  <c r="P97" i="30" s="1"/>
  <c r="K35" i="25"/>
  <c r="K36" i="25" s="1"/>
  <c r="R86" i="30"/>
  <c r="M20" i="25"/>
  <c r="R93" i="30"/>
  <c r="N11" i="25"/>
  <c r="N14" i="25" s="1"/>
  <c r="Q88" i="30"/>
  <c r="L33" i="25"/>
  <c r="L89" i="31"/>
  <c r="T16" i="25"/>
  <c r="T18" i="25" s="1"/>
  <c r="T19" i="25" s="1"/>
  <c r="S18" i="25"/>
  <c r="S19" i="25" s="1"/>
  <c r="I16" i="40"/>
  <c r="H18" i="40"/>
  <c r="H19" i="40" s="1"/>
  <c r="I70" i="26" l="1"/>
  <c r="N92" i="31"/>
  <c r="J27" i="40"/>
  <c r="I27" i="33"/>
  <c r="M61" i="31"/>
  <c r="H59" i="33"/>
  <c r="H30" i="33"/>
  <c r="H31" i="33" s="1"/>
  <c r="H32" i="33" s="1"/>
  <c r="T69" i="23"/>
  <c r="T31" i="25"/>
  <c r="T32" i="25" s="1"/>
  <c r="O11" i="25"/>
  <c r="O14" i="25" s="1"/>
  <c r="S93" i="30"/>
  <c r="S86" i="30"/>
  <c r="N20" i="25"/>
  <c r="L35" i="25"/>
  <c r="L36" i="25" s="1"/>
  <c r="Q92" i="30"/>
  <c r="Q96" i="30" s="1"/>
  <c r="Q97" i="30" s="1"/>
  <c r="M33" i="25"/>
  <c r="R88" i="30"/>
  <c r="M89" i="31"/>
  <c r="J16" i="40"/>
  <c r="I18" i="40"/>
  <c r="I19" i="40" s="1"/>
  <c r="H31" i="40"/>
  <c r="H32" i="40" s="1"/>
  <c r="M93" i="31" s="1"/>
  <c r="J70" i="26" l="1"/>
  <c r="O92" i="31"/>
  <c r="K27" i="40"/>
  <c r="I59" i="33"/>
  <c r="I30" i="33"/>
  <c r="I31" i="33" s="1"/>
  <c r="I32" i="33" s="1"/>
  <c r="J27" i="33"/>
  <c r="N61" i="31"/>
  <c r="T86" i="30"/>
  <c r="T93" i="30"/>
  <c r="P11" i="25"/>
  <c r="P14" i="25" s="1"/>
  <c r="O20" i="25"/>
  <c r="M35" i="25"/>
  <c r="M36" i="25" s="1"/>
  <c r="R92" i="30"/>
  <c r="R96" i="30" s="1"/>
  <c r="R97" i="30" s="1"/>
  <c r="N33" i="25"/>
  <c r="S88" i="30"/>
  <c r="N89" i="31"/>
  <c r="K16" i="40"/>
  <c r="J18" i="40"/>
  <c r="J19" i="40" s="1"/>
  <c r="I31" i="40"/>
  <c r="I32" i="40" s="1"/>
  <c r="N93" i="31" s="1"/>
  <c r="J59" i="33" l="1"/>
  <c r="J61" i="33" s="1"/>
  <c r="J30" i="33"/>
  <c r="J31" i="33" s="1"/>
  <c r="J32" i="33" s="1"/>
  <c r="K70" i="26"/>
  <c r="L27" i="40"/>
  <c r="P92" i="31"/>
  <c r="K27" i="33"/>
  <c r="O61" i="31"/>
  <c r="I31" i="41"/>
  <c r="I32" i="41" s="1"/>
  <c r="T88" i="30"/>
  <c r="O33" i="25"/>
  <c r="U86" i="30"/>
  <c r="Q11" i="25"/>
  <c r="Q14" i="25" s="1"/>
  <c r="P20" i="25"/>
  <c r="U93" i="30"/>
  <c r="N35" i="25"/>
  <c r="N36" i="25" s="1"/>
  <c r="S92" i="30"/>
  <c r="S96" i="30" s="1"/>
  <c r="S97" i="30" s="1"/>
  <c r="O89" i="31"/>
  <c r="L16" i="40"/>
  <c r="K18" i="40"/>
  <c r="K19" i="40" s="1"/>
  <c r="J31" i="40"/>
  <c r="J32" i="40" s="1"/>
  <c r="O93" i="31" s="1"/>
  <c r="J68" i="33" l="1"/>
  <c r="J65" i="33"/>
  <c r="J66" i="33"/>
  <c r="K59" i="33"/>
  <c r="K61" i="33" s="1"/>
  <c r="K30" i="33"/>
  <c r="K31" i="33" s="1"/>
  <c r="K32" i="33" s="1"/>
  <c r="L27" i="33"/>
  <c r="P61" i="31"/>
  <c r="L70" i="26"/>
  <c r="Q92" i="31"/>
  <c r="M27" i="40"/>
  <c r="J52" i="33"/>
  <c r="N17" i="31" s="1"/>
  <c r="N8" i="31"/>
  <c r="J64" i="33"/>
  <c r="N16" i="31"/>
  <c r="J31" i="41"/>
  <c r="J32" i="41" s="1"/>
  <c r="P33" i="25"/>
  <c r="U88" i="30"/>
  <c r="T92" i="30"/>
  <c r="T96" i="30" s="1"/>
  <c r="T97" i="30" s="1"/>
  <c r="O35" i="25"/>
  <c r="O36" i="25" s="1"/>
  <c r="V86" i="30"/>
  <c r="V93" i="30"/>
  <c r="Q20" i="25"/>
  <c r="U14" i="25"/>
  <c r="N92" i="32"/>
  <c r="M16" i="40"/>
  <c r="L18" i="40"/>
  <c r="L19" i="40" s="1"/>
  <c r="P89" i="31"/>
  <c r="K31" i="40"/>
  <c r="K32" i="40" s="1"/>
  <c r="P93" i="31" s="1"/>
  <c r="K65" i="33" l="1"/>
  <c r="K66" i="33"/>
  <c r="K68" i="33"/>
  <c r="M27" i="33"/>
  <c r="Q61" i="31"/>
  <c r="L59" i="33"/>
  <c r="L61" i="33" s="1"/>
  <c r="L30" i="33"/>
  <c r="L31" i="33" s="1"/>
  <c r="L32" i="33" s="1"/>
  <c r="M70" i="26"/>
  <c r="N27" i="40"/>
  <c r="R92" i="31"/>
  <c r="K64" i="33"/>
  <c r="O16" i="31"/>
  <c r="O8" i="31"/>
  <c r="K52" i="33"/>
  <c r="O17" i="31" s="1"/>
  <c r="E95" i="44"/>
  <c r="E95" i="45"/>
  <c r="E95" i="32"/>
  <c r="E93" i="30"/>
  <c r="E95" i="31"/>
  <c r="E88" i="45"/>
  <c r="E88" i="32"/>
  <c r="E86" i="30"/>
  <c r="E88" i="31"/>
  <c r="E88" i="44"/>
  <c r="K31" i="41"/>
  <c r="K32" i="41" s="1"/>
  <c r="Q33" i="25"/>
  <c r="V88" i="30"/>
  <c r="U92" i="30"/>
  <c r="U96" i="30" s="1"/>
  <c r="U97" i="30" s="1"/>
  <c r="P35" i="25"/>
  <c r="P36" i="25" s="1"/>
  <c r="U20" i="25"/>
  <c r="O92" i="32"/>
  <c r="N16" i="40"/>
  <c r="M18" i="40"/>
  <c r="M19" i="40" s="1"/>
  <c r="Q89" i="31"/>
  <c r="L31" i="40"/>
  <c r="L32" i="40" s="1"/>
  <c r="Q93" i="31" s="1"/>
  <c r="L65" i="33" l="1"/>
  <c r="L66" i="33"/>
  <c r="L68" i="33"/>
  <c r="N27" i="33"/>
  <c r="R61" i="31"/>
  <c r="L52" i="33"/>
  <c r="P17" i="31" s="1"/>
  <c r="L64" i="33"/>
  <c r="P16" i="31"/>
  <c r="P8" i="31"/>
  <c r="N70" i="26"/>
  <c r="S92" i="31"/>
  <c r="O27" i="40"/>
  <c r="M59" i="33"/>
  <c r="M61" i="33" s="1"/>
  <c r="M30" i="33"/>
  <c r="M31" i="33" s="1"/>
  <c r="M32" i="33" s="1"/>
  <c r="E90" i="45"/>
  <c r="E90" i="32"/>
  <c r="E88" i="30"/>
  <c r="E90" i="44"/>
  <c r="E90" i="31"/>
  <c r="L31" i="41"/>
  <c r="L32" i="41" s="1"/>
  <c r="V92" i="30"/>
  <c r="Q35" i="25"/>
  <c r="Q36" i="25" s="1"/>
  <c r="U33" i="25"/>
  <c r="P92" i="32"/>
  <c r="O16" i="40"/>
  <c r="N18" i="40"/>
  <c r="N19" i="40" s="1"/>
  <c r="R89" i="31"/>
  <c r="M31" i="40"/>
  <c r="M32" i="40" s="1"/>
  <c r="R93" i="31" s="1"/>
  <c r="M65" i="33" l="1"/>
  <c r="M68" i="33"/>
  <c r="M66" i="33"/>
  <c r="M64" i="33"/>
  <c r="M52" i="33"/>
  <c r="Q17" i="31" s="1"/>
  <c r="Q8" i="31"/>
  <c r="Q16" i="31"/>
  <c r="O70" i="26"/>
  <c r="T92" i="31"/>
  <c r="P27" i="40"/>
  <c r="O27" i="33"/>
  <c r="S61" i="31"/>
  <c r="N59" i="33"/>
  <c r="N61" i="33" s="1"/>
  <c r="N30" i="33"/>
  <c r="N31" i="33" s="1"/>
  <c r="N32" i="33" s="1"/>
  <c r="V96" i="30"/>
  <c r="E94" i="31"/>
  <c r="E92" i="30"/>
  <c r="E94" i="44"/>
  <c r="E94" i="45"/>
  <c r="E94" i="32"/>
  <c r="M31" i="41"/>
  <c r="M32" i="41" s="1"/>
  <c r="Q92" i="32"/>
  <c r="P16" i="40"/>
  <c r="O18" i="40"/>
  <c r="O19" i="40" s="1"/>
  <c r="S89" i="31"/>
  <c r="N31" i="40"/>
  <c r="N32" i="40" s="1"/>
  <c r="S93" i="31" s="1"/>
  <c r="N66" i="33" l="1"/>
  <c r="N68" i="33"/>
  <c r="N65" i="33"/>
  <c r="P70" i="26"/>
  <c r="U92" i="31"/>
  <c r="Q27" i="40"/>
  <c r="P27" i="33"/>
  <c r="T61" i="31"/>
  <c r="N52" i="33"/>
  <c r="R17" i="31" s="1"/>
  <c r="N64" i="33"/>
  <c r="R8" i="31"/>
  <c r="R16" i="31"/>
  <c r="O59" i="33"/>
  <c r="O61" i="33" s="1"/>
  <c r="O30" i="33"/>
  <c r="O31" i="33" s="1"/>
  <c r="O32" i="33" s="1"/>
  <c r="V97" i="30"/>
  <c r="E98" i="32"/>
  <c r="E98" i="45"/>
  <c r="E96" i="30"/>
  <c r="E98" i="44"/>
  <c r="E98" i="31"/>
  <c r="N31" i="41"/>
  <c r="N32" i="41" s="1"/>
  <c r="R92" i="32"/>
  <c r="Q16" i="40"/>
  <c r="F16" i="41" s="1"/>
  <c r="P18" i="40"/>
  <c r="P19" i="40" s="1"/>
  <c r="T89" i="31"/>
  <c r="O31" i="40"/>
  <c r="O32" i="40" s="1"/>
  <c r="T93" i="31" s="1"/>
  <c r="U27" i="40" l="1"/>
  <c r="O68" i="33"/>
  <c r="O65" i="33"/>
  <c r="O66" i="33"/>
  <c r="O64" i="33"/>
  <c r="S16" i="31"/>
  <c r="O52" i="33"/>
  <c r="S17" i="31" s="1"/>
  <c r="S8" i="31"/>
  <c r="P59" i="33"/>
  <c r="P61" i="33" s="1"/>
  <c r="P30" i="33"/>
  <c r="P31" i="33" s="1"/>
  <c r="P32" i="33" s="1"/>
  <c r="Q70" i="26"/>
  <c r="V92" i="31"/>
  <c r="Q27" i="33"/>
  <c r="U61" i="31"/>
  <c r="E99" i="32"/>
  <c r="E99" i="45"/>
  <c r="E97" i="30"/>
  <c r="E99" i="44"/>
  <c r="E99" i="31"/>
  <c r="O31" i="41"/>
  <c r="O32" i="41" s="1"/>
  <c r="F18" i="41"/>
  <c r="F19" i="41" s="1"/>
  <c r="G16" i="41"/>
  <c r="S92" i="32"/>
  <c r="R16" i="40"/>
  <c r="Q18" i="40"/>
  <c r="Q19" i="40" s="1"/>
  <c r="U89" i="31"/>
  <c r="P31" i="40"/>
  <c r="P32" i="40" s="1"/>
  <c r="U93" i="31" s="1"/>
  <c r="P68" i="33" l="1"/>
  <c r="P65" i="33"/>
  <c r="P66" i="33"/>
  <c r="F69" i="27"/>
  <c r="F31" i="41"/>
  <c r="F32" i="41" s="1"/>
  <c r="K93" i="32" s="1"/>
  <c r="K92" i="32"/>
  <c r="R70" i="26"/>
  <c r="S27" i="33" s="1"/>
  <c r="P52" i="33"/>
  <c r="T17" i="31" s="1"/>
  <c r="T8" i="31"/>
  <c r="T16" i="31"/>
  <c r="P64" i="33"/>
  <c r="Q59" i="33"/>
  <c r="Q61" i="33" s="1"/>
  <c r="Q30" i="33"/>
  <c r="Q31" i="33" s="1"/>
  <c r="Q32" i="33" s="1"/>
  <c r="F92" i="44"/>
  <c r="F92" i="45"/>
  <c r="F90" i="30"/>
  <c r="F92" i="32"/>
  <c r="F92" i="31"/>
  <c r="R27" i="33"/>
  <c r="V61" i="31"/>
  <c r="U70" i="26"/>
  <c r="P31" i="41"/>
  <c r="P32" i="41" s="1"/>
  <c r="H16" i="41"/>
  <c r="G18" i="41"/>
  <c r="G19" i="41" s="1"/>
  <c r="T92" i="32"/>
  <c r="V89" i="31"/>
  <c r="U19" i="40"/>
  <c r="R18" i="40"/>
  <c r="R19" i="40" s="1"/>
  <c r="S16" i="40"/>
  <c r="Q31" i="40"/>
  <c r="Q32" i="40" s="1"/>
  <c r="V93" i="31" s="1"/>
  <c r="G26" i="39" l="1"/>
  <c r="G26" i="38"/>
  <c r="Q68" i="33"/>
  <c r="Q66" i="33"/>
  <c r="Q65" i="33"/>
  <c r="S59" i="33"/>
  <c r="S61" i="33" s="1"/>
  <c r="S30" i="33"/>
  <c r="S31" i="33" s="1"/>
  <c r="S32" i="33" s="1"/>
  <c r="G69" i="27"/>
  <c r="G31" i="41"/>
  <c r="G32" i="41" s="1"/>
  <c r="L93" i="32" s="1"/>
  <c r="U27" i="41"/>
  <c r="S70" i="26"/>
  <c r="T27" i="33" s="1"/>
  <c r="L92" i="32"/>
  <c r="Q64" i="33"/>
  <c r="U16" i="31"/>
  <c r="Q52" i="33"/>
  <c r="U17" i="31" s="1"/>
  <c r="U8" i="31"/>
  <c r="J32" i="3"/>
  <c r="F61" i="32"/>
  <c r="F61" i="44"/>
  <c r="F61" i="45"/>
  <c r="F61" i="31"/>
  <c r="F60" i="30"/>
  <c r="R59" i="33"/>
  <c r="R61" i="33" s="1"/>
  <c r="R30" i="33"/>
  <c r="R31" i="33" s="1"/>
  <c r="R32" i="33" s="1"/>
  <c r="G26" i="37"/>
  <c r="G29" i="37" s="1"/>
  <c r="K61" i="32"/>
  <c r="F89" i="31"/>
  <c r="F89" i="44"/>
  <c r="F89" i="45"/>
  <c r="F89" i="32"/>
  <c r="F87" i="30"/>
  <c r="F93" i="31"/>
  <c r="F93" i="44"/>
  <c r="F91" i="30"/>
  <c r="F93" i="32"/>
  <c r="F93" i="45"/>
  <c r="Q31" i="41"/>
  <c r="Q32" i="41" s="1"/>
  <c r="H18" i="41"/>
  <c r="H19" i="41" s="1"/>
  <c r="I16" i="41"/>
  <c r="U92" i="32"/>
  <c r="S18" i="40"/>
  <c r="S19" i="40" s="1"/>
  <c r="T16" i="40"/>
  <c r="T18" i="40" s="1"/>
  <c r="T19" i="40" s="1"/>
  <c r="R31" i="40"/>
  <c r="R32" i="40" s="1"/>
  <c r="H26" i="39" l="1"/>
  <c r="H26" i="38"/>
  <c r="R68" i="33"/>
  <c r="R65" i="33"/>
  <c r="R66" i="33"/>
  <c r="G58" i="38"/>
  <c r="G60" i="38" s="1"/>
  <c r="G29" i="38"/>
  <c r="G30" i="38" s="1"/>
  <c r="G58" i="39"/>
  <c r="G60" i="39" s="1"/>
  <c r="G29" i="39"/>
  <c r="T59" i="33"/>
  <c r="T61" i="33" s="1"/>
  <c r="T30" i="33"/>
  <c r="T31" i="33" s="1"/>
  <c r="T32" i="33" s="1"/>
  <c r="H69" i="27"/>
  <c r="H31" i="41"/>
  <c r="H32" i="41" s="1"/>
  <c r="M93" i="32" s="1"/>
  <c r="T31" i="40"/>
  <c r="T32" i="40" s="1"/>
  <c r="M92" i="32"/>
  <c r="H26" i="37"/>
  <c r="H29" i="37" s="1"/>
  <c r="L61" i="32"/>
  <c r="G58" i="37"/>
  <c r="G60" i="37" s="1"/>
  <c r="V30" i="33"/>
  <c r="S66" i="33"/>
  <c r="S65" i="33"/>
  <c r="S68" i="33"/>
  <c r="I18" i="41"/>
  <c r="I19" i="41" s="1"/>
  <c r="J16" i="41"/>
  <c r="V92" i="32"/>
  <c r="R31" i="41"/>
  <c r="R32" i="41" s="1"/>
  <c r="S31" i="40"/>
  <c r="S32" i="40" s="1"/>
  <c r="K89" i="32"/>
  <c r="G92" i="44" l="1"/>
  <c r="G90" i="30"/>
  <c r="G92" i="45"/>
  <c r="G92" i="32"/>
  <c r="G92" i="31"/>
  <c r="G64" i="39"/>
  <c r="G51" i="39"/>
  <c r="G67" i="39"/>
  <c r="G65" i="39"/>
  <c r="G65" i="38"/>
  <c r="G67" i="38"/>
  <c r="G64" i="38"/>
  <c r="S30" i="37"/>
  <c r="K16" i="44"/>
  <c r="G31" i="38"/>
  <c r="G51" i="38"/>
  <c r="K17" i="44" s="1"/>
  <c r="K8" i="44"/>
  <c r="G63" i="38"/>
  <c r="I26" i="39"/>
  <c r="I26" i="38"/>
  <c r="H58" i="38"/>
  <c r="H60" i="38" s="1"/>
  <c r="H29" i="38"/>
  <c r="G30" i="39"/>
  <c r="H58" i="39"/>
  <c r="H60" i="39" s="1"/>
  <c r="H29" i="39"/>
  <c r="H30" i="39" s="1"/>
  <c r="H58" i="37"/>
  <c r="H60" i="37" s="1"/>
  <c r="H30" i="37"/>
  <c r="H31" i="37" s="1"/>
  <c r="R64" i="33"/>
  <c r="R52" i="33"/>
  <c r="V17" i="31" s="1"/>
  <c r="V16" i="31"/>
  <c r="V8" i="31"/>
  <c r="I26" i="37"/>
  <c r="I29" i="37" s="1"/>
  <c r="M61" i="32"/>
  <c r="U69" i="27"/>
  <c r="G30" i="37"/>
  <c r="G31" i="37" s="1"/>
  <c r="G64" i="37"/>
  <c r="G65" i="37"/>
  <c r="G51" i="37"/>
  <c r="G67" i="37"/>
  <c r="T65" i="33"/>
  <c r="T68" i="33"/>
  <c r="T66" i="33"/>
  <c r="J18" i="41"/>
  <c r="J19" i="41" s="1"/>
  <c r="K16" i="41"/>
  <c r="K92" i="44"/>
  <c r="G67" i="28"/>
  <c r="N93" i="32"/>
  <c r="S31" i="37" l="1"/>
  <c r="S63" i="37"/>
  <c r="S51" i="37"/>
  <c r="H64" i="38"/>
  <c r="H67" i="38"/>
  <c r="H65" i="38"/>
  <c r="H51" i="39"/>
  <c r="L17" i="45" s="1"/>
  <c r="L16" i="45"/>
  <c r="H63" i="39"/>
  <c r="T30" i="38"/>
  <c r="L8" i="45"/>
  <c r="H31" i="39"/>
  <c r="T31" i="38" s="1"/>
  <c r="H65" i="39"/>
  <c r="H64" i="39"/>
  <c r="H67" i="39"/>
  <c r="I58" i="38"/>
  <c r="I60" i="38" s="1"/>
  <c r="I29" i="38"/>
  <c r="I30" i="38" s="1"/>
  <c r="I58" i="39"/>
  <c r="I60" i="39" s="1"/>
  <c r="I29" i="39"/>
  <c r="I30" i="39" s="1"/>
  <c r="V30" i="39" s="1"/>
  <c r="S30" i="38"/>
  <c r="G31" i="39"/>
  <c r="S31" i="38" s="1"/>
  <c r="K8" i="45"/>
  <c r="G63" i="39"/>
  <c r="K16" i="45"/>
  <c r="K17" i="45"/>
  <c r="L61" i="44"/>
  <c r="U67" i="28"/>
  <c r="K17" i="32"/>
  <c r="I58" i="37"/>
  <c r="I60" i="37" s="1"/>
  <c r="F16" i="30"/>
  <c r="F16" i="44"/>
  <c r="F16" i="45"/>
  <c r="F16" i="31"/>
  <c r="F16" i="32"/>
  <c r="F8" i="44"/>
  <c r="F8" i="32"/>
  <c r="F8" i="30"/>
  <c r="F8" i="45"/>
  <c r="F8" i="31"/>
  <c r="L32" i="3"/>
  <c r="H63" i="37"/>
  <c r="H51" i="37"/>
  <c r="L17" i="32" s="1"/>
  <c r="L16" i="32"/>
  <c r="L8" i="32"/>
  <c r="F17" i="45"/>
  <c r="F17" i="31"/>
  <c r="F17" i="44"/>
  <c r="F17" i="30"/>
  <c r="F17" i="32"/>
  <c r="K8" i="32"/>
  <c r="G63" i="37"/>
  <c r="K16" i="32"/>
  <c r="H67" i="37"/>
  <c r="H64" i="37"/>
  <c r="H65" i="37"/>
  <c r="S31" i="41"/>
  <c r="S32" i="41" s="1"/>
  <c r="K18" i="41"/>
  <c r="K19" i="41" s="1"/>
  <c r="L16" i="41"/>
  <c r="L92" i="44"/>
  <c r="L89" i="32"/>
  <c r="M89" i="32"/>
  <c r="O93" i="32"/>
  <c r="I65" i="38" l="1"/>
  <c r="I67" i="38"/>
  <c r="I64" i="38"/>
  <c r="M16" i="45"/>
  <c r="M8" i="45"/>
  <c r="U30" i="38"/>
  <c r="I63" i="39"/>
  <c r="I51" i="39"/>
  <c r="M17" i="45" s="1"/>
  <c r="I31" i="39"/>
  <c r="U31" i="38" s="1"/>
  <c r="I65" i="39"/>
  <c r="I67" i="39"/>
  <c r="I64" i="39"/>
  <c r="V29" i="39"/>
  <c r="T63" i="38"/>
  <c r="T51" i="38"/>
  <c r="S63" i="38"/>
  <c r="S51" i="38"/>
  <c r="I31" i="38"/>
  <c r="I63" i="38"/>
  <c r="U30" i="37"/>
  <c r="I51" i="38"/>
  <c r="M17" i="44" s="1"/>
  <c r="M8" i="44"/>
  <c r="M16" i="44"/>
  <c r="N32" i="3"/>
  <c r="T52" i="33"/>
  <c r="T64" i="33"/>
  <c r="S64" i="33"/>
  <c r="S52" i="33"/>
  <c r="I30" i="37"/>
  <c r="I31" i="37" s="1"/>
  <c r="V29" i="37"/>
  <c r="I67" i="37"/>
  <c r="I65" i="37"/>
  <c r="I64" i="37"/>
  <c r="L18" i="41"/>
  <c r="L19" i="41" s="1"/>
  <c r="M16" i="41"/>
  <c r="T31" i="41"/>
  <c r="T32" i="41" s="1"/>
  <c r="M92" i="44"/>
  <c r="N89" i="32"/>
  <c r="P93" i="32"/>
  <c r="V51" i="39" l="1"/>
  <c r="U63" i="38"/>
  <c r="U51" i="38"/>
  <c r="U31" i="37"/>
  <c r="U51" i="37"/>
  <c r="U63" i="37"/>
  <c r="H30" i="38"/>
  <c r="H51" i="38" s="1"/>
  <c r="V51" i="38" s="1"/>
  <c r="V29" i="38"/>
  <c r="M8" i="32"/>
  <c r="I51" i="37"/>
  <c r="I63" i="37"/>
  <c r="M16" i="32"/>
  <c r="V30" i="37"/>
  <c r="N16" i="41"/>
  <c r="M18" i="41"/>
  <c r="M19" i="41" s="1"/>
  <c r="N92" i="44"/>
  <c r="O89" i="32"/>
  <c r="Q93" i="32"/>
  <c r="V30" i="38" l="1"/>
  <c r="H31" i="38"/>
  <c r="H63" i="38"/>
  <c r="L16" i="44"/>
  <c r="T30" i="37"/>
  <c r="L17" i="44"/>
  <c r="L8" i="44"/>
  <c r="M17" i="32"/>
  <c r="V51" i="37"/>
  <c r="U64" i="33"/>
  <c r="O16" i="41"/>
  <c r="N18" i="41"/>
  <c r="N19" i="41" s="1"/>
  <c r="O92" i="44"/>
  <c r="P89" i="32"/>
  <c r="R93" i="32"/>
  <c r="T31" i="37" l="1"/>
  <c r="T51" i="37"/>
  <c r="T63" i="37"/>
  <c r="O18" i="41"/>
  <c r="O19" i="41" s="1"/>
  <c r="P16" i="41"/>
  <c r="P92" i="44"/>
  <c r="Q89" i="32"/>
  <c r="S93" i="32"/>
  <c r="P18" i="41" l="1"/>
  <c r="P19" i="41" s="1"/>
  <c r="Q16" i="41"/>
  <c r="Q18" i="41" s="1"/>
  <c r="Q19" i="41" s="1"/>
  <c r="Q92" i="44"/>
  <c r="R89" i="32"/>
  <c r="T93" i="32"/>
  <c r="U19" i="41" l="1"/>
  <c r="R92" i="44"/>
  <c r="S89" i="32"/>
  <c r="U93" i="32"/>
  <c r="S92" i="44" l="1"/>
  <c r="T89" i="32"/>
  <c r="V93" i="32"/>
  <c r="G91" i="30" l="1"/>
  <c r="G93" i="32"/>
  <c r="G93" i="44"/>
  <c r="G93" i="45"/>
  <c r="G93" i="31"/>
  <c r="T92" i="44"/>
  <c r="U89" i="32"/>
  <c r="V89" i="32"/>
  <c r="F16" i="42"/>
  <c r="R16" i="41" s="1"/>
  <c r="F31" i="42"/>
  <c r="F32" i="42" l="1"/>
  <c r="K93" i="44" s="1"/>
  <c r="G89" i="32"/>
  <c r="G89" i="44"/>
  <c r="G89" i="31"/>
  <c r="G89" i="45"/>
  <c r="G87" i="30"/>
  <c r="S16" i="41"/>
  <c r="R18" i="41"/>
  <c r="R19" i="41" s="1"/>
  <c r="U92" i="44"/>
  <c r="U27" i="42"/>
  <c r="F18" i="42"/>
  <c r="F19" i="42" s="1"/>
  <c r="K89" i="44" s="1"/>
  <c r="G16" i="42"/>
  <c r="G31" i="42"/>
  <c r="G32" i="42" s="1"/>
  <c r="L93" i="44" s="1"/>
  <c r="T16" i="41" l="1"/>
  <c r="T18" i="41" s="1"/>
  <c r="T19" i="41" s="1"/>
  <c r="S18" i="41"/>
  <c r="S19" i="41" s="1"/>
  <c r="V92" i="44"/>
  <c r="H16" i="42"/>
  <c r="G18" i="42"/>
  <c r="G19" i="42" s="1"/>
  <c r="H31" i="42"/>
  <c r="H32" i="42" s="1"/>
  <c r="M93" i="44" s="1"/>
  <c r="H92" i="32" l="1"/>
  <c r="H92" i="44"/>
  <c r="H92" i="45"/>
  <c r="H92" i="31"/>
  <c r="H90" i="30"/>
  <c r="K92" i="45"/>
  <c r="F31" i="43"/>
  <c r="K93" i="45" s="1"/>
  <c r="L89" i="44"/>
  <c r="H18" i="42"/>
  <c r="H19" i="42" s="1"/>
  <c r="I16" i="42"/>
  <c r="I31" i="42"/>
  <c r="I32" i="42" s="1"/>
  <c r="N93" i="44" s="1"/>
  <c r="G31" i="43" l="1"/>
  <c r="G32" i="43" s="1"/>
  <c r="L93" i="45" s="1"/>
  <c r="L92" i="45"/>
  <c r="M89" i="44"/>
  <c r="J16" i="42"/>
  <c r="I18" i="42"/>
  <c r="I19" i="42" s="1"/>
  <c r="J31" i="42"/>
  <c r="J32" i="42" s="1"/>
  <c r="O93" i="44" s="1"/>
  <c r="M92" i="45" l="1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I31" i="43" l="1"/>
  <c r="I32" i="43" s="1"/>
  <c r="N93" i="45" s="1"/>
  <c r="N92" i="45"/>
  <c r="K18" i="42"/>
  <c r="K19" i="42" s="1"/>
  <c r="L16" i="42"/>
  <c r="L31" i="42"/>
  <c r="L32" i="42" s="1"/>
  <c r="Q93" i="44" s="1"/>
  <c r="J31" i="43" l="1"/>
  <c r="J32" i="43" s="1"/>
  <c r="O93" i="45" s="1"/>
  <c r="O92" i="45"/>
  <c r="P89" i="44"/>
  <c r="M16" i="42"/>
  <c r="L18" i="42"/>
  <c r="L19" i="42" s="1"/>
  <c r="M31" i="42"/>
  <c r="M32" i="42" s="1"/>
  <c r="R93" i="44" s="1"/>
  <c r="K31" i="43" l="1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U27" i="43" l="1"/>
  <c r="L31" i="43"/>
  <c r="L32" i="43" s="1"/>
  <c r="Q93" i="45" s="1"/>
  <c r="Q92" i="45"/>
  <c r="R89" i="44"/>
  <c r="O16" i="42"/>
  <c r="N18" i="42"/>
  <c r="N19" i="42" s="1"/>
  <c r="O31" i="42"/>
  <c r="O31" i="43"/>
  <c r="M31" i="43" l="1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P32" i="42" l="1"/>
  <c r="U93" i="44" s="1"/>
  <c r="T89" i="44"/>
  <c r="P18" i="42"/>
  <c r="P19" i="42" s="1"/>
  <c r="Q16" i="42"/>
  <c r="Q31" i="42"/>
  <c r="Q32" i="42" l="1"/>
  <c r="V93" i="44" s="1"/>
  <c r="U89" i="44"/>
  <c r="Q18" i="42"/>
  <c r="Q19" i="42" s="1"/>
  <c r="V89" i="44" s="1"/>
  <c r="F16" i="43"/>
  <c r="R31" i="42"/>
  <c r="R32" i="42" s="1"/>
  <c r="H93" i="44" l="1"/>
  <c r="H93" i="31"/>
  <c r="H91" i="30"/>
  <c r="H93" i="45"/>
  <c r="H93" i="32"/>
  <c r="H89" i="45"/>
  <c r="H87" i="30"/>
  <c r="H89" i="44"/>
  <c r="H89" i="31"/>
  <c r="H89" i="32"/>
  <c r="R16" i="42"/>
  <c r="G16" i="43"/>
  <c r="F18" i="43"/>
  <c r="F19" i="43" s="1"/>
  <c r="K89" i="45" s="1"/>
  <c r="U19" i="42"/>
  <c r="T31" i="42"/>
  <c r="T32" i="42" s="1"/>
  <c r="S31" i="42"/>
  <c r="S32" i="42" s="1"/>
  <c r="H16" i="43" l="1"/>
  <c r="G18" i="43"/>
  <c r="G19" i="43" s="1"/>
  <c r="R18" i="42"/>
  <c r="R19" i="42" s="1"/>
  <c r="S16" i="42"/>
  <c r="L89" i="45" l="1"/>
  <c r="S18" i="42"/>
  <c r="S19" i="42" s="1"/>
  <c r="T16" i="42"/>
  <c r="T18" i="42" s="1"/>
  <c r="T19" i="42" s="1"/>
  <c r="H18" i="43"/>
  <c r="H19" i="43" s="1"/>
  <c r="I16" i="43"/>
  <c r="M89" i="45" l="1"/>
  <c r="J16" i="43"/>
  <c r="I18" i="43"/>
  <c r="I19" i="43" s="1"/>
  <c r="N89" i="45" s="1"/>
  <c r="K16" i="43" l="1"/>
  <c r="J18" i="43"/>
  <c r="J19" i="43" s="1"/>
  <c r="O89" i="45" l="1"/>
  <c r="L16" i="43"/>
  <c r="K18" i="43"/>
  <c r="K19" i="43" s="1"/>
  <c r="P89" i="45" l="1"/>
  <c r="L18" i="43"/>
  <c r="L19" i="43" s="1"/>
  <c r="Q89" i="45" s="1"/>
  <c r="M16" i="43"/>
  <c r="N16" i="43" l="1"/>
  <c r="M18" i="43"/>
  <c r="M19" i="43" s="1"/>
  <c r="R89" i="45" l="1"/>
  <c r="N18" i="43"/>
  <c r="N19" i="43" s="1"/>
  <c r="O16" i="43"/>
  <c r="S89" i="45" l="1"/>
  <c r="P16" i="43"/>
  <c r="O18" i="43"/>
  <c r="O19" i="43" s="1"/>
  <c r="T89" i="45" l="1"/>
  <c r="P18" i="43"/>
  <c r="P19" i="43" s="1"/>
  <c r="Q16" i="43"/>
  <c r="Q18" i="43" s="1"/>
  <c r="Q19" i="43" s="1"/>
  <c r="V89" i="45" s="1"/>
  <c r="I89" i="44" l="1"/>
  <c r="I89" i="31"/>
  <c r="I87" i="30"/>
  <c r="I89" i="45"/>
  <c r="I89" i="32"/>
  <c r="U89" i="45"/>
  <c r="U19" i="43"/>
  <c r="U73" i="26" l="1"/>
  <c r="J34" i="3" l="1"/>
  <c r="L64" i="31"/>
  <c r="L65" i="31" s="1"/>
  <c r="L62" i="31"/>
  <c r="O57" i="31" l="1"/>
  <c r="O58" i="31" s="1"/>
  <c r="N57" i="31"/>
  <c r="N58" i="31" s="1"/>
  <c r="V57" i="31"/>
  <c r="T57" i="31"/>
  <c r="T58" i="31" s="1"/>
  <c r="R60" i="31"/>
  <c r="L57" i="31"/>
  <c r="L58" i="31" s="1"/>
  <c r="S60" i="31"/>
  <c r="S57" i="31"/>
  <c r="S58" i="31" s="1"/>
  <c r="U57" i="31"/>
  <c r="U58" i="31" s="1"/>
  <c r="M57" i="31"/>
  <c r="M58" i="31" s="1"/>
  <c r="R57" i="31"/>
  <c r="R58" i="31" s="1"/>
  <c r="Q60" i="31"/>
  <c r="Q57" i="31"/>
  <c r="Q58" i="31" s="1"/>
  <c r="O60" i="31"/>
  <c r="P60" i="31"/>
  <c r="P57" i="31"/>
  <c r="P58" i="31" s="1"/>
  <c r="V60" i="31"/>
  <c r="N60" i="31"/>
  <c r="U60" i="31"/>
  <c r="M60" i="31"/>
  <c r="T60" i="31"/>
  <c r="L60" i="31"/>
  <c r="V58" i="31" l="1"/>
  <c r="F57" i="32"/>
  <c r="F56" i="30"/>
  <c r="F57" i="44"/>
  <c r="F57" i="31"/>
  <c r="F57" i="45"/>
  <c r="F60" i="31"/>
  <c r="F60" i="45"/>
  <c r="F60" i="32"/>
  <c r="F59" i="30"/>
  <c r="F60" i="44"/>
  <c r="F58" i="45" l="1"/>
  <c r="F58" i="32"/>
  <c r="F57" i="30"/>
  <c r="F58" i="31"/>
  <c r="F58" i="44"/>
  <c r="H58" i="33"/>
  <c r="H61" i="33" s="1"/>
  <c r="G58" i="33"/>
  <c r="G61" i="33" s="1"/>
  <c r="G66" i="33" s="1"/>
  <c r="L16" i="31"/>
  <c r="I58" i="33"/>
  <c r="I61" i="33" s="1"/>
  <c r="V29" i="33" l="1"/>
  <c r="U56" i="24"/>
  <c r="U58" i="24" s="1"/>
  <c r="U61" i="24" s="1"/>
  <c r="U65" i="24" s="1"/>
  <c r="T52" i="24"/>
  <c r="H64" i="33"/>
  <c r="U64" i="24"/>
  <c r="T64" i="24"/>
  <c r="I66" i="33"/>
  <c r="I68" i="33"/>
  <c r="I65" i="33"/>
  <c r="U52" i="24"/>
  <c r="U32" i="24"/>
  <c r="T56" i="24"/>
  <c r="T58" i="24" s="1"/>
  <c r="T61" i="24" s="1"/>
  <c r="K8" i="31"/>
  <c r="G64" i="33"/>
  <c r="G52" i="33"/>
  <c r="V31" i="33"/>
  <c r="K16" i="31"/>
  <c r="S52" i="24"/>
  <c r="S64" i="24"/>
  <c r="I64" i="33"/>
  <c r="M8" i="31"/>
  <c r="I52" i="33"/>
  <c r="M17" i="31" s="1"/>
  <c r="M16" i="31"/>
  <c r="G68" i="33"/>
  <c r="F11" i="40"/>
  <c r="G65" i="33"/>
  <c r="H65" i="33"/>
  <c r="H68" i="33"/>
  <c r="H66" i="33"/>
  <c r="L8" i="31"/>
  <c r="H52" i="33"/>
  <c r="L17" i="31" s="1"/>
  <c r="S56" i="24"/>
  <c r="S58" i="24" s="1"/>
  <c r="S61" i="24" s="1"/>
  <c r="U66" i="24" l="1"/>
  <c r="U68" i="24"/>
  <c r="K17" i="31"/>
  <c r="V52" i="33"/>
  <c r="F14" i="40"/>
  <c r="R11" i="25"/>
  <c r="R14" i="25" s="1"/>
  <c r="R20" i="25" s="1"/>
  <c r="R33" i="25" s="1"/>
  <c r="R35" i="25" s="1"/>
  <c r="R36" i="25" s="1"/>
  <c r="S66" i="24"/>
  <c r="S65" i="24"/>
  <c r="S68" i="24"/>
  <c r="T66" i="24"/>
  <c r="T68" i="24"/>
  <c r="T65" i="24"/>
  <c r="F20" i="40" l="1"/>
  <c r="K95" i="31"/>
  <c r="G11" i="40"/>
  <c r="K88" i="31"/>
  <c r="S11" i="25" l="1"/>
  <c r="S14" i="25" s="1"/>
  <c r="S20" i="25" s="1"/>
  <c r="S33" i="25" s="1"/>
  <c r="S35" i="25" s="1"/>
  <c r="S36" i="25" s="1"/>
  <c r="G14" i="40"/>
  <c r="K90" i="31"/>
  <c r="F33" i="40"/>
  <c r="F35" i="40" l="1"/>
  <c r="F36" i="40" s="1"/>
  <c r="K94" i="31"/>
  <c r="K98" i="31" s="1"/>
  <c r="K99" i="31" s="1"/>
  <c r="L88" i="31"/>
  <c r="G20" i="40"/>
  <c r="L95" i="31"/>
  <c r="H11" i="40"/>
  <c r="H14" i="40" l="1"/>
  <c r="T11" i="25"/>
  <c r="T14" i="25" s="1"/>
  <c r="T20" i="25" s="1"/>
  <c r="T33" i="25" s="1"/>
  <c r="T35" i="25" s="1"/>
  <c r="T36" i="25" s="1"/>
  <c r="G33" i="40"/>
  <c r="L90" i="31"/>
  <c r="G35" i="40" l="1"/>
  <c r="G36" i="40" s="1"/>
  <c r="L94" i="31"/>
  <c r="L98" i="31" s="1"/>
  <c r="L99" i="31" s="1"/>
  <c r="I11" i="40"/>
  <c r="I14" i="40" s="1"/>
  <c r="M95" i="31"/>
  <c r="M88" i="31"/>
  <c r="H20" i="40"/>
  <c r="N88" i="31" l="1"/>
  <c r="J11" i="40"/>
  <c r="J14" i="40" s="1"/>
  <c r="N95" i="31"/>
  <c r="I20" i="40"/>
  <c r="H33" i="40"/>
  <c r="M90" i="31"/>
  <c r="M94" i="31" l="1"/>
  <c r="M98" i="31" s="1"/>
  <c r="M99" i="31" s="1"/>
  <c r="H35" i="40"/>
  <c r="H36" i="40" s="1"/>
  <c r="I33" i="40"/>
  <c r="N90" i="31"/>
  <c r="J20" i="40"/>
  <c r="O95" i="31"/>
  <c r="O88" i="31"/>
  <c r="K11" i="40"/>
  <c r="K14" i="40" s="1"/>
  <c r="O90" i="31" l="1"/>
  <c r="J33" i="40"/>
  <c r="I35" i="40"/>
  <c r="I36" i="40" s="1"/>
  <c r="N94" i="31"/>
  <c r="N98" i="31" s="1"/>
  <c r="N99" i="31" s="1"/>
  <c r="L11" i="40"/>
  <c r="L14" i="40" s="1"/>
  <c r="K20" i="40"/>
  <c r="P95" i="31"/>
  <c r="P88" i="31"/>
  <c r="P90" i="31" l="1"/>
  <c r="K33" i="40"/>
  <c r="L20" i="40"/>
  <c r="Q88" i="31"/>
  <c r="M11" i="40"/>
  <c r="M14" i="40" s="1"/>
  <c r="Q95" i="31"/>
  <c r="J35" i="40"/>
  <c r="J36" i="40" s="1"/>
  <c r="O94" i="31"/>
  <c r="O98" i="31" s="1"/>
  <c r="O99" i="31" s="1"/>
  <c r="N11" i="40" l="1"/>
  <c r="N14" i="40" s="1"/>
  <c r="M20" i="40"/>
  <c r="R88" i="31"/>
  <c r="R95" i="31"/>
  <c r="L33" i="40"/>
  <c r="Q90" i="31"/>
  <c r="K35" i="40"/>
  <c r="K36" i="40" s="1"/>
  <c r="P94" i="31"/>
  <c r="P98" i="31" s="1"/>
  <c r="P99" i="31" s="1"/>
  <c r="L35" i="40" l="1"/>
  <c r="L36" i="40" s="1"/>
  <c r="Q94" i="31"/>
  <c r="Q98" i="31" s="1"/>
  <c r="Q99" i="31" s="1"/>
  <c r="R90" i="31"/>
  <c r="M33" i="40"/>
  <c r="O11" i="40"/>
  <c r="O14" i="40" s="1"/>
  <c r="S95" i="31"/>
  <c r="S88" i="31"/>
  <c r="N20" i="40"/>
  <c r="T95" i="31" l="1"/>
  <c r="O20" i="40"/>
  <c r="P11" i="40"/>
  <c r="P14" i="40" s="1"/>
  <c r="T88" i="31"/>
  <c r="N33" i="40"/>
  <c r="S90" i="31"/>
  <c r="R94" i="31"/>
  <c r="R98" i="31" s="1"/>
  <c r="R99" i="31" s="1"/>
  <c r="M35" i="40"/>
  <c r="M36" i="40" s="1"/>
  <c r="S94" i="31" l="1"/>
  <c r="S98" i="31" s="1"/>
  <c r="S99" i="31" s="1"/>
  <c r="N35" i="40"/>
  <c r="N36" i="40" s="1"/>
  <c r="U88" i="31"/>
  <c r="Q11" i="40"/>
  <c r="Q14" i="40" s="1"/>
  <c r="U95" i="31"/>
  <c r="P20" i="40"/>
  <c r="T90" i="31"/>
  <c r="O33" i="40"/>
  <c r="T94" i="31" l="1"/>
  <c r="T98" i="31" s="1"/>
  <c r="T99" i="31" s="1"/>
  <c r="O35" i="40"/>
  <c r="O36" i="40" s="1"/>
  <c r="U90" i="31"/>
  <c r="P33" i="40"/>
  <c r="V95" i="31"/>
  <c r="Q20" i="40"/>
  <c r="V88" i="31"/>
  <c r="F11" i="41"/>
  <c r="U14" i="40"/>
  <c r="F88" i="45" l="1"/>
  <c r="F88" i="32"/>
  <c r="F86" i="30"/>
  <c r="F88" i="31"/>
  <c r="F88" i="44"/>
  <c r="F95" i="44"/>
  <c r="F95" i="31"/>
  <c r="F95" i="45"/>
  <c r="F95" i="32"/>
  <c r="F93" i="30"/>
  <c r="F14" i="41"/>
  <c r="R11" i="40"/>
  <c r="R14" i="40" s="1"/>
  <c r="R20" i="40" s="1"/>
  <c r="R33" i="40" s="1"/>
  <c r="R35" i="40" s="1"/>
  <c r="R36" i="40" s="1"/>
  <c r="Q33" i="40"/>
  <c r="V90" i="31"/>
  <c r="U20" i="40"/>
  <c r="P35" i="40"/>
  <c r="P36" i="40" s="1"/>
  <c r="U94" i="31"/>
  <c r="U98" i="31" s="1"/>
  <c r="U99" i="31" s="1"/>
  <c r="F90" i="45" l="1"/>
  <c r="F90" i="32"/>
  <c r="F88" i="30"/>
  <c r="F90" i="44"/>
  <c r="F90" i="31"/>
  <c r="Q35" i="40"/>
  <c r="Q36" i="40" s="1"/>
  <c r="V94" i="31"/>
  <c r="U33" i="40"/>
  <c r="K95" i="32"/>
  <c r="K88" i="32"/>
  <c r="G11" i="41"/>
  <c r="F20" i="41"/>
  <c r="V98" i="31" l="1"/>
  <c r="F94" i="44"/>
  <c r="F94" i="31"/>
  <c r="F94" i="45"/>
  <c r="F94" i="32"/>
  <c r="F92" i="30"/>
  <c r="F33" i="41"/>
  <c r="K90" i="32"/>
  <c r="G14" i="41"/>
  <c r="S11" i="40"/>
  <c r="S14" i="40" s="1"/>
  <c r="S20" i="40" s="1"/>
  <c r="S33" i="40" s="1"/>
  <c r="S35" i="40" s="1"/>
  <c r="S36" i="40" s="1"/>
  <c r="V99" i="31" l="1"/>
  <c r="F98" i="45"/>
  <c r="F98" i="32"/>
  <c r="F96" i="30"/>
  <c r="F98" i="44"/>
  <c r="F98" i="31"/>
  <c r="G20" i="41"/>
  <c r="L88" i="32"/>
  <c r="H11" i="41"/>
  <c r="L95" i="32"/>
  <c r="K94" i="32"/>
  <c r="K98" i="32" s="1"/>
  <c r="K99" i="32" s="1"/>
  <c r="F35" i="41"/>
  <c r="F36" i="41" s="1"/>
  <c r="F97" i="30" l="1"/>
  <c r="F99" i="32"/>
  <c r="F99" i="44"/>
  <c r="F99" i="31"/>
  <c r="F99" i="45"/>
  <c r="H14" i="41"/>
  <c r="T11" i="40"/>
  <c r="T14" i="40" s="1"/>
  <c r="T20" i="40" s="1"/>
  <c r="T33" i="40" s="1"/>
  <c r="T35" i="40" s="1"/>
  <c r="T36" i="40" s="1"/>
  <c r="L90" i="32"/>
  <c r="G33" i="41"/>
  <c r="G35" i="41" l="1"/>
  <c r="G36" i="41" s="1"/>
  <c r="L94" i="32"/>
  <c r="L98" i="32" s="1"/>
  <c r="L99" i="32" s="1"/>
  <c r="M95" i="32"/>
  <c r="M88" i="32"/>
  <c r="I11" i="41"/>
  <c r="I14" i="41" s="1"/>
  <c r="H20" i="41"/>
  <c r="H33" i="41" l="1"/>
  <c r="M90" i="32"/>
  <c r="N95" i="32"/>
  <c r="J11" i="41"/>
  <c r="J14" i="41" s="1"/>
  <c r="I20" i="41"/>
  <c r="N88" i="32"/>
  <c r="I33" i="41" l="1"/>
  <c r="N90" i="32"/>
  <c r="O95" i="32"/>
  <c r="K11" i="41"/>
  <c r="K14" i="41" s="1"/>
  <c r="O88" i="32"/>
  <c r="J20" i="41"/>
  <c r="M94" i="32"/>
  <c r="M98" i="32" s="1"/>
  <c r="M99" i="32" s="1"/>
  <c r="H35" i="41"/>
  <c r="H36" i="41" s="1"/>
  <c r="J33" i="41" l="1"/>
  <c r="O90" i="32"/>
  <c r="P95" i="32"/>
  <c r="L11" i="41"/>
  <c r="L14" i="41" s="1"/>
  <c r="P88" i="32"/>
  <c r="K20" i="41"/>
  <c r="I35" i="41"/>
  <c r="I36" i="41" s="1"/>
  <c r="N94" i="32"/>
  <c r="N98" i="32" s="1"/>
  <c r="N99" i="32" s="1"/>
  <c r="J35" i="41" l="1"/>
  <c r="J36" i="41" s="1"/>
  <c r="O94" i="32"/>
  <c r="O98" i="32" s="1"/>
  <c r="O99" i="32" s="1"/>
  <c r="K33" i="41"/>
  <c r="P90" i="32"/>
  <c r="Q95" i="32"/>
  <c r="L20" i="41"/>
  <c r="Q88" i="32"/>
  <c r="M11" i="41"/>
  <c r="M14" i="41" s="1"/>
  <c r="Q90" i="32" l="1"/>
  <c r="L33" i="41"/>
  <c r="K35" i="41"/>
  <c r="K36" i="41" s="1"/>
  <c r="P94" i="32"/>
  <c r="P98" i="32" s="1"/>
  <c r="P99" i="32" s="1"/>
  <c r="N11" i="41"/>
  <c r="N14" i="41" s="1"/>
  <c r="M20" i="41"/>
  <c r="R95" i="32"/>
  <c r="R88" i="32"/>
  <c r="Q94" i="32" l="1"/>
  <c r="Q98" i="32" s="1"/>
  <c r="Q99" i="32" s="1"/>
  <c r="L35" i="41"/>
  <c r="L36" i="41" s="1"/>
  <c r="M33" i="41"/>
  <c r="R90" i="32"/>
  <c r="S88" i="32"/>
  <c r="N20" i="41"/>
  <c r="S95" i="32"/>
  <c r="O11" i="41"/>
  <c r="O14" i="41" s="1"/>
  <c r="O20" i="41" l="1"/>
  <c r="T88" i="32"/>
  <c r="T95" i="32"/>
  <c r="P11" i="41"/>
  <c r="P14" i="41" s="1"/>
  <c r="M35" i="41"/>
  <c r="M36" i="41" s="1"/>
  <c r="R94" i="32"/>
  <c r="R98" i="32" s="1"/>
  <c r="R99" i="32" s="1"/>
  <c r="N33" i="41"/>
  <c r="S90" i="32"/>
  <c r="N35" i="41" l="1"/>
  <c r="N36" i="41" s="1"/>
  <c r="S94" i="32"/>
  <c r="S98" i="32" s="1"/>
  <c r="S99" i="32" s="1"/>
  <c r="U95" i="32"/>
  <c r="Q11" i="41"/>
  <c r="Q14" i="41" s="1"/>
  <c r="P20" i="41"/>
  <c r="U88" i="32"/>
  <c r="O33" i="41"/>
  <c r="T90" i="32"/>
  <c r="P33" i="41" l="1"/>
  <c r="U90" i="32"/>
  <c r="O35" i="41"/>
  <c r="O36" i="41" s="1"/>
  <c r="T94" i="32"/>
  <c r="T98" i="32" s="1"/>
  <c r="T99" i="32" s="1"/>
  <c r="F11" i="42"/>
  <c r="V88" i="32"/>
  <c r="Q20" i="41"/>
  <c r="V95" i="32"/>
  <c r="U14" i="41"/>
  <c r="G95" i="44" l="1"/>
  <c r="G95" i="31"/>
  <c r="G95" i="45"/>
  <c r="G95" i="32"/>
  <c r="G93" i="30"/>
  <c r="G88" i="44"/>
  <c r="G88" i="31"/>
  <c r="G86" i="30"/>
  <c r="G88" i="32"/>
  <c r="G88" i="45"/>
  <c r="F14" i="42"/>
  <c r="R11" i="41"/>
  <c r="R14" i="41" s="1"/>
  <c r="R20" i="41" s="1"/>
  <c r="R33" i="41" s="1"/>
  <c r="R35" i="41" s="1"/>
  <c r="R36" i="41" s="1"/>
  <c r="Q33" i="41"/>
  <c r="V90" i="32"/>
  <c r="U20" i="41"/>
  <c r="P35" i="41"/>
  <c r="P36" i="41" s="1"/>
  <c r="U94" i="32"/>
  <c r="U98" i="32" s="1"/>
  <c r="U99" i="32" s="1"/>
  <c r="G90" i="44" l="1"/>
  <c r="G90" i="31"/>
  <c r="G90" i="45"/>
  <c r="G90" i="32"/>
  <c r="G88" i="30"/>
  <c r="V94" i="32"/>
  <c r="Q35" i="41"/>
  <c r="Q36" i="41" s="1"/>
  <c r="U33" i="41"/>
  <c r="K88" i="44"/>
  <c r="F20" i="42"/>
  <c r="K95" i="44"/>
  <c r="G11" i="42"/>
  <c r="V98" i="32" l="1"/>
  <c r="G94" i="45"/>
  <c r="G94" i="32"/>
  <c r="G92" i="30"/>
  <c r="G94" i="44"/>
  <c r="G94" i="31"/>
  <c r="K90" i="44"/>
  <c r="F33" i="42"/>
  <c r="G14" i="42"/>
  <c r="S11" i="41"/>
  <c r="S14" i="41" s="1"/>
  <c r="S20" i="41" s="1"/>
  <c r="S33" i="41" s="1"/>
  <c r="S35" i="41" s="1"/>
  <c r="S36" i="41" s="1"/>
  <c r="V99" i="32" l="1"/>
  <c r="G98" i="44"/>
  <c r="G98" i="31"/>
  <c r="G98" i="45"/>
  <c r="G98" i="32"/>
  <c r="G96" i="30"/>
  <c r="H11" i="42"/>
  <c r="L95" i="44"/>
  <c r="L88" i="44"/>
  <c r="G20" i="42"/>
  <c r="F35" i="42"/>
  <c r="F36" i="42" s="1"/>
  <c r="K94" i="44"/>
  <c r="K98" i="44" s="1"/>
  <c r="K99" i="44" s="1"/>
  <c r="G99" i="45" l="1"/>
  <c r="G99" i="32"/>
  <c r="G97" i="30"/>
  <c r="G99" i="44"/>
  <c r="G99" i="31"/>
  <c r="G33" i="42"/>
  <c r="L90" i="44"/>
  <c r="T11" i="41"/>
  <c r="T14" i="41" s="1"/>
  <c r="T20" i="41" s="1"/>
  <c r="T33" i="41" s="1"/>
  <c r="T35" i="41" s="1"/>
  <c r="T36" i="41" s="1"/>
  <c r="H14" i="42"/>
  <c r="I11" i="42" l="1"/>
  <c r="I14" i="42" s="1"/>
  <c r="M95" i="44"/>
  <c r="M88" i="44"/>
  <c r="H20" i="42"/>
  <c r="G35" i="42"/>
  <c r="G36" i="42" s="1"/>
  <c r="L94" i="44"/>
  <c r="L98" i="44" s="1"/>
  <c r="L99" i="44" s="1"/>
  <c r="M90" i="44" l="1"/>
  <c r="H33" i="42"/>
  <c r="N88" i="44"/>
  <c r="J11" i="42"/>
  <c r="J14" i="42" s="1"/>
  <c r="N95" i="44"/>
  <c r="I20" i="42"/>
  <c r="N90" i="44" l="1"/>
  <c r="I33" i="42"/>
  <c r="K11" i="42"/>
  <c r="K14" i="42" s="1"/>
  <c r="J20" i="42"/>
  <c r="O95" i="44"/>
  <c r="O88" i="44"/>
  <c r="M94" i="44"/>
  <c r="M98" i="44" s="1"/>
  <c r="M99" i="44" s="1"/>
  <c r="H35" i="42"/>
  <c r="H36" i="42" s="1"/>
  <c r="J33" i="42" l="1"/>
  <c r="O90" i="44"/>
  <c r="P88" i="44"/>
  <c r="K20" i="42"/>
  <c r="L11" i="42"/>
  <c r="L14" i="42" s="1"/>
  <c r="P95" i="44"/>
  <c r="I35" i="42"/>
  <c r="I36" i="42" s="1"/>
  <c r="N94" i="44"/>
  <c r="N98" i="44" s="1"/>
  <c r="N99" i="44" s="1"/>
  <c r="M11" i="42" l="1"/>
  <c r="M14" i="42" s="1"/>
  <c r="Q88" i="44"/>
  <c r="L20" i="42"/>
  <c r="Q95" i="44"/>
  <c r="P90" i="44"/>
  <c r="K33" i="42"/>
  <c r="J35" i="42"/>
  <c r="J36" i="42" s="1"/>
  <c r="O94" i="44"/>
  <c r="O98" i="44" s="1"/>
  <c r="O99" i="44" s="1"/>
  <c r="P94" i="44" l="1"/>
  <c r="P98" i="44" s="1"/>
  <c r="P99" i="44" s="1"/>
  <c r="K35" i="42"/>
  <c r="K36" i="42" s="1"/>
  <c r="Q90" i="44"/>
  <c r="L33" i="42"/>
  <c r="R88" i="44"/>
  <c r="M20" i="42"/>
  <c r="R95" i="44"/>
  <c r="N11" i="42"/>
  <c r="N14" i="42" s="1"/>
  <c r="R90" i="44" l="1"/>
  <c r="M33" i="42"/>
  <c r="Q94" i="44"/>
  <c r="Q98" i="44" s="1"/>
  <c r="Q99" i="44" s="1"/>
  <c r="L35" i="42"/>
  <c r="L36" i="42" s="1"/>
  <c r="O11" i="42"/>
  <c r="O14" i="42" s="1"/>
  <c r="S95" i="44"/>
  <c r="N20" i="42"/>
  <c r="S88" i="44"/>
  <c r="S90" i="44" l="1"/>
  <c r="N33" i="42"/>
  <c r="P11" i="42"/>
  <c r="P14" i="42" s="1"/>
  <c r="T95" i="44"/>
  <c r="O20" i="42"/>
  <c r="T88" i="44"/>
  <c r="M35" i="42"/>
  <c r="M36" i="42" s="1"/>
  <c r="R94" i="44"/>
  <c r="R98" i="44" s="1"/>
  <c r="R99" i="44" s="1"/>
  <c r="O33" i="42" l="1"/>
  <c r="T90" i="44"/>
  <c r="Q11" i="42"/>
  <c r="Q14" i="42" s="1"/>
  <c r="U88" i="44"/>
  <c r="U95" i="44"/>
  <c r="P20" i="42"/>
  <c r="N35" i="42"/>
  <c r="N36" i="42" s="1"/>
  <c r="S94" i="44"/>
  <c r="S98" i="44" s="1"/>
  <c r="S99" i="44" s="1"/>
  <c r="U90" i="44" l="1"/>
  <c r="P33" i="42"/>
  <c r="V95" i="44"/>
  <c r="Q20" i="42"/>
  <c r="F11" i="43"/>
  <c r="V88" i="44"/>
  <c r="U14" i="42"/>
  <c r="O35" i="42"/>
  <c r="O36" i="42" s="1"/>
  <c r="T94" i="44"/>
  <c r="T98" i="44" s="1"/>
  <c r="T99" i="44" s="1"/>
  <c r="H88" i="31" l="1"/>
  <c r="H88" i="45"/>
  <c r="H88" i="32"/>
  <c r="H86" i="30"/>
  <c r="H88" i="44"/>
  <c r="H95" i="45"/>
  <c r="H95" i="32"/>
  <c r="H93" i="30"/>
  <c r="H95" i="44"/>
  <c r="H95" i="31"/>
  <c r="Q33" i="42"/>
  <c r="V90" i="44"/>
  <c r="U20" i="42"/>
  <c r="P35" i="42"/>
  <c r="P36" i="42" s="1"/>
  <c r="U94" i="44"/>
  <c r="U98" i="44" s="1"/>
  <c r="U99" i="44" s="1"/>
  <c r="F14" i="43"/>
  <c r="R11" i="42"/>
  <c r="R14" i="42" s="1"/>
  <c r="R20" i="42" s="1"/>
  <c r="R33" i="42" s="1"/>
  <c r="R35" i="42" s="1"/>
  <c r="R36" i="42" s="1"/>
  <c r="H90" i="45" l="1"/>
  <c r="H90" i="32"/>
  <c r="H88" i="30"/>
  <c r="H90" i="44"/>
  <c r="H90" i="31"/>
  <c r="K88" i="45"/>
  <c r="G11" i="43"/>
  <c r="F20" i="43"/>
  <c r="K95" i="45"/>
  <c r="Q35" i="42"/>
  <c r="Q36" i="42" s="1"/>
  <c r="V94" i="44"/>
  <c r="U33" i="42"/>
  <c r="V98" i="44" l="1"/>
  <c r="H94" i="31"/>
  <c r="H94" i="44"/>
  <c r="H94" i="45"/>
  <c r="H94" i="32"/>
  <c r="H92" i="30"/>
  <c r="F33" i="43"/>
  <c r="K90" i="45"/>
  <c r="G14" i="43"/>
  <c r="S11" i="42"/>
  <c r="S14" i="42" s="1"/>
  <c r="S20" i="42" s="1"/>
  <c r="S33" i="42" s="1"/>
  <c r="S35" i="42" s="1"/>
  <c r="S36" i="42" s="1"/>
  <c r="V99" i="44" l="1"/>
  <c r="H98" i="32"/>
  <c r="H96" i="30"/>
  <c r="H98" i="45"/>
  <c r="H98" i="44"/>
  <c r="H98" i="31"/>
  <c r="G20" i="43"/>
  <c r="L88" i="45"/>
  <c r="L95" i="45"/>
  <c r="H11" i="43"/>
  <c r="K94" i="45"/>
  <c r="K98" i="45" s="1"/>
  <c r="K99" i="45" s="1"/>
  <c r="F35" i="43"/>
  <c r="F36" i="43" s="1"/>
  <c r="H99" i="44" l="1"/>
  <c r="H99" i="31"/>
  <c r="H99" i="45"/>
  <c r="H99" i="32"/>
  <c r="H97" i="30"/>
  <c r="H14" i="43"/>
  <c r="T11" i="42"/>
  <c r="T14" i="42" s="1"/>
  <c r="T20" i="42" s="1"/>
  <c r="T33" i="42" s="1"/>
  <c r="T35" i="42" s="1"/>
  <c r="T36" i="42" s="1"/>
  <c r="G33" i="43"/>
  <c r="L90" i="45"/>
  <c r="G35" i="43" l="1"/>
  <c r="G36" i="43" s="1"/>
  <c r="L94" i="45"/>
  <c r="L98" i="45" s="1"/>
  <c r="L99" i="45" s="1"/>
  <c r="H20" i="43"/>
  <c r="M88" i="45"/>
  <c r="M95" i="45"/>
  <c r="I11" i="43"/>
  <c r="I14" i="43" s="1"/>
  <c r="I20" i="43" l="1"/>
  <c r="J11" i="43"/>
  <c r="J14" i="43" s="1"/>
  <c r="N88" i="45"/>
  <c r="N95" i="45"/>
  <c r="M90" i="45"/>
  <c r="H33" i="43"/>
  <c r="M94" i="45" l="1"/>
  <c r="M98" i="45" s="1"/>
  <c r="M99" i="45" s="1"/>
  <c r="H35" i="43"/>
  <c r="H36" i="43" s="1"/>
  <c r="O88" i="45"/>
  <c r="O95" i="45"/>
  <c r="J20" i="43"/>
  <c r="K11" i="43"/>
  <c r="K14" i="43" s="1"/>
  <c r="N90" i="45"/>
  <c r="I33" i="43"/>
  <c r="K20" i="43" l="1"/>
  <c r="P88" i="45"/>
  <c r="L11" i="43"/>
  <c r="L14" i="43" s="1"/>
  <c r="P95" i="45"/>
  <c r="J33" i="43"/>
  <c r="O90" i="45"/>
  <c r="N94" i="45"/>
  <c r="N98" i="45" s="1"/>
  <c r="N99" i="45" s="1"/>
  <c r="I35" i="43"/>
  <c r="I36" i="43" s="1"/>
  <c r="O94" i="45" l="1"/>
  <c r="O98" i="45" s="1"/>
  <c r="O99" i="45" s="1"/>
  <c r="J35" i="43"/>
  <c r="J36" i="43" s="1"/>
  <c r="Q95" i="45"/>
  <c r="L20" i="43"/>
  <c r="Q88" i="45"/>
  <c r="M11" i="43"/>
  <c r="M14" i="43" s="1"/>
  <c r="P90" i="45"/>
  <c r="K33" i="43"/>
  <c r="M20" i="43" l="1"/>
  <c r="N11" i="43"/>
  <c r="N14" i="43" s="1"/>
  <c r="R88" i="45"/>
  <c r="R95" i="45"/>
  <c r="Q90" i="45"/>
  <c r="L33" i="43"/>
  <c r="P94" i="45"/>
  <c r="P98" i="45" s="1"/>
  <c r="P99" i="45" s="1"/>
  <c r="K35" i="43"/>
  <c r="K36" i="43" s="1"/>
  <c r="N20" i="43" l="1"/>
  <c r="S88" i="45"/>
  <c r="S95" i="45"/>
  <c r="O11" i="43"/>
  <c r="O14" i="43" s="1"/>
  <c r="L35" i="43"/>
  <c r="L36" i="43" s="1"/>
  <c r="Q94" i="45"/>
  <c r="Q98" i="45" s="1"/>
  <c r="Q99" i="45" s="1"/>
  <c r="R90" i="45"/>
  <c r="M33" i="43"/>
  <c r="P11" i="43" l="1"/>
  <c r="P14" i="43" s="1"/>
  <c r="O20" i="43"/>
  <c r="T88" i="45"/>
  <c r="T95" i="45"/>
  <c r="R94" i="45"/>
  <c r="R98" i="45" s="1"/>
  <c r="R99" i="45" s="1"/>
  <c r="M35" i="43"/>
  <c r="M36" i="43" s="1"/>
  <c r="N33" i="43"/>
  <c r="S90" i="45"/>
  <c r="N35" i="43" l="1"/>
  <c r="N36" i="43" s="1"/>
  <c r="S94" i="45"/>
  <c r="S98" i="45" s="1"/>
  <c r="S99" i="45" s="1"/>
  <c r="O33" i="43"/>
  <c r="T90" i="45"/>
  <c r="U88" i="45"/>
  <c r="P20" i="43"/>
  <c r="U95" i="45"/>
  <c r="Q11" i="43"/>
  <c r="Q14" i="43" s="1"/>
  <c r="Q20" i="43" l="1"/>
  <c r="V95" i="45"/>
  <c r="V88" i="45"/>
  <c r="U14" i="43"/>
  <c r="P33" i="43"/>
  <c r="U90" i="45"/>
  <c r="O35" i="43"/>
  <c r="O36" i="43" s="1"/>
  <c r="T94" i="45"/>
  <c r="T98" i="45" s="1"/>
  <c r="T99" i="45" s="1"/>
  <c r="I88" i="32" l="1"/>
  <c r="I88" i="44"/>
  <c r="I88" i="31"/>
  <c r="I86" i="30"/>
  <c r="I88" i="45"/>
  <c r="I95" i="44"/>
  <c r="I95" i="31"/>
  <c r="I95" i="45"/>
  <c r="I95" i="32"/>
  <c r="I93" i="30"/>
  <c r="P35" i="43"/>
  <c r="P36" i="43" s="1"/>
  <c r="U94" i="45"/>
  <c r="U98" i="45" s="1"/>
  <c r="U99" i="45" s="1"/>
  <c r="Q33" i="43"/>
  <c r="V90" i="45"/>
  <c r="U20" i="43"/>
  <c r="I90" i="44" l="1"/>
  <c r="I90" i="31"/>
  <c r="I90" i="45"/>
  <c r="I90" i="32"/>
  <c r="I88" i="30"/>
  <c r="Q35" i="43"/>
  <c r="Q36" i="43" s="1"/>
  <c r="V94" i="45"/>
  <c r="U33" i="43"/>
  <c r="V98" i="45" l="1"/>
  <c r="I94" i="32"/>
  <c r="I92" i="30"/>
  <c r="I94" i="45"/>
  <c r="I94" i="44"/>
  <c r="I94" i="31"/>
  <c r="V99" i="45" l="1"/>
  <c r="I98" i="44"/>
  <c r="I98" i="31"/>
  <c r="I98" i="45"/>
  <c r="I98" i="32"/>
  <c r="I96" i="30"/>
  <c r="I99" i="45" l="1"/>
  <c r="I99" i="32"/>
  <c r="I97" i="30"/>
  <c r="I99" i="44"/>
  <c r="I99" i="31"/>
</calcChain>
</file>

<file path=xl/sharedStrings.xml><?xml version="1.0" encoding="utf-8"?>
<sst xmlns="http://schemas.openxmlformats.org/spreadsheetml/2006/main" count="2561" uniqueCount="322">
  <si>
    <t>Fiscal Year</t>
  </si>
  <si>
    <t>Sun</t>
  </si>
  <si>
    <t>Revenue</t>
  </si>
  <si>
    <t>COGS</t>
  </si>
  <si>
    <t>GROSS MARGIN</t>
  </si>
  <si>
    <t>Variable Expenses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</si>
  <si>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</si>
  <si>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</si>
  <si>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</si>
  <si>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</si>
  <si>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</si>
  <si>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</si>
  <si>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</si>
  <si>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</si>
  <si>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</si>
  <si>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</si>
  <si>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</si>
  <si>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</si>
  <si>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</si>
  <si>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</si>
  <si>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</si>
  <si>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</si>
  <si>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</si>
  <si>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</si>
  <si>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</si>
  <si>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</si>
  <si>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</si>
  <si>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</si>
  <si>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</si>
  <si>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</si>
  <si>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</si>
  <si>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</si>
  <si>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</si>
  <si>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</si>
  <si>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</si>
  <si>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</si>
  <si>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</si>
  <si>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</si>
  <si>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</si>
  <si>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</si>
  <si>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</si>
  <si>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</si>
  <si>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</si>
  <si>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</si>
  <si>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</si>
  <si>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</si>
  <si>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</si>
  <si>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</si>
  <si>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</si>
  <si>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</si>
  <si>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</si>
  <si>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</si>
  <si>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</si>
  <si>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</si>
  <si>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</si>
  <si>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</si>
  <si>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</si>
  <si>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</si>
  <si>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</si>
  <si>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</si>
  <si>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</si>
  <si>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Misc</t>
  </si>
  <si>
    <t>Top Expenses To December 2023</t>
  </si>
  <si>
    <t>Top Expenses</t>
  </si>
  <si>
    <t>Month</t>
  </si>
  <si>
    <t>Mon-Fri</t>
  </si>
  <si>
    <t>Sat</t>
  </si>
  <si>
    <t>OOS Seasonal Assumptions</t>
  </si>
  <si>
    <t>Breakdown Seasonal Assumptions</t>
  </si>
  <si>
    <t>Salaries Assumptions</t>
  </si>
  <si>
    <t>Department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</si>
  <si>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</si>
  <si>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</si>
  <si>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</si>
  <si>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</si>
  <si>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</si>
  <si>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</si>
  <si>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</si>
  <si>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</si>
  <si>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</si>
  <si>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</si>
  <si>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</si>
  <si>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</si>
  <si>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</si>
  <si>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</si>
  <si>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</si>
  <si>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</si>
  <si>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</si>
  <si>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</si>
  <si>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</si>
  <si>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</si>
  <si>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Balance Sheet 2023</t>
  </si>
  <si>
    <t>Planned Value</t>
  </si>
  <si>
    <t>Actual</t>
  </si>
  <si>
    <t>TEAM AVERAGE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</si>
  <si>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</si>
  <si>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</si>
  <si>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</si>
  <si>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</si>
  <si>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</si>
  <si>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</si>
  <si>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</si>
  <si>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</si>
  <si>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</si>
  <si>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</si>
  <si>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</si>
  <si>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</si>
  <si>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</si>
  <si>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</si>
  <si>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</si>
  <si>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</si>
  <si>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</si>
  <si>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</si>
  <si>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</si>
  <si>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</si>
  <si>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Total Revenue</t>
  </si>
  <si>
    <t>Total COGS</t>
  </si>
  <si>
    <t>Placeholder 1</t>
  </si>
  <si>
    <t>Placeholder 2</t>
  </si>
  <si>
    <t>Placeholder 3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</si>
  <si>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</si>
  <si>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</si>
  <si>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</si>
  <si>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</si>
  <si>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</si>
  <si>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</si>
  <si>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</si>
  <si>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</si>
  <si>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</si>
  <si>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</si>
  <si>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</si>
  <si>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</si>
  <si>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</si>
  <si>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</si>
  <si>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</si>
  <si>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</si>
  <si>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</si>
  <si>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</si>
  <si>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</si>
  <si>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</si>
  <si>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</si>
  <si>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Income Statement £</t>
  </si>
  <si>
    <t>[Company Name]</t>
  </si>
  <si>
    <t>.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</si>
  <si>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</si>
  <si>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</si>
  <si>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</si>
  <si>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</si>
  <si>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</si>
  <si>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</si>
  <si>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</si>
  <si>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</si>
  <si>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</si>
  <si>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</si>
  <si>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</si>
  <si>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</si>
  <si>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</si>
  <si>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</si>
  <si>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</si>
  <si>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</si>
  <si>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</si>
  <si>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</si>
  <si>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</si>
  <si>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</si>
  <si>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</si>
  <si>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</si>
  <si>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</si>
  <si>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</si>
  <si>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</si>
  <si>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</si>
  <si>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Cash Flow Statement, £</t>
  </si>
  <si>
    <t>Balance Sheet</t>
  </si>
  <si>
    <t>Financial Year</t>
  </si>
  <si>
    <t>Balance Sheet £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</si>
  <si>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</si>
  <si>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</si>
  <si>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</si>
  <si>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</si>
  <si>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</si>
  <si>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</si>
  <si>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</si>
  <si>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</si>
  <si>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</si>
  <si>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</si>
  <si>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</si>
  <si>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</si>
  <si>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</si>
  <si>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</si>
  <si>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</si>
  <si>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</si>
  <si>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</si>
  <si>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</si>
  <si>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</si>
  <si>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</si>
  <si>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</si>
  <si>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</si>
  <si>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</si>
  <si>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</si>
  <si>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</si>
  <si>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2023</t>
  </si>
  <si>
    <t>Cash Flow Statement 2024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</si>
  <si>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</si>
  <si>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</si>
  <si>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</si>
  <si>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</si>
  <si>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</si>
  <si>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</si>
  <si>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</si>
  <si>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</si>
  <si>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COGS Placeholder 6</t>
  </si>
  <si>
    <t>Break Even Calculation</t>
  </si>
  <si>
    <t>Top Expenses To December 2024</t>
  </si>
  <si>
    <t>Number Of Employees</t>
  </si>
  <si>
    <t>Percentage Of Time Taken</t>
  </si>
  <si>
    <t>Run</t>
  </si>
  <si>
    <t>Planner Name:</t>
  </si>
  <si>
    <t>Manager:</t>
  </si>
  <si>
    <t>Planned</t>
  </si>
  <si>
    <t>Services Assumptions</t>
  </si>
  <si>
    <t>% Rise</t>
  </si>
  <si>
    <t>COGS Assumptions</t>
  </si>
  <si>
    <t>Contract Name:</t>
  </si>
  <si>
    <t>Building Rent</t>
  </si>
  <si>
    <t>Equipment Rental</t>
  </si>
  <si>
    <t>Cash Flow Statement 5 Years to December 2027</t>
  </si>
  <si>
    <t>Income Statement 5 Years to December 2027</t>
  </si>
  <si>
    <t>Balance Sheet 5 Years to December 2027</t>
  </si>
  <si>
    <t>Income Statement Summer 2027</t>
  </si>
  <si>
    <t>Cash Flow Statement Summer 2023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</si>
  <si>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</si>
  <si>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</si>
  <si>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</si>
  <si>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</si>
  <si>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</si>
  <si>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</si>
  <si>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</si>
  <si>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Balance Sheet 2027</t>
  </si>
  <si>
    <t>Service 1</t>
  </si>
  <si>
    <t>Service 2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</si>
  <si>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</si>
  <si>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</si>
  <si>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</si>
  <si>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</si>
  <si>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</si>
  <si>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</si>
  <si>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</si>
  <si>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</si>
  <si>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</si>
  <si>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</si>
  <si>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</si>
  <si>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</si>
  <si>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Monthly Sales Assumptions</t>
  </si>
  <si>
    <t>Seasonal Assumptions</t>
  </si>
  <si>
    <t>Service</t>
  </si>
  <si>
    <t>Chief Operating Officer</t>
  </si>
  <si>
    <t>Office Lease</t>
  </si>
  <si>
    <t>Maintenance</t>
  </si>
  <si>
    <t>TIME OVER Months</t>
  </si>
  <si>
    <t>Track Planned Months vs Time Spent on Multiple Servcies in Multiple Locations</t>
  </si>
  <si>
    <t>Actual Months</t>
  </si>
  <si>
    <t>Target Months</t>
  </si>
  <si>
    <t>Service Percent Usage 2023</t>
  </si>
  <si>
    <t>Service Percent Usage 2024</t>
  </si>
  <si>
    <t>Service Percent Usage 2025</t>
  </si>
  <si>
    <t>Sales Team</t>
  </si>
  <si>
    <t>Services KPIs</t>
  </si>
  <si>
    <t xml:space="preserve">Team Name: </t>
  </si>
  <si>
    <t>Marketing Manager</t>
  </si>
  <si>
    <t>Fuel</t>
  </si>
  <si>
    <t>Equipment Maintenance</t>
  </si>
  <si>
    <t>Insurance</t>
  </si>
  <si>
    <t>Marketing</t>
  </si>
  <si>
    <t>Percentage Increase From Previous Year</t>
  </si>
  <si>
    <t>Field 1 25 kWh</t>
  </si>
  <si>
    <t>Field 2 35 kWh</t>
  </si>
  <si>
    <t>Percentage</t>
  </si>
  <si>
    <t>Total</t>
  </si>
  <si>
    <t>Max Total</t>
  </si>
  <si>
    <t>Field 3 25 kWh</t>
  </si>
  <si>
    <t>Field 4 35 kWh</t>
  </si>
  <si>
    <t xml:space="preserve">Area 2 7 Acres Monocrystalline </t>
  </si>
  <si>
    <t>Area 1 6 Acres Polycrystalline</t>
  </si>
  <si>
    <t>Panel Maintenance</t>
  </si>
  <si>
    <t>Field Maintenance</t>
  </si>
  <si>
    <t>IT Equipment</t>
  </si>
  <si>
    <t>Array Manager</t>
  </si>
  <si>
    <t>IT Manager</t>
  </si>
  <si>
    <t>Senior Installer</t>
  </si>
  <si>
    <t>Installer</t>
  </si>
  <si>
    <t>Panel Increase Percentage</t>
  </si>
  <si>
    <t>Percentage Increase</t>
  </si>
  <si>
    <t>Extra Days Gained</t>
  </si>
  <si>
    <t>Revenue Per Week</t>
  </si>
  <si>
    <t>Planned Weeks</t>
  </si>
  <si>
    <t>Actual Weeks Taken</t>
  </si>
  <si>
    <t>Area Where Installed</t>
  </si>
  <si>
    <t>Actual Combined Weeks</t>
  </si>
  <si>
    <t>Planned Weeks vs Actual Weeks Taken</t>
  </si>
  <si>
    <t>Costs In Installing New Array</t>
  </si>
  <si>
    <t>Cash Flow Statement,</t>
  </si>
  <si>
    <t>Expenditure Area 1</t>
  </si>
  <si>
    <t>Earned Area 1</t>
  </si>
  <si>
    <t>Expenditure Area 2</t>
  </si>
  <si>
    <t>Earned Area 2</t>
  </si>
  <si>
    <t>Expenditure Area 3</t>
  </si>
  <si>
    <t>Earned Area 3</t>
  </si>
  <si>
    <t>Comments</t>
  </si>
  <si>
    <t>Area 1</t>
  </si>
  <si>
    <t>Area 2</t>
  </si>
  <si>
    <t>Area 3</t>
  </si>
  <si>
    <t>Area 4</t>
  </si>
  <si>
    <t>Area 5</t>
  </si>
  <si>
    <t>Area 6</t>
  </si>
  <si>
    <t>Area 7</t>
  </si>
  <si>
    <t>Area 8</t>
  </si>
  <si>
    <t>Area 9</t>
  </si>
  <si>
    <t>Area 10</t>
  </si>
  <si>
    <t>Area 11</t>
  </si>
  <si>
    <t>Area 12</t>
  </si>
  <si>
    <t>Area 13</t>
  </si>
  <si>
    <t>Area 14</t>
  </si>
  <si>
    <t>Area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</si>
</sst>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7" tint="0.3999755851924192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theme="1" tint="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1" tint="0.14996795556505021"/>
      </bottom>
      <diagonal/>
    </border>
    <border>
      <left/>
      <right/>
      <top style="thin">
        <color theme="0" tint="-0.14996795556505021"/>
      </top>
      <bottom style="thin">
        <color theme="1" tint="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71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0" fontId="0" fillId="3" borderId="10" xfId="0" applyFill="1" applyBorder="1"/>
    <xf numFmtId="9" fontId="0" fillId="4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10" xfId="0" applyNumberFormat="1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7" borderId="24" xfId="0" applyFont="1" applyFill="1" applyBorder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9" fillId="10" borderId="24" xfId="0" applyFont="1" applyFill="1" applyBorder="1" applyAlignment="1">
      <alignment horizontal="left" vertical="center" wrapText="1" indent="1"/>
    </xf>
    <xf numFmtId="0" fontId="11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4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5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3" borderId="39" xfId="0" applyFont="1" applyFill="1" applyBorder="1" applyAlignment="1">
      <alignment horizontal="right"/>
    </xf>
    <xf numFmtId="0" fontId="13" fillId="5" borderId="41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1" borderId="24" xfId="0" applyFont="1" applyFill="1" applyBorder="1" applyAlignment="1">
      <alignment horizontal="left" vertical="center" wrapText="1" indent="1"/>
    </xf>
    <xf numFmtId="0" fontId="11" fillId="22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0" borderId="44" xfId="0" applyFont="1" applyFill="1" applyBorder="1" applyAlignment="1">
      <alignment horizontal="right" vertical="center" wrapText="1" inden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0" borderId="45" xfId="0" applyNumberFormat="1" applyFont="1" applyFill="1" applyBorder="1" applyAlignment="1">
      <alignment horizontal="right" vertical="center" wrapText="1" indent="1"/>
    </xf>
    <xf numFmtId="0" fontId="0" fillId="24" borderId="39" xfId="0" applyFill="1" applyBorder="1"/>
    <xf numFmtId="0" fontId="0" fillId="24" borderId="16" xfId="0" applyFill="1" applyBorder="1" applyAlignment="1">
      <alignment horizontal="right"/>
    </xf>
    <xf numFmtId="0" fontId="0" fillId="24" borderId="16" xfId="0" applyFill="1" applyBorder="1"/>
    <xf numFmtId="0" fontId="0" fillId="24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0" fillId="0" borderId="0" xfId="0" applyAlignment="1">
      <alignment horizontal="left" indent="3"/>
    </xf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0" fillId="6" borderId="0" xfId="0" applyFill="1" applyAlignment="1">
      <alignment horizontal="left" indent="1"/>
    </xf>
    <xf numFmtId="4" fontId="0" fillId="6" borderId="0" xfId="0" applyNumberFormat="1" applyFill="1"/>
    <xf numFmtId="0" fontId="0" fillId="6" borderId="0" xfId="0" applyFill="1" applyAlignment="1">
      <alignment horizontal="left" indent="3"/>
    </xf>
    <xf numFmtId="0" fontId="2" fillId="6" borderId="0" xfId="0" applyFont="1" applyFill="1" applyAlignment="1">
      <alignment horizontal="left"/>
    </xf>
    <xf numFmtId="0" fontId="3" fillId="6" borderId="0" xfId="0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3" fontId="37" fillId="6" borderId="0" xfId="0" applyNumberFormat="1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0" borderId="0" xfId="0" applyFill="1"/>
    <xf numFmtId="0" fontId="40" fillId="20" borderId="0" xfId="0" applyFont="1" applyFill="1"/>
    <xf numFmtId="3" fontId="40" fillId="20" borderId="0" xfId="0" applyNumberFormat="1" applyFont="1" applyFill="1"/>
    <xf numFmtId="0" fontId="40" fillId="15" borderId="0" xfId="0" applyFont="1" applyFill="1"/>
    <xf numFmtId="0" fontId="41" fillId="20" borderId="0" xfId="0" applyFont="1" applyFill="1"/>
    <xf numFmtId="0" fontId="8" fillId="20" borderId="0" xfId="0" applyFont="1" applyFill="1"/>
    <xf numFmtId="0" fontId="8" fillId="15" borderId="0" xfId="0" applyFont="1" applyFill="1"/>
    <xf numFmtId="3" fontId="8" fillId="15" borderId="0" xfId="0" applyNumberFormat="1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5" borderId="0" xfId="0" applyFont="1" applyFill="1"/>
    <xf numFmtId="3" fontId="40" fillId="15" borderId="0" xfId="0" applyNumberFormat="1" applyFont="1" applyFill="1"/>
    <xf numFmtId="3" fontId="8" fillId="20" borderId="0" xfId="0" applyNumberFormat="1" applyFont="1" applyFill="1"/>
    <xf numFmtId="0" fontId="42" fillId="10" borderId="53" xfId="0" applyFont="1" applyFill="1" applyBorder="1"/>
    <xf numFmtId="0" fontId="43" fillId="10" borderId="53" xfId="0" applyFont="1" applyFill="1" applyBorder="1"/>
    <xf numFmtId="3" fontId="42" fillId="10" borderId="53" xfId="0" applyNumberFormat="1" applyFont="1" applyFill="1" applyBorder="1"/>
    <xf numFmtId="0" fontId="0" fillId="15" borderId="0" xfId="0" applyFill="1"/>
    <xf numFmtId="0" fontId="2" fillId="15" borderId="0" xfId="0" applyFont="1" applyFill="1"/>
    <xf numFmtId="0" fontId="8" fillId="20" borderId="0" xfId="0" applyFont="1" applyFill="1" applyAlignment="1">
      <alignment vertical="center"/>
    </xf>
    <xf numFmtId="0" fontId="39" fillId="20" borderId="0" xfId="0" applyFont="1" applyFill="1" applyAlignment="1">
      <alignment vertical="center"/>
    </xf>
    <xf numFmtId="3" fontId="8" fillId="20" borderId="0" xfId="0" applyNumberFormat="1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39" fillId="15" borderId="0" xfId="0" applyFont="1" applyFill="1" applyAlignment="1">
      <alignment vertical="center"/>
    </xf>
    <xf numFmtId="3" fontId="8" fillId="15" borderId="0" xfId="0" applyNumberFormat="1" applyFont="1" applyFill="1" applyAlignment="1">
      <alignment vertical="center"/>
    </xf>
    <xf numFmtId="0" fontId="0" fillId="10" borderId="54" xfId="0" applyFill="1" applyBorder="1" applyAlignment="1">
      <alignment vertical="center"/>
    </xf>
    <xf numFmtId="0" fontId="36" fillId="10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0" borderId="0" xfId="0" applyFont="1" applyFill="1"/>
    <xf numFmtId="17" fontId="39" fillId="20" borderId="0" xfId="0" applyNumberFormat="1" applyFont="1" applyFill="1"/>
    <xf numFmtId="17" fontId="39" fillId="20" borderId="0" xfId="0" applyNumberFormat="1" applyFont="1" applyFill="1" applyAlignment="1">
      <alignment horizontal="center"/>
    </xf>
    <xf numFmtId="0" fontId="8" fillId="20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0" borderId="0" xfId="0" applyFont="1" applyFill="1" applyAlignment="1">
      <alignment horizontal="left" indent="2"/>
    </xf>
    <xf numFmtId="3" fontId="8" fillId="20" borderId="0" xfId="0" applyNumberFormat="1" applyFont="1" applyFill="1" applyAlignment="1">
      <alignment horizontal="right"/>
    </xf>
    <xf numFmtId="0" fontId="39" fillId="15" borderId="0" xfId="0" applyFont="1" applyFill="1" applyAlignment="1">
      <alignment horizontal="left" indent="2"/>
    </xf>
    <xf numFmtId="3" fontId="8" fillId="15" borderId="0" xfId="0" applyNumberFormat="1" applyFont="1" applyFill="1" applyAlignment="1">
      <alignment horizontal="right"/>
    </xf>
    <xf numFmtId="0" fontId="39" fillId="15" borderId="0" xfId="0" applyFont="1" applyFill="1"/>
    <xf numFmtId="0" fontId="8" fillId="15" borderId="0" xfId="0" applyFont="1" applyFill="1" applyAlignment="1">
      <alignment horizontal="right"/>
    </xf>
    <xf numFmtId="0" fontId="43" fillId="15" borderId="0" xfId="0" applyFont="1" applyFill="1"/>
    <xf numFmtId="0" fontId="43" fillId="15" borderId="0" xfId="0" applyFont="1" applyFill="1" applyAlignment="1">
      <alignment horizontal="center"/>
    </xf>
    <xf numFmtId="3" fontId="2" fillId="0" borderId="0" xfId="0" applyNumberFormat="1" applyFont="1"/>
    <xf numFmtId="0" fontId="0" fillId="6" borderId="55" xfId="0" applyFill="1" applyBorder="1"/>
    <xf numFmtId="3" fontId="0" fillId="6" borderId="55" xfId="0" applyNumberFormat="1" applyFill="1" applyBorder="1"/>
    <xf numFmtId="0" fontId="0" fillId="6" borderId="7" xfId="0" applyFill="1" applyBorder="1"/>
    <xf numFmtId="3" fontId="0" fillId="6" borderId="7" xfId="0" applyNumberFormat="1" applyFill="1" applyBorder="1"/>
    <xf numFmtId="0" fontId="8" fillId="15" borderId="56" xfId="0" applyFont="1" applyFill="1" applyBorder="1" applyAlignment="1">
      <alignment horizontal="left" indent="1"/>
    </xf>
    <xf numFmtId="0" fontId="8" fillId="15" borderId="56" xfId="0" applyFont="1" applyFill="1" applyBorder="1"/>
    <xf numFmtId="17" fontId="41" fillId="15" borderId="0" xfId="0" applyNumberFormat="1" applyFont="1" applyFill="1" applyAlignment="1">
      <alignment horizontal="center"/>
    </xf>
    <xf numFmtId="0" fontId="41" fillId="20" borderId="0" xfId="0" applyFont="1" applyFill="1" applyAlignment="1">
      <alignment horizontal="center"/>
    </xf>
    <xf numFmtId="0" fontId="39" fillId="15" borderId="0" xfId="0" applyFont="1" applyFill="1" applyAlignment="1">
      <alignment horizontal="center"/>
    </xf>
    <xf numFmtId="0" fontId="8" fillId="15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5" borderId="0" xfId="0" applyNumberFormat="1" applyFont="1" applyFill="1" applyAlignment="1">
      <alignment horizontal="center"/>
    </xf>
    <xf numFmtId="0" fontId="39" fillId="20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1" fontId="0" fillId="2" borderId="0" xfId="0" applyNumberFormat="1" applyFill="1"/>
    <xf numFmtId="3" fontId="0" fillId="2" borderId="0" xfId="0" applyNumberFormat="1" applyFill="1"/>
    <xf numFmtId="3" fontId="2" fillId="0" borderId="0" xfId="0" applyNumberFormat="1" applyFont="1" applyAlignment="1">
      <alignment horizontal="center"/>
    </xf>
    <xf numFmtId="0" fontId="8" fillId="20" borderId="0" xfId="0" applyFont="1" applyFill="1" applyAlignment="1">
      <alignment horizontal="center"/>
    </xf>
    <xf numFmtId="3" fontId="8" fillId="20" borderId="0" xfId="0" applyNumberFormat="1" applyFont="1" applyFill="1" applyAlignment="1">
      <alignment horizontal="center"/>
    </xf>
    <xf numFmtId="3" fontId="8" fillId="15" borderId="56" xfId="0" applyNumberFormat="1" applyFont="1" applyFill="1" applyBorder="1" applyAlignment="1">
      <alignment horizontal="center"/>
    </xf>
    <xf numFmtId="3" fontId="8" fillId="15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38" fillId="0" borderId="0" xfId="0" applyNumberFormat="1" applyFont="1"/>
    <xf numFmtId="3" fontId="0" fillId="10" borderId="52" xfId="0" applyNumberFormat="1" applyFill="1" applyBorder="1"/>
    <xf numFmtId="3" fontId="0" fillId="4" borderId="9" xfId="0" applyNumberFormat="1" applyFill="1" applyBorder="1" applyAlignment="1">
      <alignment horizontal="center"/>
    </xf>
    <xf numFmtId="0" fontId="39" fillId="20" borderId="9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center"/>
    </xf>
    <xf numFmtId="0" fontId="39" fillId="20" borderId="10" xfId="0" applyFont="1" applyFill="1" applyBorder="1" applyAlignment="1">
      <alignment horizontal="center"/>
    </xf>
    <xf numFmtId="3" fontId="0" fillId="23" borderId="12" xfId="0" applyNumberFormat="1" applyFill="1" applyBorder="1" applyAlignment="1">
      <alignment horizontal="left"/>
    </xf>
    <xf numFmtId="3" fontId="0" fillId="23" borderId="13" xfId="0" applyNumberFormat="1" applyFill="1" applyBorder="1" applyAlignment="1">
      <alignment horizontal="left"/>
    </xf>
    <xf numFmtId="3" fontId="0" fillId="23" borderId="14" xfId="0" applyNumberFormat="1" applyFill="1" applyBorder="1" applyAlignment="1">
      <alignment horizontal="left"/>
    </xf>
    <xf numFmtId="3" fontId="0" fillId="23" borderId="15" xfId="0" applyNumberFormat="1" applyFill="1" applyBorder="1" applyAlignment="1">
      <alignment horizontal="left"/>
    </xf>
    <xf numFmtId="3" fontId="0" fillId="23" borderId="16" xfId="0" applyNumberFormat="1" applyFill="1" applyBorder="1" applyAlignment="1">
      <alignment horizontal="left"/>
    </xf>
    <xf numFmtId="3" fontId="0" fillId="23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3" borderId="25" xfId="0" applyNumberFormat="1" applyFont="1" applyFill="1" applyBorder="1" applyAlignment="1">
      <alignment horizontal="center" vertical="center" wrapText="1"/>
    </xf>
    <xf numFmtId="3" fontId="10" fillId="23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5" borderId="0" xfId="0" applyFill="1"/>
    <xf numFmtId="0" fontId="0" fillId="25" borderId="0" xfId="0" applyFill="1" applyAlignment="1">
      <alignment horizontal="center"/>
    </xf>
    <xf numFmtId="0" fontId="39" fillId="20" borderId="49" xfId="0" applyFont="1" applyFill="1" applyBorder="1" applyAlignment="1">
      <alignment horizontal="center" vertical="center"/>
    </xf>
    <xf numFmtId="0" fontId="39" fillId="20" borderId="49" xfId="0" applyFont="1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3" fontId="0" fillId="23" borderId="59" xfId="0" applyNumberFormat="1" applyFill="1" applyBorder="1" applyAlignment="1">
      <alignment horizontal="left"/>
    </xf>
    <xf numFmtId="3" fontId="0" fillId="23" borderId="60" xfId="0" applyNumberFormat="1" applyFill="1" applyBorder="1" applyAlignment="1">
      <alignment horizontal="left"/>
    </xf>
    <xf numFmtId="3" fontId="0" fillId="23" borderId="61" xfId="0" applyNumberFormat="1" applyFill="1" applyBorder="1" applyAlignment="1">
      <alignment horizontal="left"/>
    </xf>
    <xf numFmtId="0" fontId="0" fillId="0" borderId="62" xfId="0" applyBorder="1"/>
    <xf numFmtId="0" fontId="0" fillId="0" borderId="63" xfId="0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4" xfId="0" applyFill="1" applyBorder="1"/>
    <xf numFmtId="0" fontId="3" fillId="6" borderId="65" xfId="0" applyFon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67" xfId="0" applyFill="1" applyBorder="1"/>
    <xf numFmtId="0" fontId="0" fillId="6" borderId="49" xfId="0" applyFill="1" applyBorder="1"/>
    <xf numFmtId="0" fontId="0" fillId="6" borderId="68" xfId="0" applyFill="1" applyBorder="1"/>
    <xf numFmtId="0" fontId="2" fillId="6" borderId="68" xfId="0" applyFont="1" applyFill="1" applyBorder="1"/>
    <xf numFmtId="0" fontId="0" fillId="0" borderId="67" xfId="0" applyBorder="1"/>
    <xf numFmtId="0" fontId="0" fillId="0" borderId="49" xfId="0" applyBorder="1"/>
    <xf numFmtId="0" fontId="0" fillId="0" borderId="68" xfId="0" applyBorder="1"/>
    <xf numFmtId="0" fontId="37" fillId="6" borderId="67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0" borderId="69" xfId="0" applyFont="1" applyFill="1" applyBorder="1"/>
    <xf numFmtId="0" fontId="41" fillId="20" borderId="70" xfId="0" applyFont="1" applyFill="1" applyBorder="1"/>
    <xf numFmtId="0" fontId="40" fillId="20" borderId="70" xfId="0" applyFont="1" applyFill="1" applyBorder="1"/>
    <xf numFmtId="0" fontId="40" fillId="12" borderId="70" xfId="0" applyFont="1" applyFill="1" applyBorder="1" applyAlignment="1">
      <alignment horizontal="center"/>
    </xf>
    <xf numFmtId="0" fontId="41" fillId="20" borderId="70" xfId="0" applyFont="1" applyFill="1" applyBorder="1" applyAlignment="1">
      <alignment horizontal="center"/>
    </xf>
    <xf numFmtId="0" fontId="40" fillId="15" borderId="69" xfId="0" applyFont="1" applyFill="1" applyBorder="1"/>
    <xf numFmtId="0" fontId="41" fillId="15" borderId="70" xfId="0" applyFont="1" applyFill="1" applyBorder="1"/>
    <xf numFmtId="0" fontId="40" fillId="15" borderId="70" xfId="0" applyFont="1" applyFill="1" applyBorder="1"/>
    <xf numFmtId="17" fontId="41" fillId="15" borderId="70" xfId="0" applyNumberFormat="1" applyFont="1" applyFill="1" applyBorder="1" applyAlignment="1">
      <alignment horizontal="center"/>
    </xf>
    <xf numFmtId="17" fontId="41" fillId="15" borderId="71" xfId="0" applyNumberFormat="1" applyFont="1" applyFill="1" applyBorder="1" applyAlignment="1">
      <alignment horizontal="center"/>
    </xf>
    <xf numFmtId="3" fontId="40" fillId="12" borderId="70" xfId="0" applyNumberFormat="1" applyFont="1" applyFill="1" applyBorder="1" applyAlignment="1">
      <alignment horizontal="center"/>
    </xf>
    <xf numFmtId="3" fontId="40" fillId="20" borderId="70" xfId="0" applyNumberFormat="1" applyFont="1" applyFill="1" applyBorder="1"/>
    <xf numFmtId="3" fontId="40" fillId="20" borderId="71" xfId="0" applyNumberFormat="1" applyFont="1" applyFill="1" applyBorder="1"/>
    <xf numFmtId="3" fontId="40" fillId="12" borderId="70" xfId="0" applyNumberFormat="1" applyFont="1" applyFill="1" applyBorder="1"/>
    <xf numFmtId="3" fontId="40" fillId="15" borderId="70" xfId="0" applyNumberFormat="1" applyFont="1" applyFill="1" applyBorder="1"/>
    <xf numFmtId="0" fontId="41" fillId="15" borderId="69" xfId="0" applyFont="1" applyFill="1" applyBorder="1"/>
    <xf numFmtId="0" fontId="0" fillId="15" borderId="70" xfId="0" applyFill="1" applyBorder="1"/>
    <xf numFmtId="0" fontId="39" fillId="15" borderId="71" xfId="0" applyFont="1" applyFill="1" applyBorder="1" applyAlignment="1">
      <alignment horizontal="center"/>
    </xf>
    <xf numFmtId="3" fontId="0" fillId="6" borderId="72" xfId="0" applyNumberFormat="1" applyFill="1" applyBorder="1"/>
    <xf numFmtId="0" fontId="0" fillId="15" borderId="68" xfId="0" applyFill="1" applyBorder="1"/>
    <xf numFmtId="3" fontId="8" fillId="20" borderId="68" xfId="0" applyNumberFormat="1" applyFont="1" applyFill="1" applyBorder="1"/>
    <xf numFmtId="3" fontId="8" fillId="15" borderId="72" xfId="0" applyNumberFormat="1" applyFont="1" applyFill="1" applyBorder="1"/>
    <xf numFmtId="0" fontId="39" fillId="20" borderId="68" xfId="0" applyFont="1" applyFill="1" applyBorder="1" applyAlignment="1">
      <alignment horizontal="center"/>
    </xf>
    <xf numFmtId="3" fontId="0" fillId="26" borderId="40" xfId="0" applyNumberFormat="1" applyFill="1" applyBorder="1"/>
    <xf numFmtId="0" fontId="0" fillId="26" borderId="40" xfId="0" applyFill="1" applyBorder="1"/>
    <xf numFmtId="0" fontId="38" fillId="6" borderId="0" xfId="0" applyFont="1" applyFill="1" applyAlignment="1">
      <alignment horizontal="right"/>
    </xf>
    <xf numFmtId="3" fontId="0" fillId="10" borderId="74" xfId="0" applyNumberFormat="1" applyFill="1" applyBorder="1"/>
    <xf numFmtId="3" fontId="0" fillId="10" borderId="75" xfId="0" applyNumberFormat="1" applyFill="1" applyBorder="1"/>
    <xf numFmtId="3" fontId="44" fillId="10" borderId="76" xfId="0" applyNumberFormat="1" applyFont="1" applyFill="1" applyBorder="1" applyAlignment="1">
      <alignment vertical="center"/>
    </xf>
    <xf numFmtId="3" fontId="44" fillId="10" borderId="74" xfId="0" applyNumberFormat="1" applyFont="1" applyFill="1" applyBorder="1"/>
    <xf numFmtId="3" fontId="44" fillId="10" borderId="54" xfId="0" applyNumberFormat="1" applyFont="1" applyFill="1" applyBorder="1" applyAlignment="1">
      <alignment vertical="center"/>
    </xf>
    <xf numFmtId="3" fontId="44" fillId="10" borderId="53" xfId="0" applyNumberFormat="1" applyFont="1" applyFill="1" applyBorder="1" applyAlignment="1">
      <alignment vertical="center"/>
    </xf>
    <xf numFmtId="3" fontId="44" fillId="10" borderId="52" xfId="0" applyNumberFormat="1" applyFont="1" applyFill="1" applyBorder="1"/>
    <xf numFmtId="0" fontId="0" fillId="6" borderId="77" xfId="0" applyFill="1" applyBorder="1"/>
    <xf numFmtId="3" fontId="37" fillId="6" borderId="78" xfId="0" applyNumberFormat="1" applyFont="1" applyFill="1" applyBorder="1"/>
    <xf numFmtId="0" fontId="0" fillId="6" borderId="79" xfId="0" applyFill="1" applyBorder="1"/>
    <xf numFmtId="0" fontId="0" fillId="6" borderId="80" xfId="0" applyFill="1" applyBorder="1"/>
    <xf numFmtId="0" fontId="45" fillId="6" borderId="0" xfId="3" applyFill="1" applyAlignment="1"/>
    <xf numFmtId="0" fontId="44" fillId="0" borderId="0" xfId="0" applyFont="1" applyAlignment="1">
      <alignment horizontal="left" indent="1"/>
    </xf>
    <xf numFmtId="0" fontId="44" fillId="0" borderId="0" xfId="0" applyFont="1"/>
    <xf numFmtId="3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3" fontId="44" fillId="6" borderId="0" xfId="0" applyNumberFormat="1" applyFont="1" applyFill="1" applyAlignment="1">
      <alignment horizontal="center"/>
    </xf>
    <xf numFmtId="0" fontId="44" fillId="6" borderId="0" xfId="0" applyFont="1" applyFill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2" xfId="0" applyBorder="1"/>
    <xf numFmtId="3" fontId="38" fillId="6" borderId="81" xfId="0" applyNumberFormat="1" applyFont="1" applyFill="1" applyBorder="1" applyAlignment="1">
      <alignment horizontal="center"/>
    </xf>
    <xf numFmtId="3" fontId="38" fillId="6" borderId="0" xfId="0" applyNumberFormat="1" applyFont="1" applyFill="1" applyAlignment="1">
      <alignment horizontal="center"/>
    </xf>
    <xf numFmtId="10" fontId="38" fillId="6" borderId="0" xfId="0" applyNumberFormat="1" applyFont="1" applyFill="1" applyAlignment="1">
      <alignment horizontal="center"/>
    </xf>
    <xf numFmtId="3" fontId="38" fillId="6" borderId="83" xfId="0" applyNumberFormat="1" applyFont="1" applyFill="1" applyBorder="1" applyAlignment="1">
      <alignment horizontal="center"/>
    </xf>
    <xf numFmtId="0" fontId="36" fillId="6" borderId="0" xfId="0" applyFont="1" applyFill="1" applyAlignment="1">
      <alignment horizontal="left" indent="3"/>
    </xf>
    <xf numFmtId="0" fontId="37" fillId="6" borderId="0" xfId="0" applyFont="1" applyFill="1" applyAlignment="1">
      <alignment horizontal="left" indent="5"/>
    </xf>
    <xf numFmtId="0" fontId="44" fillId="15" borderId="0" xfId="0" applyFont="1" applyFill="1" applyAlignment="1">
      <alignment horizontal="center"/>
    </xf>
    <xf numFmtId="3" fontId="0" fillId="15" borderId="0" xfId="0" applyNumberFormat="1" applyFill="1"/>
    <xf numFmtId="3" fontId="38" fillId="10" borderId="53" xfId="0" applyNumberFormat="1" applyFont="1" applyFill="1" applyBorder="1"/>
    <xf numFmtId="0" fontId="38" fillId="0" borderId="0" xfId="0" applyFont="1" applyAlignment="1">
      <alignment horizontal="left" indent="1"/>
    </xf>
    <xf numFmtId="0" fontId="38" fillId="0" borderId="0" xfId="0" applyFont="1"/>
    <xf numFmtId="3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8" fillId="6" borderId="0" xfId="0" applyFont="1" applyFill="1"/>
    <xf numFmtId="0" fontId="46" fillId="6" borderId="0" xfId="0" applyFont="1" applyFill="1"/>
    <xf numFmtId="0" fontId="38" fillId="6" borderId="0" xfId="0" applyFont="1" applyFill="1" applyAlignment="1">
      <alignment horizontal="center"/>
    </xf>
    <xf numFmtId="0" fontId="38" fillId="6" borderId="0" xfId="0" applyFont="1" applyFill="1" applyAlignment="1">
      <alignment horizontal="left" indent="1"/>
    </xf>
    <xf numFmtId="0" fontId="38" fillId="6" borderId="0" xfId="0" applyFont="1" applyFill="1" applyAlignment="1">
      <alignment horizontal="left" indent="3"/>
    </xf>
    <xf numFmtId="0" fontId="46" fillId="6" borderId="0" xfId="0" applyFont="1" applyFill="1" applyAlignment="1">
      <alignment horizontal="left"/>
    </xf>
    <xf numFmtId="0" fontId="38" fillId="0" borderId="0" xfId="0" applyFont="1" applyAlignment="1">
      <alignment horizontal="left" indent="3"/>
    </xf>
    <xf numFmtId="0" fontId="38" fillId="6" borderId="7" xfId="0" applyFont="1" applyFill="1" applyBorder="1"/>
    <xf numFmtId="3" fontId="38" fillId="6" borderId="7" xfId="0" applyNumberFormat="1" applyFont="1" applyFill="1" applyBorder="1" applyAlignment="1">
      <alignment horizontal="center"/>
    </xf>
    <xf numFmtId="0" fontId="39" fillId="20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9" fillId="20" borderId="9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center"/>
    </xf>
    <xf numFmtId="0" fontId="39" fillId="20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5" borderId="0" xfId="0" applyFont="1" applyFill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9" fontId="0" fillId="6" borderId="26" xfId="1" applyFont="1" applyFill="1" applyBorder="1" applyAlignment="1">
      <alignment horizontal="center"/>
    </xf>
    <xf numFmtId="0" fontId="0" fillId="25" borderId="0" xfId="0" applyFill="1" applyAlignment="1">
      <alignment horizontal="center"/>
    </xf>
    <xf numFmtId="0" fontId="39" fillId="20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0" fillId="3" borderId="84" xfId="0" applyFill="1" applyBorder="1" applyAlignment="1">
      <alignment horizontal="left"/>
    </xf>
    <xf numFmtId="0" fontId="0" fillId="3" borderId="85" xfId="0" applyFill="1" applyBorder="1" applyAlignment="1">
      <alignment horizontal="left"/>
    </xf>
    <xf numFmtId="0" fontId="2" fillId="25" borderId="58" xfId="0" applyFont="1" applyFill="1" applyBorder="1" applyAlignment="1">
      <alignment horizontal="center"/>
    </xf>
    <xf numFmtId="3" fontId="0" fillId="6" borderId="26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4" fillId="7" borderId="27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7" borderId="38" xfId="0" applyFont="1" applyFill="1" applyBorder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47" fillId="6" borderId="0" xfId="0" applyFont="1" applyFill="1" applyAlignment="1">
      <alignment horizontal="right"/>
    </xf>
    <xf numFmtId="3" fontId="47" fillId="6" borderId="0" xfId="0" applyNumberFormat="1" applyFont="1" applyFill="1"/>
    <xf numFmtId="3" fontId="47" fillId="6" borderId="0" xfId="0" applyNumberFormat="1" applyFont="1" applyFill="1" applyAlignment="1">
      <alignment horizontal="right"/>
    </xf>
    <xf numFmtId="0" fontId="47" fillId="6" borderId="0" xfId="0" applyFont="1" applyFill="1"/>
    <xf numFmtId="3" fontId="47" fillId="6" borderId="0" xfId="0" applyNumberFormat="1" applyFont="1" applyFill="1" applyAlignment="1">
      <alignment vertical="center"/>
    </xf>
    <xf numFmtId="3" fontId="38" fillId="6" borderId="0" xfId="0" applyNumberFormat="1" applyFont="1" applyFill="1" applyAlignment="1">
      <alignment vertical="center"/>
    </xf>
    <xf numFmtId="0" fontId="47" fillId="0" borderId="0" xfId="0" applyFont="1"/>
    <xf numFmtId="3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7" fillId="6" borderId="0" xfId="0" applyNumberFormat="1" applyFont="1" applyFill="1" applyAlignment="1">
      <alignment horizontal="center"/>
    </xf>
    <xf numFmtId="3" fontId="47" fillId="6" borderId="0" xfId="0" applyNumberFormat="1" applyFont="1" applyFill="1" applyAlignment="1">
      <alignment horizontal="center" vertical="center"/>
    </xf>
    <xf numFmtId="3" fontId="38" fillId="6" borderId="0" xfId="0" applyNumberFormat="1" applyFont="1" applyFill="1" applyAlignment="1">
      <alignment horizontal="center" vertical="center"/>
    </xf>
    <xf numFmtId="3" fontId="44" fillId="6" borderId="0" xfId="0" applyNumberFormat="1" applyFont="1" applyFill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3" fontId="38" fillId="6" borderId="7" xfId="0" applyNumberFormat="1" applyFont="1" applyFill="1" applyBorder="1" applyAlignment="1">
      <alignment horizontal="center" vertical="center"/>
    </xf>
    <xf numFmtId="3" fontId="44" fillId="6" borderId="7" xfId="0" applyNumberFormat="1" applyFont="1" applyFill="1" applyBorder="1" applyAlignment="1">
      <alignment horizontal="center" vertical="center"/>
    </xf>
    <xf numFmtId="0" fontId="47" fillId="6" borderId="0" xfId="0" applyFont="1" applyFill="1" applyAlignment="1">
      <alignment horizontal="center" vertical="center"/>
    </xf>
    <xf numFmtId="1" fontId="47" fillId="6" borderId="0" xfId="0" applyNumberFormat="1" applyFont="1" applyFill="1" applyAlignment="1">
      <alignment horizontal="center" vertical="center"/>
    </xf>
    <xf numFmtId="3" fontId="47" fillId="0" borderId="0" xfId="0" applyNumberFormat="1" applyFont="1"/>
    <xf numFmtId="3" fontId="47" fillId="0" borderId="0" xfId="0" applyNumberFormat="1" applyFont="1" applyAlignment="1">
      <alignment horizontal="right"/>
    </xf>
    <xf numFmtId="3" fontId="38" fillId="0" borderId="55" xfId="0" applyNumberFormat="1" applyFont="1" applyBorder="1"/>
    <xf numFmtId="3" fontId="37" fillId="6" borderId="0" xfId="0" applyNumberFormat="1" applyFont="1" applyFill="1" applyAlignment="1">
      <alignment horizontal="center" vertical="center"/>
    </xf>
    <xf numFmtId="4" fontId="38" fillId="6" borderId="0" xfId="0" applyNumberFormat="1" applyFont="1" applyFill="1"/>
    <xf numFmtId="0" fontId="38" fillId="2" borderId="0" xfId="0" applyFont="1" applyFill="1" applyAlignment="1">
      <alignment horizontal="left" indent="1"/>
    </xf>
    <xf numFmtId="0" fontId="38" fillId="2" borderId="0" xfId="0" applyFont="1" applyFill="1"/>
    <xf numFmtId="3" fontId="38" fillId="2" borderId="0" xfId="0" applyNumberFormat="1" applyFont="1" applyFill="1" applyAlignment="1">
      <alignment horizontal="center"/>
    </xf>
    <xf numFmtId="3" fontId="38" fillId="2" borderId="0" xfId="0" applyNumberFormat="1" applyFont="1" applyFill="1"/>
    <xf numFmtId="3" fontId="38" fillId="6" borderId="7" xfId="0" applyNumberFormat="1" applyFont="1" applyFill="1" applyBorder="1"/>
    <xf numFmtId="3" fontId="47" fillId="6" borderId="55" xfId="0" applyNumberFormat="1" applyFont="1" applyFill="1" applyBorder="1" applyAlignment="1">
      <alignment horizontal="center"/>
    </xf>
    <xf numFmtId="1" fontId="38" fillId="2" borderId="0" xfId="0" applyNumberFormat="1" applyFont="1" applyFill="1"/>
    <xf numFmtId="3" fontId="47" fillId="6" borderId="55" xfId="0" applyNumberFormat="1" applyFont="1" applyFill="1" applyBorder="1"/>
    <xf numFmtId="0" fontId="46" fillId="6" borderId="0" xfId="0" applyFont="1" applyFill="1" applyAlignment="1">
      <alignment horizontal="left" indent="3"/>
    </xf>
    <xf numFmtId="0" fontId="38" fillId="6" borderId="0" xfId="0" applyFont="1" applyFill="1" applyAlignment="1">
      <alignment horizontal="left" indent="5"/>
    </xf>
    <xf numFmtId="17" fontId="39" fillId="20" borderId="0" xfId="0" applyNumberFormat="1" applyFont="1" applyFill="1" applyAlignment="1">
      <alignment horizontal="center" vertical="center"/>
    </xf>
    <xf numFmtId="0" fontId="48" fillId="5" borderId="16" xfId="0" applyFont="1" applyFill="1" applyBorder="1"/>
    <xf numFmtId="0" fontId="0" fillId="5" borderId="40" xfId="0" applyFill="1" applyBorder="1"/>
    <xf numFmtId="0" fontId="39" fillId="13" borderId="58" xfId="0" applyFont="1" applyFill="1" applyBorder="1" applyAlignment="1">
      <alignment horizontal="center"/>
    </xf>
    <xf numFmtId="0" fontId="0" fillId="10" borderId="0" xfId="0" applyFill="1"/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colors>
    <mruColors>
      <color rgb="FFD46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2023'!$E$44:$I$44</c:f>
              <c:numCache>
                <c:formatCode>#,##0</c:formatCode>
                <c:ptCount val="5"/>
                <c:pt idx="0">
                  <c:v>25770</c:v>
                </c:pt>
                <c:pt idx="1">
                  <c:v>27986</c:v>
                </c:pt>
                <c:pt idx="2">
                  <c:v>25770</c:v>
                </c:pt>
                <c:pt idx="3">
                  <c:v>25770</c:v>
                </c:pt>
                <c:pt idx="4">
                  <c:v>25770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2023'!$E$56:$I$56</c:f>
              <c:numCache>
                <c:formatCode>#,##0</c:formatCode>
                <c:ptCount val="5"/>
                <c:pt idx="0">
                  <c:v>17644</c:v>
                </c:pt>
                <c:pt idx="1">
                  <c:v>19860</c:v>
                </c:pt>
                <c:pt idx="2">
                  <c:v>17644</c:v>
                </c:pt>
                <c:pt idx="3">
                  <c:v>17644</c:v>
                </c:pt>
                <c:pt idx="4">
                  <c:v>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2023'!$E$63:$I$63</c:f>
              <c:numCache>
                <c:formatCode>#,##0</c:formatCode>
                <c:ptCount val="5"/>
                <c:pt idx="0">
                  <c:v>14457.4</c:v>
                </c:pt>
                <c:pt idx="1">
                  <c:v>16258</c:v>
                </c:pt>
                <c:pt idx="2">
                  <c:v>13734</c:v>
                </c:pt>
                <c:pt idx="3">
                  <c:v>14466.4</c:v>
                </c:pt>
                <c:pt idx="4">
                  <c:v>14475.2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2023'!$K$44:$V$44</c:f>
              <c:numCache>
                <c:formatCode>#,##0</c:formatCode>
                <c:ptCount val="12"/>
                <c:pt idx="0">
                  <c:v>26073</c:v>
                </c:pt>
                <c:pt idx="1">
                  <c:v>26884</c:v>
                </c:pt>
                <c:pt idx="2">
                  <c:v>28397</c:v>
                </c:pt>
                <c:pt idx="3">
                  <c:v>28836</c:v>
                </c:pt>
                <c:pt idx="4">
                  <c:v>32299</c:v>
                </c:pt>
                <c:pt idx="5">
                  <c:v>33783</c:v>
                </c:pt>
                <c:pt idx="6">
                  <c:v>35998</c:v>
                </c:pt>
                <c:pt idx="7">
                  <c:v>35921</c:v>
                </c:pt>
                <c:pt idx="8">
                  <c:v>31485</c:v>
                </c:pt>
                <c:pt idx="9">
                  <c:v>27284</c:v>
                </c:pt>
                <c:pt idx="10">
                  <c:v>27086</c:v>
                </c:pt>
                <c:pt idx="11">
                  <c:v>25770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2023'!$K$56:$V$56</c:f>
              <c:numCache>
                <c:formatCode>#,##0</c:formatCode>
                <c:ptCount val="12"/>
                <c:pt idx="0">
                  <c:v>17947</c:v>
                </c:pt>
                <c:pt idx="1">
                  <c:v>18758</c:v>
                </c:pt>
                <c:pt idx="2">
                  <c:v>20271</c:v>
                </c:pt>
                <c:pt idx="3">
                  <c:v>20710</c:v>
                </c:pt>
                <c:pt idx="4">
                  <c:v>24173</c:v>
                </c:pt>
                <c:pt idx="5">
                  <c:v>25657</c:v>
                </c:pt>
                <c:pt idx="6">
                  <c:v>27872</c:v>
                </c:pt>
                <c:pt idx="7">
                  <c:v>27795</c:v>
                </c:pt>
                <c:pt idx="8">
                  <c:v>23359</c:v>
                </c:pt>
                <c:pt idx="9">
                  <c:v>19158</c:v>
                </c:pt>
                <c:pt idx="10">
                  <c:v>18960</c:v>
                </c:pt>
                <c:pt idx="11">
                  <c:v>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2023'!$K$63:$V$63</c:f>
              <c:numCache>
                <c:formatCode>#,##0</c:formatCode>
                <c:ptCount val="12"/>
                <c:pt idx="0">
                  <c:v>17947</c:v>
                </c:pt>
                <c:pt idx="1">
                  <c:v>15348.6</c:v>
                </c:pt>
                <c:pt idx="2">
                  <c:v>16559</c:v>
                </c:pt>
                <c:pt idx="3">
                  <c:v>16910.2</c:v>
                </c:pt>
                <c:pt idx="4">
                  <c:v>19680.599999999999</c:v>
                </c:pt>
                <c:pt idx="5">
                  <c:v>20867.8</c:v>
                </c:pt>
                <c:pt idx="6">
                  <c:v>22639.8</c:v>
                </c:pt>
                <c:pt idx="7">
                  <c:v>22578.2</c:v>
                </c:pt>
                <c:pt idx="8">
                  <c:v>19029.400000000001</c:v>
                </c:pt>
                <c:pt idx="9">
                  <c:v>15668.6</c:v>
                </c:pt>
                <c:pt idx="10">
                  <c:v>15510.2</c:v>
                </c:pt>
                <c:pt idx="11">
                  <c:v>14457.4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12762</c:v>
                </c:pt>
                <c:pt idx="1">
                  <c:v>30423.656542056073</c:v>
                </c:pt>
                <c:pt idx="2">
                  <c:v>47635.656542056073</c:v>
                </c:pt>
                <c:pt idx="3">
                  <c:v>33415.656542056073</c:v>
                </c:pt>
                <c:pt idx="4">
                  <c:v>33415.656542056073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-5500</c:v>
                </c:pt>
                <c:pt idx="1">
                  <c:v>-5500</c:v>
                </c:pt>
                <c:pt idx="2">
                  <c:v>-5500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12762</c:v>
                </c:pt>
                <c:pt idx="1">
                  <c:v>30423.656542056073</c:v>
                </c:pt>
                <c:pt idx="2">
                  <c:v>47635.656542056073</c:v>
                </c:pt>
                <c:pt idx="3">
                  <c:v>33415.656542056073</c:v>
                </c:pt>
                <c:pt idx="4">
                  <c:v>33415.656542056073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20024</c:v>
                </c:pt>
                <c:pt idx="1">
                  <c:v>55347.313084112146</c:v>
                </c:pt>
                <c:pt idx="2">
                  <c:v>89771.313084112146</c:v>
                </c:pt>
                <c:pt idx="3">
                  <c:v>66831.313084112146</c:v>
                </c:pt>
                <c:pt idx="4">
                  <c:v>66831.313084112146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2023'!$K$8:$V$8</c:f>
              <c:numCache>
                <c:formatCode>#,##0</c:formatCode>
                <c:ptCount val="12"/>
                <c:pt idx="0">
                  <c:v>11443</c:v>
                </c:pt>
                <c:pt idx="1">
                  <c:v>11548</c:v>
                </c:pt>
                <c:pt idx="2">
                  <c:v>11811</c:v>
                </c:pt>
                <c:pt idx="3">
                  <c:v>12095</c:v>
                </c:pt>
                <c:pt idx="4">
                  <c:v>12506</c:v>
                </c:pt>
                <c:pt idx="5">
                  <c:v>13045</c:v>
                </c:pt>
                <c:pt idx="6">
                  <c:v>14999</c:v>
                </c:pt>
                <c:pt idx="7">
                  <c:v>14999</c:v>
                </c:pt>
                <c:pt idx="8">
                  <c:v>14999</c:v>
                </c:pt>
                <c:pt idx="9">
                  <c:v>14210</c:v>
                </c:pt>
                <c:pt idx="10">
                  <c:v>14088</c:v>
                </c:pt>
                <c:pt idx="11">
                  <c:v>12762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2023'!$K$11:$V$11</c:f>
              <c:numCache>
                <c:formatCode>#,##0</c:formatCode>
                <c:ptCount val="12"/>
                <c:pt idx="0">
                  <c:v>250000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2023'!$K$15:$V$15</c:f>
              <c:numCache>
                <c:formatCode>#,##0</c:formatCode>
                <c:ptCount val="12"/>
                <c:pt idx="0">
                  <c:v>0</c:v>
                </c:pt>
                <c:pt idx="1">
                  <c:v>-5500</c:v>
                </c:pt>
                <c:pt idx="2">
                  <c:v>-5500</c:v>
                </c:pt>
                <c:pt idx="3">
                  <c:v>-5500</c:v>
                </c:pt>
                <c:pt idx="4">
                  <c:v>-5500</c:v>
                </c:pt>
                <c:pt idx="5">
                  <c:v>-5500</c:v>
                </c:pt>
                <c:pt idx="6">
                  <c:v>-5500</c:v>
                </c:pt>
                <c:pt idx="7">
                  <c:v>-5500</c:v>
                </c:pt>
                <c:pt idx="8">
                  <c:v>-5500</c:v>
                </c:pt>
                <c:pt idx="9">
                  <c:v>-5500</c:v>
                </c:pt>
                <c:pt idx="10">
                  <c:v>-5500</c:v>
                </c:pt>
                <c:pt idx="11">
                  <c:v>-5500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2023'!$K$16:$V$16</c:f>
              <c:numCache>
                <c:formatCode>#,##0</c:formatCode>
                <c:ptCount val="12"/>
                <c:pt idx="0">
                  <c:v>250000</c:v>
                </c:pt>
                <c:pt idx="1">
                  <c:v>11548</c:v>
                </c:pt>
                <c:pt idx="2">
                  <c:v>11811</c:v>
                </c:pt>
                <c:pt idx="3">
                  <c:v>12095</c:v>
                </c:pt>
                <c:pt idx="4">
                  <c:v>12506</c:v>
                </c:pt>
                <c:pt idx="5">
                  <c:v>13045</c:v>
                </c:pt>
                <c:pt idx="6">
                  <c:v>14999</c:v>
                </c:pt>
                <c:pt idx="7">
                  <c:v>14999</c:v>
                </c:pt>
                <c:pt idx="8">
                  <c:v>14999</c:v>
                </c:pt>
                <c:pt idx="9">
                  <c:v>14210</c:v>
                </c:pt>
                <c:pt idx="10">
                  <c:v>14088</c:v>
                </c:pt>
                <c:pt idx="11">
                  <c:v>12762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2023'!$K$17:$V$17</c:f>
              <c:numCache>
                <c:formatCode>#,##0</c:formatCode>
                <c:ptCount val="12"/>
                <c:pt idx="0">
                  <c:v>37191</c:v>
                </c:pt>
                <c:pt idx="1">
                  <c:v>17596</c:v>
                </c:pt>
                <c:pt idx="2">
                  <c:v>18122</c:v>
                </c:pt>
                <c:pt idx="3">
                  <c:v>18690</c:v>
                </c:pt>
                <c:pt idx="4">
                  <c:v>19512</c:v>
                </c:pt>
                <c:pt idx="5">
                  <c:v>20590</c:v>
                </c:pt>
                <c:pt idx="6">
                  <c:v>24498</c:v>
                </c:pt>
                <c:pt idx="7">
                  <c:v>24498</c:v>
                </c:pt>
                <c:pt idx="8">
                  <c:v>24498</c:v>
                </c:pt>
                <c:pt idx="9">
                  <c:v>22920</c:v>
                </c:pt>
                <c:pt idx="10">
                  <c:v>22676</c:v>
                </c:pt>
                <c:pt idx="11">
                  <c:v>20024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2023'!$K$86:$V$86</c:f>
              <c:numCache>
                <c:formatCode>#,##0</c:formatCode>
                <c:ptCount val="12"/>
                <c:pt idx="0">
                  <c:v>25748</c:v>
                </c:pt>
                <c:pt idx="1">
                  <c:v>31872.6</c:v>
                </c:pt>
                <c:pt idx="2">
                  <c:v>39182.6</c:v>
                </c:pt>
                <c:pt idx="3">
                  <c:v>47218.799999999996</c:v>
                </c:pt>
                <c:pt idx="4">
                  <c:v>57800.399999999994</c:v>
                </c:pt>
                <c:pt idx="5">
                  <c:v>69844.2</c:v>
                </c:pt>
                <c:pt idx="6">
                  <c:v>83935</c:v>
                </c:pt>
                <c:pt idx="7">
                  <c:v>98239.2</c:v>
                </c:pt>
                <c:pt idx="8">
                  <c:v>109269.59999999999</c:v>
                </c:pt>
                <c:pt idx="9">
                  <c:v>117214.2</c:v>
                </c:pt>
                <c:pt idx="10">
                  <c:v>125275.4</c:v>
                </c:pt>
                <c:pt idx="11">
                  <c:v>132558.79999999999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2023'!$K$89:$V$89</c:f>
              <c:numCache>
                <c:formatCode>#,##0</c:formatCode>
                <c:ptCount val="12"/>
                <c:pt idx="1">
                  <c:v>-3409.4</c:v>
                </c:pt>
                <c:pt idx="2">
                  <c:v>-3712</c:v>
                </c:pt>
                <c:pt idx="3">
                  <c:v>-3799.8</c:v>
                </c:pt>
                <c:pt idx="4">
                  <c:v>-4492.4000000000005</c:v>
                </c:pt>
                <c:pt idx="5">
                  <c:v>-4789.2</c:v>
                </c:pt>
                <c:pt idx="6">
                  <c:v>-5232.2000000000007</c:v>
                </c:pt>
                <c:pt idx="7">
                  <c:v>-5216.8</c:v>
                </c:pt>
                <c:pt idx="8">
                  <c:v>-4329.6000000000004</c:v>
                </c:pt>
                <c:pt idx="9">
                  <c:v>-3489.4</c:v>
                </c:pt>
                <c:pt idx="10">
                  <c:v>-3449.8</c:v>
                </c:pt>
                <c:pt idx="11">
                  <c:v>-3186.6000000000004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2023'!$K$88:$V$88</c:f>
              <c:numCache>
                <c:formatCode>#,##0</c:formatCode>
                <c:ptCount val="12"/>
                <c:pt idx="0">
                  <c:v>277459</c:v>
                </c:pt>
                <c:pt idx="1">
                  <c:v>285294.59999999998</c:v>
                </c:pt>
                <c:pt idx="2">
                  <c:v>294315.59999999998</c:v>
                </c:pt>
                <c:pt idx="3">
                  <c:v>304062.8</c:v>
                </c:pt>
                <c:pt idx="4">
                  <c:v>316355.40000000002</c:v>
                </c:pt>
                <c:pt idx="5">
                  <c:v>330110.2</c:v>
                </c:pt>
                <c:pt idx="6">
                  <c:v>345912</c:v>
                </c:pt>
                <c:pt idx="7">
                  <c:v>361927.2</c:v>
                </c:pt>
                <c:pt idx="8">
                  <c:v>374668.6</c:v>
                </c:pt>
                <c:pt idx="9">
                  <c:v>384324.2</c:v>
                </c:pt>
                <c:pt idx="10">
                  <c:v>394096.4</c:v>
                </c:pt>
                <c:pt idx="11">
                  <c:v>403090.8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2023'!$K$92:$V$92</c:f>
              <c:numCache>
                <c:formatCode>#,##0</c:formatCode>
                <c:ptCount val="12"/>
                <c:pt idx="0">
                  <c:v>27459</c:v>
                </c:pt>
                <c:pt idx="1">
                  <c:v>37385.199999999983</c:v>
                </c:pt>
                <c:pt idx="2">
                  <c:v>51603.599999999977</c:v>
                </c:pt>
                <c:pt idx="3">
                  <c:v>66763</c:v>
                </c:pt>
                <c:pt idx="4">
                  <c:v>83863.000000000029</c:v>
                </c:pt>
                <c:pt idx="5">
                  <c:v>102821</c:v>
                </c:pt>
                <c:pt idx="6">
                  <c:v>123679.79999999999</c:v>
                </c:pt>
                <c:pt idx="7">
                  <c:v>145210.40000000002</c:v>
                </c:pt>
                <c:pt idx="8">
                  <c:v>164338.99999999997</c:v>
                </c:pt>
                <c:pt idx="9">
                  <c:v>180334.80000000002</c:v>
                </c:pt>
                <c:pt idx="10">
                  <c:v>195646.60000000003</c:v>
                </c:pt>
                <c:pt idx="11">
                  <c:v>210404.19999999998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2023'!$K$93:$V$93</c:f>
              <c:numCache>
                <c:formatCode>#,##0</c:formatCode>
                <c:ptCount val="12"/>
                <c:pt idx="0">
                  <c:v>25748</c:v>
                </c:pt>
                <c:pt idx="1">
                  <c:v>31872.6</c:v>
                </c:pt>
                <c:pt idx="2">
                  <c:v>39182.6</c:v>
                </c:pt>
                <c:pt idx="3">
                  <c:v>47218.799999999996</c:v>
                </c:pt>
                <c:pt idx="4">
                  <c:v>57800.399999999994</c:v>
                </c:pt>
                <c:pt idx="5">
                  <c:v>69844.2</c:v>
                </c:pt>
                <c:pt idx="6">
                  <c:v>83935</c:v>
                </c:pt>
                <c:pt idx="7">
                  <c:v>98239.2</c:v>
                </c:pt>
                <c:pt idx="8">
                  <c:v>109269.59999999999</c:v>
                </c:pt>
                <c:pt idx="9">
                  <c:v>117214.2</c:v>
                </c:pt>
                <c:pt idx="10">
                  <c:v>125275.4</c:v>
                </c:pt>
                <c:pt idx="11">
                  <c:v>132558.79999999999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132558.79999999999</c:v>
                </c:pt>
                <c:pt idx="1">
                  <c:v>405541.71787996864</c:v>
                </c:pt>
                <c:pt idx="2">
                  <c:v>711191.8304843161</c:v>
                </c:pt>
                <c:pt idx="3">
                  <c:v>1023265.343088664</c:v>
                </c:pt>
                <c:pt idx="4">
                  <c:v>1399460.2556930115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-3186.6000000000004</c:v>
                </c:pt>
                <c:pt idx="1">
                  <c:v>-3602</c:v>
                </c:pt>
                <c:pt idx="2">
                  <c:v>-3910</c:v>
                </c:pt>
                <c:pt idx="3">
                  <c:v>-3177.6000000000004</c:v>
                </c:pt>
                <c:pt idx="4">
                  <c:v>-3168.8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403090.8</c:v>
                </c:pt>
                <c:pt idx="1">
                  <c:v>693873.7178799687</c:v>
                </c:pt>
                <c:pt idx="2">
                  <c:v>1020672.8304843161</c:v>
                </c:pt>
                <c:pt idx="3">
                  <c:v>1354283.3430886641</c:v>
                </c:pt>
                <c:pt idx="4">
                  <c:v>1751860.2556930115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210404.19999999998</c:v>
                </c:pt>
                <c:pt idx="1">
                  <c:v>566771.7178799687</c:v>
                </c:pt>
                <c:pt idx="2">
                  <c:v>901762.8304843161</c:v>
                </c:pt>
                <c:pt idx="3">
                  <c:v>1351105.743088664</c:v>
                </c:pt>
                <c:pt idx="4">
                  <c:v>1748691.4556930114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132558.79999999999</c:v>
                </c:pt>
                <c:pt idx="1">
                  <c:v>405541.71787996864</c:v>
                </c:pt>
                <c:pt idx="2">
                  <c:v>711191.8304843161</c:v>
                </c:pt>
                <c:pt idx="3">
                  <c:v>1023265.343088664</c:v>
                </c:pt>
                <c:pt idx="4">
                  <c:v>1399460.2556930115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2024'!$E$45:$I$45</c:f>
              <c:numCache>
                <c:formatCode>#,##0</c:formatCode>
                <c:ptCount val="5"/>
                <c:pt idx="0">
                  <c:v>25770</c:v>
                </c:pt>
                <c:pt idx="1">
                  <c:v>27986</c:v>
                </c:pt>
                <c:pt idx="2">
                  <c:v>25770</c:v>
                </c:pt>
                <c:pt idx="3">
                  <c:v>25770</c:v>
                </c:pt>
                <c:pt idx="4">
                  <c:v>25770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2024'!$E$57:$I$57</c:f>
              <c:numCache>
                <c:formatCode>#,##0</c:formatCode>
                <c:ptCount val="5"/>
                <c:pt idx="0">
                  <c:v>17644</c:v>
                </c:pt>
                <c:pt idx="1">
                  <c:v>19860</c:v>
                </c:pt>
                <c:pt idx="2">
                  <c:v>17644</c:v>
                </c:pt>
                <c:pt idx="3">
                  <c:v>17644</c:v>
                </c:pt>
                <c:pt idx="4">
                  <c:v>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2024'!$E$64:$I$64</c:f>
              <c:numCache>
                <c:formatCode>#,##0</c:formatCode>
                <c:ptCount val="5"/>
                <c:pt idx="0">
                  <c:v>14457.4</c:v>
                </c:pt>
                <c:pt idx="1">
                  <c:v>16258</c:v>
                </c:pt>
                <c:pt idx="2">
                  <c:v>13734</c:v>
                </c:pt>
                <c:pt idx="3">
                  <c:v>14466.4</c:v>
                </c:pt>
                <c:pt idx="4">
                  <c:v>14475.2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2024'!$K$45:$V$45</c:f>
              <c:numCache>
                <c:formatCode>#,##0</c:formatCode>
                <c:ptCount val="12"/>
                <c:pt idx="0">
                  <c:v>27109</c:v>
                </c:pt>
                <c:pt idx="1">
                  <c:v>28308</c:v>
                </c:pt>
                <c:pt idx="2">
                  <c:v>29390</c:v>
                </c:pt>
                <c:pt idx="3">
                  <c:v>29809</c:v>
                </c:pt>
                <c:pt idx="4">
                  <c:v>32510</c:v>
                </c:pt>
                <c:pt idx="5">
                  <c:v>33783</c:v>
                </c:pt>
                <c:pt idx="6">
                  <c:v>34421</c:v>
                </c:pt>
                <c:pt idx="7">
                  <c:v>34685</c:v>
                </c:pt>
                <c:pt idx="8">
                  <c:v>30698</c:v>
                </c:pt>
                <c:pt idx="9">
                  <c:v>29655</c:v>
                </c:pt>
                <c:pt idx="10">
                  <c:v>29739</c:v>
                </c:pt>
                <c:pt idx="11">
                  <c:v>27986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2024'!$K$57:$V$57</c:f>
              <c:numCache>
                <c:formatCode>#,##0</c:formatCode>
                <c:ptCount val="12"/>
                <c:pt idx="0">
                  <c:v>18983</c:v>
                </c:pt>
                <c:pt idx="1">
                  <c:v>20182</c:v>
                </c:pt>
                <c:pt idx="2">
                  <c:v>21264</c:v>
                </c:pt>
                <c:pt idx="3">
                  <c:v>21683</c:v>
                </c:pt>
                <c:pt idx="4">
                  <c:v>24384</c:v>
                </c:pt>
                <c:pt idx="5">
                  <c:v>25657</c:v>
                </c:pt>
                <c:pt idx="6">
                  <c:v>26295</c:v>
                </c:pt>
                <c:pt idx="7">
                  <c:v>26559</c:v>
                </c:pt>
                <c:pt idx="8">
                  <c:v>22572</c:v>
                </c:pt>
                <c:pt idx="9">
                  <c:v>21529</c:v>
                </c:pt>
                <c:pt idx="10">
                  <c:v>21613</c:v>
                </c:pt>
                <c:pt idx="11">
                  <c:v>19860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2024'!$K$64:$V$64</c:f>
              <c:numCache>
                <c:formatCode>#,##0</c:formatCode>
                <c:ptCount val="12"/>
                <c:pt idx="0">
                  <c:v>15476.4</c:v>
                </c:pt>
                <c:pt idx="1">
                  <c:v>16435.599999999999</c:v>
                </c:pt>
                <c:pt idx="2">
                  <c:v>17301.2</c:v>
                </c:pt>
                <c:pt idx="3">
                  <c:v>17636.400000000001</c:v>
                </c:pt>
                <c:pt idx="4">
                  <c:v>19797.2</c:v>
                </c:pt>
                <c:pt idx="5">
                  <c:v>20815.599999999999</c:v>
                </c:pt>
                <c:pt idx="6">
                  <c:v>21326</c:v>
                </c:pt>
                <c:pt idx="7">
                  <c:v>21537.200000000001</c:v>
                </c:pt>
                <c:pt idx="8">
                  <c:v>18347.599999999999</c:v>
                </c:pt>
                <c:pt idx="9">
                  <c:v>17513.2</c:v>
                </c:pt>
                <c:pt idx="10">
                  <c:v>17580.400000000001</c:v>
                </c:pt>
                <c:pt idx="11">
                  <c:v>16258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12762</c:v>
                </c:pt>
                <c:pt idx="1">
                  <c:v>30423.656542056073</c:v>
                </c:pt>
                <c:pt idx="2">
                  <c:v>47635.656542056073</c:v>
                </c:pt>
                <c:pt idx="3">
                  <c:v>33415.656542056073</c:v>
                </c:pt>
                <c:pt idx="4">
                  <c:v>33415.656542056073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-5500</c:v>
                </c:pt>
                <c:pt idx="1">
                  <c:v>-5500</c:v>
                </c:pt>
                <c:pt idx="2">
                  <c:v>-5500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12762</c:v>
                </c:pt>
                <c:pt idx="1">
                  <c:v>30423.656542056073</c:v>
                </c:pt>
                <c:pt idx="2">
                  <c:v>47635.656542056073</c:v>
                </c:pt>
                <c:pt idx="3">
                  <c:v>33415.656542056073</c:v>
                </c:pt>
                <c:pt idx="4">
                  <c:v>33415.656542056073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20024</c:v>
                </c:pt>
                <c:pt idx="1">
                  <c:v>55347.313084112146</c:v>
                </c:pt>
                <c:pt idx="2">
                  <c:v>89771.313084112146</c:v>
                </c:pt>
                <c:pt idx="3">
                  <c:v>66831.313084112146</c:v>
                </c:pt>
                <c:pt idx="4">
                  <c:v>66831.313084112146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14077.4</c:v>
                </c:pt>
                <c:pt idx="1">
                  <c:v>26549.53047034765</c:v>
                </c:pt>
                <c:pt idx="2">
                  <c:v>26872.111542610572</c:v>
                </c:pt>
                <c:pt idx="3">
                  <c:v>26445.217976852546</c:v>
                </c:pt>
                <c:pt idx="4">
                  <c:v>27002.038576889154</c:v>
                </c:pt>
                <c:pt idx="5">
                  <c:v>28100.42959326788</c:v>
                </c:pt>
                <c:pt idx="6">
                  <c:v>29001.815501149737</c:v>
                </c:pt>
                <c:pt idx="7">
                  <c:v>29906.026058113308</c:v>
                </c:pt>
                <c:pt idx="8">
                  <c:v>31876.426265741451</c:v>
                </c:pt>
                <c:pt idx="9">
                  <c:v>33608.045962423785</c:v>
                </c:pt>
                <c:pt idx="10">
                  <c:v>35120.219390516533</c:v>
                </c:pt>
                <c:pt idx="11">
                  <c:v>30423.656542056073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-5500</c:v>
                </c:pt>
                <c:pt idx="2">
                  <c:v>-5500</c:v>
                </c:pt>
                <c:pt idx="3">
                  <c:v>-5500</c:v>
                </c:pt>
                <c:pt idx="4">
                  <c:v>-5500</c:v>
                </c:pt>
                <c:pt idx="5">
                  <c:v>-5500</c:v>
                </c:pt>
                <c:pt idx="6">
                  <c:v>-5500</c:v>
                </c:pt>
                <c:pt idx="7">
                  <c:v>-5500</c:v>
                </c:pt>
                <c:pt idx="8">
                  <c:v>-5500</c:v>
                </c:pt>
                <c:pt idx="9">
                  <c:v>-5500</c:v>
                </c:pt>
                <c:pt idx="10">
                  <c:v>-5500</c:v>
                </c:pt>
                <c:pt idx="11">
                  <c:v>-5500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14077.4</c:v>
                </c:pt>
                <c:pt idx="1">
                  <c:v>26549.53047034765</c:v>
                </c:pt>
                <c:pt idx="2">
                  <c:v>26872.111542610572</c:v>
                </c:pt>
                <c:pt idx="3">
                  <c:v>26445.217976852546</c:v>
                </c:pt>
                <c:pt idx="4">
                  <c:v>27002.038576889154</c:v>
                </c:pt>
                <c:pt idx="5">
                  <c:v>28100.42959326788</c:v>
                </c:pt>
                <c:pt idx="6">
                  <c:v>29001.815501149737</c:v>
                </c:pt>
                <c:pt idx="7">
                  <c:v>29906.026058113308</c:v>
                </c:pt>
                <c:pt idx="8">
                  <c:v>31876.426265741451</c:v>
                </c:pt>
                <c:pt idx="9">
                  <c:v>33608.045962423785</c:v>
                </c:pt>
                <c:pt idx="10">
                  <c:v>35120.219390516533</c:v>
                </c:pt>
                <c:pt idx="11">
                  <c:v>30423.656542056073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22654.800000000003</c:v>
                </c:pt>
                <c:pt idx="1">
                  <c:v>47599.060940695301</c:v>
                </c:pt>
                <c:pt idx="2">
                  <c:v>48244.223085221136</c:v>
                </c:pt>
                <c:pt idx="3">
                  <c:v>47390.435953705091</c:v>
                </c:pt>
                <c:pt idx="4">
                  <c:v>48504.0771537783</c:v>
                </c:pt>
                <c:pt idx="5">
                  <c:v>50700.859186535759</c:v>
                </c:pt>
                <c:pt idx="6">
                  <c:v>52503.631002299473</c:v>
                </c:pt>
                <c:pt idx="7">
                  <c:v>54312.052116226609</c:v>
                </c:pt>
                <c:pt idx="8">
                  <c:v>58252.852531482895</c:v>
                </c:pt>
                <c:pt idx="9">
                  <c:v>61716.091924847569</c:v>
                </c:pt>
                <c:pt idx="10">
                  <c:v>64740.438781033074</c:v>
                </c:pt>
                <c:pt idx="11">
                  <c:v>55347.313084112146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132558.79999999999</c:v>
                </c:pt>
                <c:pt idx="1">
                  <c:v>405541.71787996864</c:v>
                </c:pt>
                <c:pt idx="2">
                  <c:v>711191.8304843161</c:v>
                </c:pt>
                <c:pt idx="3">
                  <c:v>1023265.343088664</c:v>
                </c:pt>
                <c:pt idx="4">
                  <c:v>1399460.2556930115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-3186.6000000000004</c:v>
                </c:pt>
                <c:pt idx="1">
                  <c:v>-3602</c:v>
                </c:pt>
                <c:pt idx="2">
                  <c:v>-3910</c:v>
                </c:pt>
                <c:pt idx="3">
                  <c:v>-3177.6000000000004</c:v>
                </c:pt>
                <c:pt idx="4">
                  <c:v>-3168.8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403090.8</c:v>
                </c:pt>
                <c:pt idx="1">
                  <c:v>693873.7178799687</c:v>
                </c:pt>
                <c:pt idx="2">
                  <c:v>1020672.8304843161</c:v>
                </c:pt>
                <c:pt idx="3">
                  <c:v>1354283.3430886641</c:v>
                </c:pt>
                <c:pt idx="4">
                  <c:v>1751860.2556930115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210404.19999999998</c:v>
                </c:pt>
                <c:pt idx="1">
                  <c:v>566771.7178799687</c:v>
                </c:pt>
                <c:pt idx="2">
                  <c:v>901762.8304843161</c:v>
                </c:pt>
                <c:pt idx="3">
                  <c:v>1351105.743088664</c:v>
                </c:pt>
                <c:pt idx="4">
                  <c:v>1748691.4556930114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132558.79999999999</c:v>
                </c:pt>
                <c:pt idx="1">
                  <c:v>405541.71787996864</c:v>
                </c:pt>
                <c:pt idx="2">
                  <c:v>711191.8304843161</c:v>
                </c:pt>
                <c:pt idx="3">
                  <c:v>1023265.343088664</c:v>
                </c:pt>
                <c:pt idx="4">
                  <c:v>1399460.2556930115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2024'!$K$88:$V$88</c:f>
              <c:numCache>
                <c:formatCode>#,##0</c:formatCode>
                <c:ptCount val="12"/>
                <c:pt idx="0">
                  <c:v>141136.19999999998</c:v>
                </c:pt>
                <c:pt idx="1">
                  <c:v>162185.73047034763</c:v>
                </c:pt>
                <c:pt idx="2">
                  <c:v>183557.84201295819</c:v>
                </c:pt>
                <c:pt idx="3">
                  <c:v>204503.05998981075</c:v>
                </c:pt>
                <c:pt idx="4">
                  <c:v>226005.09856669989</c:v>
                </c:pt>
                <c:pt idx="5">
                  <c:v>248605.52815996777</c:v>
                </c:pt>
                <c:pt idx="6">
                  <c:v>272107.34366111748</c:v>
                </c:pt>
                <c:pt idx="7">
                  <c:v>296513.3697192308</c:v>
                </c:pt>
                <c:pt idx="8">
                  <c:v>322889.79598497227</c:v>
                </c:pt>
                <c:pt idx="9">
                  <c:v>350997.84194739605</c:v>
                </c:pt>
                <c:pt idx="10">
                  <c:v>380618.06133791257</c:v>
                </c:pt>
                <c:pt idx="11">
                  <c:v>405541.71787996864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2024'!$B$91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2024'!$K$91:$V$91</c:f>
              <c:numCache>
                <c:formatCode>#,##0</c:formatCode>
                <c:ptCount val="12"/>
                <c:pt idx="1">
                  <c:v>-3746.4</c:v>
                </c:pt>
                <c:pt idx="2">
                  <c:v>-3962.8</c:v>
                </c:pt>
                <c:pt idx="3">
                  <c:v>-4046.6000000000004</c:v>
                </c:pt>
                <c:pt idx="4">
                  <c:v>-4586.8</c:v>
                </c:pt>
                <c:pt idx="5">
                  <c:v>-4841.4000000000005</c:v>
                </c:pt>
                <c:pt idx="6">
                  <c:v>-4969</c:v>
                </c:pt>
                <c:pt idx="7">
                  <c:v>-5021.8</c:v>
                </c:pt>
                <c:pt idx="8">
                  <c:v>-4224.4000000000005</c:v>
                </c:pt>
                <c:pt idx="9">
                  <c:v>-4015.8</c:v>
                </c:pt>
                <c:pt idx="10">
                  <c:v>-4032.6000000000004</c:v>
                </c:pt>
                <c:pt idx="11">
                  <c:v>-3602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2024'!$B$90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2024'!$K$90:$V$90</c:f>
              <c:numCache>
                <c:formatCode>#,##0</c:formatCode>
                <c:ptCount val="12"/>
                <c:pt idx="0">
                  <c:v>413118.19999999995</c:v>
                </c:pt>
                <c:pt idx="1">
                  <c:v>435617.73047034763</c:v>
                </c:pt>
                <c:pt idx="2">
                  <c:v>458439.84201295819</c:v>
                </c:pt>
                <c:pt idx="3">
                  <c:v>480835.05998981075</c:v>
                </c:pt>
                <c:pt idx="4">
                  <c:v>503787.09856669989</c:v>
                </c:pt>
                <c:pt idx="5">
                  <c:v>527837.52815996774</c:v>
                </c:pt>
                <c:pt idx="6">
                  <c:v>552789.34366111748</c:v>
                </c:pt>
                <c:pt idx="7">
                  <c:v>578645.3697192308</c:v>
                </c:pt>
                <c:pt idx="8">
                  <c:v>606471.79598497227</c:v>
                </c:pt>
                <c:pt idx="9">
                  <c:v>636029.84194739605</c:v>
                </c:pt>
                <c:pt idx="10">
                  <c:v>667100.06133791257</c:v>
                </c:pt>
                <c:pt idx="11">
                  <c:v>693873.7178799687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2024'!$B$94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2024'!$K$94:$V$94</c:f>
              <c:numCache>
                <c:formatCode>#,##0</c:formatCode>
                <c:ptCount val="12"/>
                <c:pt idx="0">
                  <c:v>225611.59999999995</c:v>
                </c:pt>
                <c:pt idx="1">
                  <c:v>253371.33047034763</c:v>
                </c:pt>
                <c:pt idx="2">
                  <c:v>281477.04201295821</c:v>
                </c:pt>
                <c:pt idx="3">
                  <c:v>309288.45998981071</c:v>
                </c:pt>
                <c:pt idx="4">
                  <c:v>337200.2985666999</c:v>
                </c:pt>
                <c:pt idx="5">
                  <c:v>366496.12815996772</c:v>
                </c:pt>
                <c:pt idx="6">
                  <c:v>396820.34366111748</c:v>
                </c:pt>
                <c:pt idx="7">
                  <c:v>428123.56971923081</c:v>
                </c:pt>
                <c:pt idx="8">
                  <c:v>462247.39598497225</c:v>
                </c:pt>
                <c:pt idx="9">
                  <c:v>497514.04194739606</c:v>
                </c:pt>
                <c:pt idx="10">
                  <c:v>534067.46133791259</c:v>
                </c:pt>
                <c:pt idx="11">
                  <c:v>566771.7178799687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2024'!$B$95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2024'!$K$95:$V$95</c:f>
              <c:numCache>
                <c:formatCode>#,##0</c:formatCode>
                <c:ptCount val="12"/>
                <c:pt idx="0">
                  <c:v>141136.19999999998</c:v>
                </c:pt>
                <c:pt idx="1">
                  <c:v>162185.73047034763</c:v>
                </c:pt>
                <c:pt idx="2">
                  <c:v>183557.84201295819</c:v>
                </c:pt>
                <c:pt idx="3">
                  <c:v>204503.05998981075</c:v>
                </c:pt>
                <c:pt idx="4">
                  <c:v>226005.09856669989</c:v>
                </c:pt>
                <c:pt idx="5">
                  <c:v>248605.52815996777</c:v>
                </c:pt>
                <c:pt idx="6">
                  <c:v>272107.34366111748</c:v>
                </c:pt>
                <c:pt idx="7">
                  <c:v>296513.3697192308</c:v>
                </c:pt>
                <c:pt idx="8">
                  <c:v>322889.79598497227</c:v>
                </c:pt>
                <c:pt idx="9">
                  <c:v>350997.84194739605</c:v>
                </c:pt>
                <c:pt idx="10">
                  <c:v>380618.06133791257</c:v>
                </c:pt>
                <c:pt idx="11">
                  <c:v>405541.71787996864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25770</c:v>
                </c:pt>
                <c:pt idx="1">
                  <c:v>27986</c:v>
                </c:pt>
                <c:pt idx="2">
                  <c:v>25770</c:v>
                </c:pt>
                <c:pt idx="3">
                  <c:v>25770</c:v>
                </c:pt>
                <c:pt idx="4">
                  <c:v>25770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17644</c:v>
                </c:pt>
                <c:pt idx="1">
                  <c:v>19860</c:v>
                </c:pt>
                <c:pt idx="2">
                  <c:v>17644</c:v>
                </c:pt>
                <c:pt idx="3">
                  <c:v>17644</c:v>
                </c:pt>
                <c:pt idx="4">
                  <c:v>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14457.4</c:v>
                </c:pt>
                <c:pt idx="1">
                  <c:v>16258</c:v>
                </c:pt>
                <c:pt idx="2">
                  <c:v>13734</c:v>
                </c:pt>
                <c:pt idx="3">
                  <c:v>14466.4</c:v>
                </c:pt>
                <c:pt idx="4">
                  <c:v>14475.2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26873</c:v>
                </c:pt>
                <c:pt idx="1">
                  <c:v>27584</c:v>
                </c:pt>
                <c:pt idx="2">
                  <c:v>28797</c:v>
                </c:pt>
                <c:pt idx="3">
                  <c:v>29336</c:v>
                </c:pt>
                <c:pt idx="4">
                  <c:v>32299</c:v>
                </c:pt>
                <c:pt idx="5">
                  <c:v>33783</c:v>
                </c:pt>
                <c:pt idx="6">
                  <c:v>34421</c:v>
                </c:pt>
                <c:pt idx="7">
                  <c:v>34685</c:v>
                </c:pt>
                <c:pt idx="8">
                  <c:v>30698</c:v>
                </c:pt>
                <c:pt idx="9">
                  <c:v>27910</c:v>
                </c:pt>
                <c:pt idx="10">
                  <c:v>28461</c:v>
                </c:pt>
                <c:pt idx="11">
                  <c:v>25770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18747</c:v>
                </c:pt>
                <c:pt idx="1">
                  <c:v>19458</c:v>
                </c:pt>
                <c:pt idx="2">
                  <c:v>20671</c:v>
                </c:pt>
                <c:pt idx="3">
                  <c:v>21210</c:v>
                </c:pt>
                <c:pt idx="4">
                  <c:v>24173</c:v>
                </c:pt>
                <c:pt idx="5">
                  <c:v>25657</c:v>
                </c:pt>
                <c:pt idx="6">
                  <c:v>26295</c:v>
                </c:pt>
                <c:pt idx="7">
                  <c:v>26559</c:v>
                </c:pt>
                <c:pt idx="8">
                  <c:v>22572</c:v>
                </c:pt>
                <c:pt idx="9">
                  <c:v>19784</c:v>
                </c:pt>
                <c:pt idx="10">
                  <c:v>20335</c:v>
                </c:pt>
                <c:pt idx="11">
                  <c:v>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15368.6</c:v>
                </c:pt>
                <c:pt idx="1">
                  <c:v>15937.4</c:v>
                </c:pt>
                <c:pt idx="2">
                  <c:v>16907.8</c:v>
                </c:pt>
                <c:pt idx="3">
                  <c:v>16626.8</c:v>
                </c:pt>
                <c:pt idx="4">
                  <c:v>18997.2</c:v>
                </c:pt>
                <c:pt idx="5">
                  <c:v>20184.400000000001</c:v>
                </c:pt>
                <c:pt idx="6">
                  <c:v>20694.8</c:v>
                </c:pt>
                <c:pt idx="7">
                  <c:v>20906</c:v>
                </c:pt>
                <c:pt idx="8">
                  <c:v>17716.400000000001</c:v>
                </c:pt>
                <c:pt idx="9">
                  <c:v>15486</c:v>
                </c:pt>
                <c:pt idx="10">
                  <c:v>15926.8</c:v>
                </c:pt>
                <c:pt idx="11">
                  <c:v>13734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12762</c:v>
                </c:pt>
                <c:pt idx="1">
                  <c:v>30423.656542056073</c:v>
                </c:pt>
                <c:pt idx="2">
                  <c:v>47635.656542056073</c:v>
                </c:pt>
                <c:pt idx="3">
                  <c:v>33415.656542056073</c:v>
                </c:pt>
                <c:pt idx="4">
                  <c:v>33415.656542056073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-5500</c:v>
                </c:pt>
                <c:pt idx="1">
                  <c:v>-5500</c:v>
                </c:pt>
                <c:pt idx="2">
                  <c:v>-5500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12762</c:v>
                </c:pt>
                <c:pt idx="1">
                  <c:v>30423.656542056073</c:v>
                </c:pt>
                <c:pt idx="2">
                  <c:v>47635.656542056073</c:v>
                </c:pt>
                <c:pt idx="3">
                  <c:v>33415.656542056073</c:v>
                </c:pt>
                <c:pt idx="4">
                  <c:v>33415.656542056073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20024</c:v>
                </c:pt>
                <c:pt idx="1">
                  <c:v>55347.313084112146</c:v>
                </c:pt>
                <c:pt idx="2">
                  <c:v>89771.313084112146</c:v>
                </c:pt>
                <c:pt idx="3">
                  <c:v>66831.313084112146</c:v>
                </c:pt>
                <c:pt idx="4">
                  <c:v>66831.313084112146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36476.400000000001</c:v>
                </c:pt>
                <c:pt idx="1">
                  <c:v>47568.416580147867</c:v>
                </c:pt>
                <c:pt idx="2">
                  <c:v>48062.020157189094</c:v>
                </c:pt>
                <c:pt idx="3">
                  <c:v>49175.017976852541</c:v>
                </c:pt>
                <c:pt idx="4">
                  <c:v>50314.638576889149</c:v>
                </c:pt>
                <c:pt idx="5">
                  <c:v>51414.42959326788</c:v>
                </c:pt>
                <c:pt idx="6">
                  <c:v>52021.015501149741</c:v>
                </c:pt>
                <c:pt idx="7">
                  <c:v>52480.826058113307</c:v>
                </c:pt>
                <c:pt idx="8">
                  <c:v>52306.426265741451</c:v>
                </c:pt>
                <c:pt idx="9">
                  <c:v>52721.845962423788</c:v>
                </c:pt>
                <c:pt idx="10">
                  <c:v>53811.019390516529</c:v>
                </c:pt>
                <c:pt idx="11">
                  <c:v>47635.656542056073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-5500</c:v>
                </c:pt>
                <c:pt idx="2">
                  <c:v>-5500</c:v>
                </c:pt>
                <c:pt idx="3">
                  <c:v>-5500</c:v>
                </c:pt>
                <c:pt idx="4">
                  <c:v>-5500</c:v>
                </c:pt>
                <c:pt idx="5">
                  <c:v>-5500</c:v>
                </c:pt>
                <c:pt idx="6">
                  <c:v>-5500</c:v>
                </c:pt>
                <c:pt idx="7">
                  <c:v>-5500</c:v>
                </c:pt>
                <c:pt idx="8">
                  <c:v>-5500</c:v>
                </c:pt>
                <c:pt idx="9">
                  <c:v>-5500</c:v>
                </c:pt>
                <c:pt idx="10">
                  <c:v>-5500</c:v>
                </c:pt>
                <c:pt idx="11">
                  <c:v>-5500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36476.400000000001</c:v>
                </c:pt>
                <c:pt idx="1">
                  <c:v>47568.416580147867</c:v>
                </c:pt>
                <c:pt idx="2">
                  <c:v>48062.020157189094</c:v>
                </c:pt>
                <c:pt idx="3">
                  <c:v>49175.017976852541</c:v>
                </c:pt>
                <c:pt idx="4">
                  <c:v>50314.638576889149</c:v>
                </c:pt>
                <c:pt idx="5">
                  <c:v>51414.42959326788</c:v>
                </c:pt>
                <c:pt idx="6">
                  <c:v>52021.015501149741</c:v>
                </c:pt>
                <c:pt idx="7">
                  <c:v>52480.826058113307</c:v>
                </c:pt>
                <c:pt idx="8">
                  <c:v>52306.426265741451</c:v>
                </c:pt>
                <c:pt idx="9">
                  <c:v>52721.845962423788</c:v>
                </c:pt>
                <c:pt idx="10">
                  <c:v>53811.019390516529</c:v>
                </c:pt>
                <c:pt idx="11">
                  <c:v>47635.656542056073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48246</c:v>
                </c:pt>
                <c:pt idx="1">
                  <c:v>89636.833160295733</c:v>
                </c:pt>
                <c:pt idx="2">
                  <c:v>90624.040314378173</c:v>
                </c:pt>
                <c:pt idx="3">
                  <c:v>92850.035953705083</c:v>
                </c:pt>
                <c:pt idx="4">
                  <c:v>95129.277153778312</c:v>
                </c:pt>
                <c:pt idx="5">
                  <c:v>97328.859186535759</c:v>
                </c:pt>
                <c:pt idx="6">
                  <c:v>98542.031002299467</c:v>
                </c:pt>
                <c:pt idx="7">
                  <c:v>99461.652116226614</c:v>
                </c:pt>
                <c:pt idx="8">
                  <c:v>99112.852531482902</c:v>
                </c:pt>
                <c:pt idx="9">
                  <c:v>99943.691924847575</c:v>
                </c:pt>
                <c:pt idx="10">
                  <c:v>102122.03878103306</c:v>
                </c:pt>
                <c:pt idx="11">
                  <c:v>89771.313084112146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132558.79999999999</c:v>
                </c:pt>
                <c:pt idx="1">
                  <c:v>405541.71787996864</c:v>
                </c:pt>
                <c:pt idx="2">
                  <c:v>711191.8304843161</c:v>
                </c:pt>
                <c:pt idx="3">
                  <c:v>1023265.343088664</c:v>
                </c:pt>
                <c:pt idx="4">
                  <c:v>1399460.2556930115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-3186.6000000000004</c:v>
                </c:pt>
                <c:pt idx="1">
                  <c:v>-3602</c:v>
                </c:pt>
                <c:pt idx="2">
                  <c:v>-3910</c:v>
                </c:pt>
                <c:pt idx="3">
                  <c:v>-3177.6000000000004</c:v>
                </c:pt>
                <c:pt idx="4">
                  <c:v>-3168.8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403090.8</c:v>
                </c:pt>
                <c:pt idx="1">
                  <c:v>693873.7178799687</c:v>
                </c:pt>
                <c:pt idx="2">
                  <c:v>1020672.8304843161</c:v>
                </c:pt>
                <c:pt idx="3">
                  <c:v>1354283.3430886641</c:v>
                </c:pt>
                <c:pt idx="4">
                  <c:v>1751860.2556930115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210404.19999999998</c:v>
                </c:pt>
                <c:pt idx="1">
                  <c:v>566771.7178799687</c:v>
                </c:pt>
                <c:pt idx="2">
                  <c:v>901762.8304843161</c:v>
                </c:pt>
                <c:pt idx="3">
                  <c:v>1351105.743088664</c:v>
                </c:pt>
                <c:pt idx="4">
                  <c:v>1748691.4556930114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132558.79999999999</c:v>
                </c:pt>
                <c:pt idx="1">
                  <c:v>405541.71787996864</c:v>
                </c:pt>
                <c:pt idx="2">
                  <c:v>711191.8304843161</c:v>
                </c:pt>
                <c:pt idx="3">
                  <c:v>1023265.343088664</c:v>
                </c:pt>
                <c:pt idx="4">
                  <c:v>1399460.2556930115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417311.31787996861</c:v>
                </c:pt>
                <c:pt idx="1">
                  <c:v>440438.53446011647</c:v>
                </c:pt>
                <c:pt idx="2">
                  <c:v>464124.15461730555</c:v>
                </c:pt>
                <c:pt idx="3">
                  <c:v>487832.77259415807</c:v>
                </c:pt>
                <c:pt idx="4">
                  <c:v>512045.81117104721</c:v>
                </c:pt>
                <c:pt idx="5">
                  <c:v>537315.04076431505</c:v>
                </c:pt>
                <c:pt idx="6">
                  <c:v>563485.65626546484</c:v>
                </c:pt>
                <c:pt idx="7">
                  <c:v>590560.48232357809</c:v>
                </c:pt>
                <c:pt idx="8">
                  <c:v>619605.70858931961</c:v>
                </c:pt>
                <c:pt idx="9">
                  <c:v>650731.55455174344</c:v>
                </c:pt>
                <c:pt idx="10">
                  <c:v>683276.17394225998</c:v>
                </c:pt>
                <c:pt idx="11">
                  <c:v>711191.8304843161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0">
                  <c:v>-3378.4</c:v>
                </c:pt>
                <c:pt idx="1">
                  <c:v>-3520.6000000000004</c:v>
                </c:pt>
                <c:pt idx="2">
                  <c:v>-3763.2000000000003</c:v>
                </c:pt>
                <c:pt idx="3">
                  <c:v>-4583.2</c:v>
                </c:pt>
                <c:pt idx="4">
                  <c:v>-5175.8</c:v>
                </c:pt>
                <c:pt idx="5">
                  <c:v>-5472.6</c:v>
                </c:pt>
                <c:pt idx="6">
                  <c:v>-5600.2000000000007</c:v>
                </c:pt>
                <c:pt idx="7">
                  <c:v>-5653</c:v>
                </c:pt>
                <c:pt idx="8">
                  <c:v>-4855.6000000000004</c:v>
                </c:pt>
                <c:pt idx="9">
                  <c:v>-4298</c:v>
                </c:pt>
                <c:pt idx="10">
                  <c:v>-4408.2</c:v>
                </c:pt>
                <c:pt idx="11">
                  <c:v>-3910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707493.31787996856</c:v>
                </c:pt>
                <c:pt idx="1">
                  <c:v>732470.53446011641</c:v>
                </c:pt>
                <c:pt idx="2">
                  <c:v>758006.15461730561</c:v>
                </c:pt>
                <c:pt idx="3">
                  <c:v>783425.77259415807</c:v>
                </c:pt>
                <c:pt idx="4">
                  <c:v>809349.81117104716</c:v>
                </c:pt>
                <c:pt idx="5">
                  <c:v>836330.04076431505</c:v>
                </c:pt>
                <c:pt idx="6">
                  <c:v>864211.65626546484</c:v>
                </c:pt>
                <c:pt idx="7">
                  <c:v>892997.48232357809</c:v>
                </c:pt>
                <c:pt idx="8">
                  <c:v>923753.70858931961</c:v>
                </c:pt>
                <c:pt idx="9">
                  <c:v>956590.55455174344</c:v>
                </c:pt>
                <c:pt idx="10">
                  <c:v>990846.17394225998</c:v>
                </c:pt>
                <c:pt idx="11">
                  <c:v>1020672.8304843161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468114.91787996853</c:v>
                </c:pt>
                <c:pt idx="1">
                  <c:v>503949.93446011643</c:v>
                </c:pt>
                <c:pt idx="2">
                  <c:v>540242.95461730566</c:v>
                </c:pt>
                <c:pt idx="3">
                  <c:v>575842.57259415812</c:v>
                </c:pt>
                <c:pt idx="4">
                  <c:v>612174.01117104711</c:v>
                </c:pt>
                <c:pt idx="5">
                  <c:v>649857.44076431508</c:v>
                </c:pt>
                <c:pt idx="6">
                  <c:v>688611.45626546489</c:v>
                </c:pt>
                <c:pt idx="7">
                  <c:v>728344.48232357809</c:v>
                </c:pt>
                <c:pt idx="8">
                  <c:v>770898.10858931963</c:v>
                </c:pt>
                <c:pt idx="9">
                  <c:v>815292.55455174344</c:v>
                </c:pt>
                <c:pt idx="10">
                  <c:v>860437.97394226003</c:v>
                </c:pt>
                <c:pt idx="11">
                  <c:v>901762.8304843161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417311.31787996861</c:v>
                </c:pt>
                <c:pt idx="1">
                  <c:v>440438.53446011647</c:v>
                </c:pt>
                <c:pt idx="2">
                  <c:v>464124.15461730555</c:v>
                </c:pt>
                <c:pt idx="3">
                  <c:v>487832.77259415807</c:v>
                </c:pt>
                <c:pt idx="4">
                  <c:v>512045.81117104721</c:v>
                </c:pt>
                <c:pt idx="5">
                  <c:v>537315.04076431505</c:v>
                </c:pt>
                <c:pt idx="6">
                  <c:v>563485.65626546484</c:v>
                </c:pt>
                <c:pt idx="7">
                  <c:v>590560.48232357809</c:v>
                </c:pt>
                <c:pt idx="8">
                  <c:v>619605.70858931961</c:v>
                </c:pt>
                <c:pt idx="9">
                  <c:v>650731.55455174344</c:v>
                </c:pt>
                <c:pt idx="10">
                  <c:v>683276.17394225998</c:v>
                </c:pt>
                <c:pt idx="11">
                  <c:v>711191.8304843161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25770</c:v>
                </c:pt>
                <c:pt idx="1">
                  <c:v>27986</c:v>
                </c:pt>
                <c:pt idx="2">
                  <c:v>25770</c:v>
                </c:pt>
                <c:pt idx="3">
                  <c:v>25770</c:v>
                </c:pt>
                <c:pt idx="4">
                  <c:v>25770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17644</c:v>
                </c:pt>
                <c:pt idx="1">
                  <c:v>19860</c:v>
                </c:pt>
                <c:pt idx="2">
                  <c:v>17644</c:v>
                </c:pt>
                <c:pt idx="3">
                  <c:v>17644</c:v>
                </c:pt>
                <c:pt idx="4">
                  <c:v>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14457.4</c:v>
                </c:pt>
                <c:pt idx="1">
                  <c:v>16258</c:v>
                </c:pt>
                <c:pt idx="2">
                  <c:v>13734</c:v>
                </c:pt>
                <c:pt idx="3">
                  <c:v>14466.4</c:v>
                </c:pt>
                <c:pt idx="4">
                  <c:v>14475.2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26873</c:v>
                </c:pt>
                <c:pt idx="1">
                  <c:v>27584</c:v>
                </c:pt>
                <c:pt idx="2">
                  <c:v>28797</c:v>
                </c:pt>
                <c:pt idx="3">
                  <c:v>29336</c:v>
                </c:pt>
                <c:pt idx="4">
                  <c:v>32299</c:v>
                </c:pt>
                <c:pt idx="5">
                  <c:v>33783</c:v>
                </c:pt>
                <c:pt idx="6">
                  <c:v>34421</c:v>
                </c:pt>
                <c:pt idx="7">
                  <c:v>34685</c:v>
                </c:pt>
                <c:pt idx="8">
                  <c:v>30698</c:v>
                </c:pt>
                <c:pt idx="9">
                  <c:v>27910</c:v>
                </c:pt>
                <c:pt idx="10">
                  <c:v>28461</c:v>
                </c:pt>
                <c:pt idx="11">
                  <c:v>25770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18747</c:v>
                </c:pt>
                <c:pt idx="1">
                  <c:v>19458</c:v>
                </c:pt>
                <c:pt idx="2">
                  <c:v>20671</c:v>
                </c:pt>
                <c:pt idx="3">
                  <c:v>21210</c:v>
                </c:pt>
                <c:pt idx="4">
                  <c:v>24173</c:v>
                </c:pt>
                <c:pt idx="5">
                  <c:v>25657</c:v>
                </c:pt>
                <c:pt idx="6">
                  <c:v>26295</c:v>
                </c:pt>
                <c:pt idx="7">
                  <c:v>26559</c:v>
                </c:pt>
                <c:pt idx="8">
                  <c:v>22572</c:v>
                </c:pt>
                <c:pt idx="9">
                  <c:v>19784</c:v>
                </c:pt>
                <c:pt idx="10">
                  <c:v>20335</c:v>
                </c:pt>
                <c:pt idx="11">
                  <c:v>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15379.8</c:v>
                </c:pt>
                <c:pt idx="1">
                  <c:v>15948.6</c:v>
                </c:pt>
                <c:pt idx="2">
                  <c:v>16919</c:v>
                </c:pt>
                <c:pt idx="3">
                  <c:v>17319.2</c:v>
                </c:pt>
                <c:pt idx="4">
                  <c:v>19689.599999999999</c:v>
                </c:pt>
                <c:pt idx="5">
                  <c:v>20876.8</c:v>
                </c:pt>
                <c:pt idx="6">
                  <c:v>21387.200000000001</c:v>
                </c:pt>
                <c:pt idx="7">
                  <c:v>21598.400000000001</c:v>
                </c:pt>
                <c:pt idx="8">
                  <c:v>18408.8</c:v>
                </c:pt>
                <c:pt idx="9">
                  <c:v>16178.4</c:v>
                </c:pt>
                <c:pt idx="10">
                  <c:v>16619.2</c:v>
                </c:pt>
                <c:pt idx="11">
                  <c:v>14466.4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12762</c:v>
                </c:pt>
                <c:pt idx="1">
                  <c:v>30423.656542056073</c:v>
                </c:pt>
                <c:pt idx="2">
                  <c:v>47635.656542056073</c:v>
                </c:pt>
                <c:pt idx="3">
                  <c:v>33415.656542056073</c:v>
                </c:pt>
                <c:pt idx="4">
                  <c:v>33415.656542056073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-5500</c:v>
                </c:pt>
                <c:pt idx="1">
                  <c:v>-5500</c:v>
                </c:pt>
                <c:pt idx="2">
                  <c:v>-5500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12762</c:v>
                </c:pt>
                <c:pt idx="1">
                  <c:v>30423.656542056073</c:v>
                </c:pt>
                <c:pt idx="2">
                  <c:v>47635.656542056073</c:v>
                </c:pt>
                <c:pt idx="3">
                  <c:v>33415.656542056073</c:v>
                </c:pt>
                <c:pt idx="4">
                  <c:v>33415.656542056073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20024</c:v>
                </c:pt>
                <c:pt idx="1">
                  <c:v>55347.313084112146</c:v>
                </c:pt>
                <c:pt idx="2">
                  <c:v>89771.313084112146</c:v>
                </c:pt>
                <c:pt idx="3">
                  <c:v>66831.313084112146</c:v>
                </c:pt>
                <c:pt idx="4">
                  <c:v>66831.313084112146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16697.400000000001</c:v>
                </c:pt>
                <c:pt idx="1">
                  <c:v>27875.016580147869</c:v>
                </c:pt>
                <c:pt idx="2">
                  <c:v>28433.420157189088</c:v>
                </c:pt>
                <c:pt idx="3">
                  <c:v>29208.617976852544</c:v>
                </c:pt>
                <c:pt idx="4">
                  <c:v>29713.038576889154</c:v>
                </c:pt>
                <c:pt idx="5">
                  <c:v>30769.229593267883</c:v>
                </c:pt>
                <c:pt idx="6">
                  <c:v>31670.615501149736</c:v>
                </c:pt>
                <c:pt idx="7">
                  <c:v>32574.826058113307</c:v>
                </c:pt>
                <c:pt idx="8">
                  <c:v>34545.226265741454</c:v>
                </c:pt>
                <c:pt idx="9">
                  <c:v>36625.845962423788</c:v>
                </c:pt>
                <c:pt idx="10">
                  <c:v>38044.619390516535</c:v>
                </c:pt>
                <c:pt idx="11">
                  <c:v>33415.656542056073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-5500</c:v>
                </c:pt>
                <c:pt idx="2">
                  <c:v>-5500</c:v>
                </c:pt>
                <c:pt idx="3">
                  <c:v>-5500</c:v>
                </c:pt>
                <c:pt idx="4">
                  <c:v>-5500</c:v>
                </c:pt>
                <c:pt idx="5">
                  <c:v>-5500</c:v>
                </c:pt>
                <c:pt idx="6">
                  <c:v>-5500</c:v>
                </c:pt>
                <c:pt idx="7">
                  <c:v>-5500</c:v>
                </c:pt>
                <c:pt idx="8">
                  <c:v>-5500</c:v>
                </c:pt>
                <c:pt idx="9">
                  <c:v>-8000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16697.400000000001</c:v>
                </c:pt>
                <c:pt idx="1">
                  <c:v>27875.016580147869</c:v>
                </c:pt>
                <c:pt idx="2">
                  <c:v>28433.420157189088</c:v>
                </c:pt>
                <c:pt idx="3">
                  <c:v>29208.617976852544</c:v>
                </c:pt>
                <c:pt idx="4">
                  <c:v>29713.038576889154</c:v>
                </c:pt>
                <c:pt idx="5">
                  <c:v>30769.229593267883</c:v>
                </c:pt>
                <c:pt idx="6">
                  <c:v>31670.615501149736</c:v>
                </c:pt>
                <c:pt idx="7">
                  <c:v>32574.826058113307</c:v>
                </c:pt>
                <c:pt idx="8">
                  <c:v>34545.226265741454</c:v>
                </c:pt>
                <c:pt idx="9">
                  <c:v>36625.845962423788</c:v>
                </c:pt>
                <c:pt idx="10">
                  <c:v>38044.619390516535</c:v>
                </c:pt>
                <c:pt idx="11">
                  <c:v>33415.656542056073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27894.800000000003</c:v>
                </c:pt>
                <c:pt idx="1">
                  <c:v>50250.03316029573</c:v>
                </c:pt>
                <c:pt idx="2">
                  <c:v>51366.840314378176</c:v>
                </c:pt>
                <c:pt idx="3">
                  <c:v>52917.235953705094</c:v>
                </c:pt>
                <c:pt idx="4">
                  <c:v>53926.0771537783</c:v>
                </c:pt>
                <c:pt idx="5">
                  <c:v>56038.459186535772</c:v>
                </c:pt>
                <c:pt idx="6">
                  <c:v>57841.231002299479</c:v>
                </c:pt>
                <c:pt idx="7">
                  <c:v>59649.652116226614</c:v>
                </c:pt>
                <c:pt idx="8">
                  <c:v>63590.452531482915</c:v>
                </c:pt>
                <c:pt idx="9">
                  <c:v>65251.691924847575</c:v>
                </c:pt>
                <c:pt idx="10">
                  <c:v>76089.238781033069</c:v>
                </c:pt>
                <c:pt idx="11">
                  <c:v>66831.313084112146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132558.79999999999</c:v>
                </c:pt>
                <c:pt idx="1">
                  <c:v>405541.71787996864</c:v>
                </c:pt>
                <c:pt idx="2">
                  <c:v>711191.8304843161</c:v>
                </c:pt>
                <c:pt idx="3">
                  <c:v>1023265.343088664</c:v>
                </c:pt>
                <c:pt idx="4">
                  <c:v>1399460.2556930115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-3186.6000000000004</c:v>
                </c:pt>
                <c:pt idx="1">
                  <c:v>-3602</c:v>
                </c:pt>
                <c:pt idx="2">
                  <c:v>-3910</c:v>
                </c:pt>
                <c:pt idx="3">
                  <c:v>-3177.6000000000004</c:v>
                </c:pt>
                <c:pt idx="4">
                  <c:v>-3168.8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403090.8</c:v>
                </c:pt>
                <c:pt idx="1">
                  <c:v>693873.7178799687</c:v>
                </c:pt>
                <c:pt idx="2">
                  <c:v>1020672.8304843161</c:v>
                </c:pt>
                <c:pt idx="3">
                  <c:v>1354283.3430886641</c:v>
                </c:pt>
                <c:pt idx="4">
                  <c:v>1751860.2556930115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210404.19999999998</c:v>
                </c:pt>
                <c:pt idx="1">
                  <c:v>566771.7178799687</c:v>
                </c:pt>
                <c:pt idx="2">
                  <c:v>901762.8304843161</c:v>
                </c:pt>
                <c:pt idx="3">
                  <c:v>1351105.743088664</c:v>
                </c:pt>
                <c:pt idx="4">
                  <c:v>1748691.4556930114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132558.79999999999</c:v>
                </c:pt>
                <c:pt idx="1">
                  <c:v>405541.71787996864</c:v>
                </c:pt>
                <c:pt idx="2">
                  <c:v>711191.8304843161</c:v>
                </c:pt>
                <c:pt idx="3">
                  <c:v>1023265.343088664</c:v>
                </c:pt>
                <c:pt idx="4">
                  <c:v>1399460.2556930115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722389.23048431613</c:v>
                </c:pt>
                <c:pt idx="1">
                  <c:v>744764.24706446403</c:v>
                </c:pt>
                <c:pt idx="2">
                  <c:v>767697.66722165316</c:v>
                </c:pt>
                <c:pt idx="3">
                  <c:v>791406.28519850574</c:v>
                </c:pt>
                <c:pt idx="4">
                  <c:v>815619.32377539494</c:v>
                </c:pt>
                <c:pt idx="5">
                  <c:v>840888.55336866283</c:v>
                </c:pt>
                <c:pt idx="6">
                  <c:v>867059.16886981262</c:v>
                </c:pt>
                <c:pt idx="7">
                  <c:v>894133.99492792599</c:v>
                </c:pt>
                <c:pt idx="8">
                  <c:v>923179.2211936675</c:v>
                </c:pt>
                <c:pt idx="9">
                  <c:v>951805.06715609133</c:v>
                </c:pt>
                <c:pt idx="10">
                  <c:v>989849.68654660787</c:v>
                </c:pt>
                <c:pt idx="11">
                  <c:v>1023265.343088664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-3367.2000000000003</c:v>
                </c:pt>
                <c:pt idx="1">
                  <c:v>-3509.4</c:v>
                </c:pt>
                <c:pt idx="2">
                  <c:v>-3752</c:v>
                </c:pt>
                <c:pt idx="3">
                  <c:v>-3890.8</c:v>
                </c:pt>
                <c:pt idx="4">
                  <c:v>-4483.4000000000005</c:v>
                </c:pt>
                <c:pt idx="5">
                  <c:v>-4780.2</c:v>
                </c:pt>
                <c:pt idx="6">
                  <c:v>-4907.8</c:v>
                </c:pt>
                <c:pt idx="7">
                  <c:v>-4960.6000000000004</c:v>
                </c:pt>
                <c:pt idx="8">
                  <c:v>-4163.2</c:v>
                </c:pt>
                <c:pt idx="9">
                  <c:v>-3605.6000000000004</c:v>
                </c:pt>
                <c:pt idx="10">
                  <c:v>-3715.8</c:v>
                </c:pt>
                <c:pt idx="11">
                  <c:v>-3177.6000000000004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1033781.2304843161</c:v>
                </c:pt>
                <c:pt idx="1">
                  <c:v>1058067.247064464</c:v>
                </c:pt>
                <c:pt idx="2">
                  <c:v>1082911.6672216533</c:v>
                </c:pt>
                <c:pt idx="3">
                  <c:v>1108376.2851985057</c:v>
                </c:pt>
                <c:pt idx="4">
                  <c:v>1134345.3237753948</c:v>
                </c:pt>
                <c:pt idx="5">
                  <c:v>1161370.5533686629</c:v>
                </c:pt>
                <c:pt idx="6">
                  <c:v>1189297.1688698125</c:v>
                </c:pt>
                <c:pt idx="7">
                  <c:v>1218127.994927926</c:v>
                </c:pt>
                <c:pt idx="8">
                  <c:v>1248929.2211936675</c:v>
                </c:pt>
                <c:pt idx="9">
                  <c:v>1279311.0671560913</c:v>
                </c:pt>
                <c:pt idx="10">
                  <c:v>1319111.6865466079</c:v>
                </c:pt>
                <c:pt idx="11">
                  <c:v>1354283.3430886641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978414.03048431617</c:v>
                </c:pt>
                <c:pt idx="1">
                  <c:v>1008057.847064464</c:v>
                </c:pt>
                <c:pt idx="2">
                  <c:v>1038159.6672216533</c:v>
                </c:pt>
                <c:pt idx="3">
                  <c:v>1068985.4851985057</c:v>
                </c:pt>
                <c:pt idx="4">
                  <c:v>1099861.9237753949</c:v>
                </c:pt>
                <c:pt idx="5">
                  <c:v>1132090.353368663</c:v>
                </c:pt>
                <c:pt idx="6">
                  <c:v>1165389.3688698125</c:v>
                </c:pt>
                <c:pt idx="7">
                  <c:v>1199667.3949279259</c:v>
                </c:pt>
                <c:pt idx="8">
                  <c:v>1236766.0211936675</c:v>
                </c:pt>
                <c:pt idx="9">
                  <c:v>1275705.4671560912</c:v>
                </c:pt>
                <c:pt idx="10">
                  <c:v>1315395.8865466078</c:v>
                </c:pt>
                <c:pt idx="11">
                  <c:v>1351105.743088664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722389.23048431613</c:v>
                </c:pt>
                <c:pt idx="1">
                  <c:v>744764.24706446403</c:v>
                </c:pt>
                <c:pt idx="2">
                  <c:v>767697.66722165316</c:v>
                </c:pt>
                <c:pt idx="3">
                  <c:v>791406.28519850574</c:v>
                </c:pt>
                <c:pt idx="4">
                  <c:v>815619.32377539494</c:v>
                </c:pt>
                <c:pt idx="5">
                  <c:v>840888.55336866283</c:v>
                </c:pt>
                <c:pt idx="6">
                  <c:v>867059.16886981262</c:v>
                </c:pt>
                <c:pt idx="7">
                  <c:v>894133.99492792599</c:v>
                </c:pt>
                <c:pt idx="8">
                  <c:v>923179.2211936675</c:v>
                </c:pt>
                <c:pt idx="9">
                  <c:v>951805.06715609133</c:v>
                </c:pt>
                <c:pt idx="10">
                  <c:v>989849.68654660787</c:v>
                </c:pt>
                <c:pt idx="11">
                  <c:v>1023265.343088664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25770</c:v>
                </c:pt>
                <c:pt idx="1">
                  <c:v>27986</c:v>
                </c:pt>
                <c:pt idx="2">
                  <c:v>25770</c:v>
                </c:pt>
                <c:pt idx="3">
                  <c:v>25770</c:v>
                </c:pt>
                <c:pt idx="4">
                  <c:v>25770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17644</c:v>
                </c:pt>
                <c:pt idx="1">
                  <c:v>19860</c:v>
                </c:pt>
                <c:pt idx="2">
                  <c:v>17644</c:v>
                </c:pt>
                <c:pt idx="3">
                  <c:v>17644</c:v>
                </c:pt>
                <c:pt idx="4">
                  <c:v>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14457.4</c:v>
                </c:pt>
                <c:pt idx="1">
                  <c:v>16258</c:v>
                </c:pt>
                <c:pt idx="2">
                  <c:v>13734</c:v>
                </c:pt>
                <c:pt idx="3">
                  <c:v>14466.4</c:v>
                </c:pt>
                <c:pt idx="4">
                  <c:v>14475.2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26973</c:v>
                </c:pt>
                <c:pt idx="1">
                  <c:v>27684</c:v>
                </c:pt>
                <c:pt idx="2">
                  <c:v>29297</c:v>
                </c:pt>
                <c:pt idx="3">
                  <c:v>30249</c:v>
                </c:pt>
                <c:pt idx="4">
                  <c:v>36495</c:v>
                </c:pt>
                <c:pt idx="5">
                  <c:v>35838</c:v>
                </c:pt>
                <c:pt idx="6">
                  <c:v>36002</c:v>
                </c:pt>
                <c:pt idx="7">
                  <c:v>34697</c:v>
                </c:pt>
                <c:pt idx="8">
                  <c:v>30698</c:v>
                </c:pt>
                <c:pt idx="9">
                  <c:v>27910</c:v>
                </c:pt>
                <c:pt idx="10">
                  <c:v>28461</c:v>
                </c:pt>
                <c:pt idx="11">
                  <c:v>25770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18847</c:v>
                </c:pt>
                <c:pt idx="1">
                  <c:v>19558</c:v>
                </c:pt>
                <c:pt idx="2">
                  <c:v>21171</c:v>
                </c:pt>
                <c:pt idx="3">
                  <c:v>22123</c:v>
                </c:pt>
                <c:pt idx="4">
                  <c:v>28369</c:v>
                </c:pt>
                <c:pt idx="5">
                  <c:v>27712</c:v>
                </c:pt>
                <c:pt idx="6">
                  <c:v>27876</c:v>
                </c:pt>
                <c:pt idx="7">
                  <c:v>26571</c:v>
                </c:pt>
                <c:pt idx="8">
                  <c:v>22572</c:v>
                </c:pt>
                <c:pt idx="9">
                  <c:v>19784</c:v>
                </c:pt>
                <c:pt idx="10">
                  <c:v>20335</c:v>
                </c:pt>
                <c:pt idx="11">
                  <c:v>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15428.8</c:v>
                </c:pt>
                <c:pt idx="1">
                  <c:v>15997.6</c:v>
                </c:pt>
                <c:pt idx="2">
                  <c:v>17288</c:v>
                </c:pt>
                <c:pt idx="3">
                  <c:v>18049.599999999999</c:v>
                </c:pt>
                <c:pt idx="4">
                  <c:v>23046.400000000001</c:v>
                </c:pt>
                <c:pt idx="5">
                  <c:v>22520.799999999999</c:v>
                </c:pt>
                <c:pt idx="6">
                  <c:v>22652</c:v>
                </c:pt>
                <c:pt idx="7">
                  <c:v>21616.799999999999</c:v>
                </c:pt>
                <c:pt idx="8">
                  <c:v>18417.599999999999</c:v>
                </c:pt>
                <c:pt idx="9">
                  <c:v>16187.2</c:v>
                </c:pt>
                <c:pt idx="10">
                  <c:v>16628</c:v>
                </c:pt>
                <c:pt idx="11">
                  <c:v>14475.2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12762</c:v>
                </c:pt>
                <c:pt idx="1">
                  <c:v>30423.656542056073</c:v>
                </c:pt>
                <c:pt idx="2">
                  <c:v>47635.656542056073</c:v>
                </c:pt>
                <c:pt idx="3">
                  <c:v>33415.656542056073</c:v>
                </c:pt>
                <c:pt idx="4">
                  <c:v>33415.656542056073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-5500</c:v>
                </c:pt>
                <c:pt idx="1">
                  <c:v>-5500</c:v>
                </c:pt>
                <c:pt idx="2">
                  <c:v>-5500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12762</c:v>
                </c:pt>
                <c:pt idx="1">
                  <c:v>30423.656542056073</c:v>
                </c:pt>
                <c:pt idx="2">
                  <c:v>47635.656542056073</c:v>
                </c:pt>
                <c:pt idx="3">
                  <c:v>33415.656542056073</c:v>
                </c:pt>
                <c:pt idx="4">
                  <c:v>33415.656542056073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20024</c:v>
                </c:pt>
                <c:pt idx="1">
                  <c:v>55347.313084112146</c:v>
                </c:pt>
                <c:pt idx="2">
                  <c:v>89771.313084112146</c:v>
                </c:pt>
                <c:pt idx="3">
                  <c:v>66831.313084112146</c:v>
                </c:pt>
                <c:pt idx="4">
                  <c:v>66831.313084112146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16697.400000000001</c:v>
                </c:pt>
                <c:pt idx="1">
                  <c:v>27875.016580147869</c:v>
                </c:pt>
                <c:pt idx="2">
                  <c:v>28433.420157189088</c:v>
                </c:pt>
                <c:pt idx="3">
                  <c:v>29208.617976852544</c:v>
                </c:pt>
                <c:pt idx="4">
                  <c:v>29713.038576889154</c:v>
                </c:pt>
                <c:pt idx="5">
                  <c:v>30769.229593267883</c:v>
                </c:pt>
                <c:pt idx="6">
                  <c:v>31670.615501149736</c:v>
                </c:pt>
                <c:pt idx="7">
                  <c:v>32574.826058113307</c:v>
                </c:pt>
                <c:pt idx="8">
                  <c:v>34545.226265741454</c:v>
                </c:pt>
                <c:pt idx="9">
                  <c:v>36625.845962423788</c:v>
                </c:pt>
                <c:pt idx="10">
                  <c:v>38044.619390516535</c:v>
                </c:pt>
                <c:pt idx="11">
                  <c:v>33415.656542056073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16697.400000000001</c:v>
                </c:pt>
                <c:pt idx="1">
                  <c:v>27875.016580147869</c:v>
                </c:pt>
                <c:pt idx="2">
                  <c:v>28433.420157189088</c:v>
                </c:pt>
                <c:pt idx="3">
                  <c:v>29208.617976852544</c:v>
                </c:pt>
                <c:pt idx="4">
                  <c:v>29713.038576889154</c:v>
                </c:pt>
                <c:pt idx="5">
                  <c:v>30769.229593267883</c:v>
                </c:pt>
                <c:pt idx="6">
                  <c:v>31670.615501149736</c:v>
                </c:pt>
                <c:pt idx="7">
                  <c:v>32574.826058113307</c:v>
                </c:pt>
                <c:pt idx="8">
                  <c:v>34545.226265741454</c:v>
                </c:pt>
                <c:pt idx="9">
                  <c:v>36625.845962423788</c:v>
                </c:pt>
                <c:pt idx="10">
                  <c:v>38044.619390516535</c:v>
                </c:pt>
                <c:pt idx="11">
                  <c:v>33415.656542056073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34107.200000000004</c:v>
                </c:pt>
                <c:pt idx="1">
                  <c:v>55750.03316029573</c:v>
                </c:pt>
                <c:pt idx="2">
                  <c:v>56866.840314378169</c:v>
                </c:pt>
                <c:pt idx="3">
                  <c:v>58417.235953705094</c:v>
                </c:pt>
                <c:pt idx="4">
                  <c:v>59426.0771537783</c:v>
                </c:pt>
                <c:pt idx="5">
                  <c:v>61538.459186535772</c:v>
                </c:pt>
                <c:pt idx="6">
                  <c:v>63341.231002299479</c:v>
                </c:pt>
                <c:pt idx="7">
                  <c:v>65149.652116226614</c:v>
                </c:pt>
                <c:pt idx="8">
                  <c:v>69090.452531482908</c:v>
                </c:pt>
                <c:pt idx="9">
                  <c:v>73251.691924847575</c:v>
                </c:pt>
                <c:pt idx="10">
                  <c:v>76089.238781033069</c:v>
                </c:pt>
                <c:pt idx="11">
                  <c:v>66831.313084112146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132558.79999999999</c:v>
                </c:pt>
                <c:pt idx="1">
                  <c:v>405541.71787996864</c:v>
                </c:pt>
                <c:pt idx="2">
                  <c:v>711191.8304843161</c:v>
                </c:pt>
                <c:pt idx="3">
                  <c:v>1023265.343088664</c:v>
                </c:pt>
                <c:pt idx="4">
                  <c:v>1399460.2556930115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-3186.6000000000004</c:v>
                </c:pt>
                <c:pt idx="1">
                  <c:v>-3602</c:v>
                </c:pt>
                <c:pt idx="2">
                  <c:v>-3910</c:v>
                </c:pt>
                <c:pt idx="3">
                  <c:v>-3177.6000000000004</c:v>
                </c:pt>
                <c:pt idx="4">
                  <c:v>-3168.8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403090.8</c:v>
                </c:pt>
                <c:pt idx="1">
                  <c:v>693873.7178799687</c:v>
                </c:pt>
                <c:pt idx="2">
                  <c:v>1020672.8304843161</c:v>
                </c:pt>
                <c:pt idx="3">
                  <c:v>1354283.3430886641</c:v>
                </c:pt>
                <c:pt idx="4">
                  <c:v>1751860.2556930115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210404.19999999998</c:v>
                </c:pt>
                <c:pt idx="1">
                  <c:v>566771.7178799687</c:v>
                </c:pt>
                <c:pt idx="2">
                  <c:v>901762.8304843161</c:v>
                </c:pt>
                <c:pt idx="3">
                  <c:v>1351105.743088664</c:v>
                </c:pt>
                <c:pt idx="4">
                  <c:v>1748691.4556930114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132558.79999999999</c:v>
                </c:pt>
                <c:pt idx="1">
                  <c:v>405541.71787996864</c:v>
                </c:pt>
                <c:pt idx="2">
                  <c:v>711191.8304843161</c:v>
                </c:pt>
                <c:pt idx="3">
                  <c:v>1023265.343088664</c:v>
                </c:pt>
                <c:pt idx="4">
                  <c:v>1399460.2556930115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1040675.143088664</c:v>
                </c:pt>
                <c:pt idx="1">
                  <c:v>1069262.559668812</c:v>
                </c:pt>
                <c:pt idx="2">
                  <c:v>1098328.3798260011</c:v>
                </c:pt>
                <c:pt idx="3">
                  <c:v>1128046.7978028536</c:v>
                </c:pt>
                <c:pt idx="4">
                  <c:v>1157613.0363797429</c:v>
                </c:pt>
                <c:pt idx="5">
                  <c:v>1188663.6659730107</c:v>
                </c:pt>
                <c:pt idx="6">
                  <c:v>1220710.4814741604</c:v>
                </c:pt>
                <c:pt idx="7">
                  <c:v>1253984.1075322737</c:v>
                </c:pt>
                <c:pt idx="8">
                  <c:v>1289230.5337980152</c:v>
                </c:pt>
                <c:pt idx="9">
                  <c:v>1326557.579760439</c:v>
                </c:pt>
                <c:pt idx="10">
                  <c:v>1365303.3991509555</c:v>
                </c:pt>
                <c:pt idx="11">
                  <c:v>1399460.2556930115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-3418.2000000000003</c:v>
                </c:pt>
                <c:pt idx="1">
                  <c:v>-3560.4</c:v>
                </c:pt>
                <c:pt idx="2">
                  <c:v>-3883</c:v>
                </c:pt>
                <c:pt idx="3">
                  <c:v>-4073.4</c:v>
                </c:pt>
                <c:pt idx="4">
                  <c:v>-5322.6</c:v>
                </c:pt>
                <c:pt idx="5">
                  <c:v>-5191.2000000000007</c:v>
                </c:pt>
                <c:pt idx="6">
                  <c:v>-5224</c:v>
                </c:pt>
                <c:pt idx="7">
                  <c:v>-4954.2000000000007</c:v>
                </c:pt>
                <c:pt idx="8">
                  <c:v>-4154.4000000000005</c:v>
                </c:pt>
                <c:pt idx="9">
                  <c:v>-3596.8</c:v>
                </c:pt>
                <c:pt idx="10">
                  <c:v>-3707</c:v>
                </c:pt>
                <c:pt idx="11">
                  <c:v>-3168.8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1373449.1430886639</c:v>
                </c:pt>
                <c:pt idx="1">
                  <c:v>1403947.559668812</c:v>
                </c:pt>
                <c:pt idx="2">
                  <c:v>1434924.3798260011</c:v>
                </c:pt>
                <c:pt idx="3">
                  <c:v>1466398.7978028536</c:v>
                </c:pt>
                <c:pt idx="4">
                  <c:v>1497721.0363797429</c:v>
                </c:pt>
                <c:pt idx="5">
                  <c:v>1530527.6659730107</c:v>
                </c:pt>
                <c:pt idx="6">
                  <c:v>1564330.4814741604</c:v>
                </c:pt>
                <c:pt idx="7">
                  <c:v>1599360.1075322737</c:v>
                </c:pt>
                <c:pt idx="8">
                  <c:v>1636362.5337980152</c:v>
                </c:pt>
                <c:pt idx="9">
                  <c:v>1675445.579760439</c:v>
                </c:pt>
                <c:pt idx="10">
                  <c:v>1715947.3991509555</c:v>
                </c:pt>
                <c:pt idx="11">
                  <c:v>1751860.2556930115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1370030.943088664</c:v>
                </c:pt>
                <c:pt idx="1">
                  <c:v>1400387.1596688121</c:v>
                </c:pt>
                <c:pt idx="2">
                  <c:v>1431041.3798260011</c:v>
                </c:pt>
                <c:pt idx="3">
                  <c:v>1462325.3978028537</c:v>
                </c:pt>
                <c:pt idx="4">
                  <c:v>1492398.4363797428</c:v>
                </c:pt>
                <c:pt idx="5">
                  <c:v>1525336.4659730108</c:v>
                </c:pt>
                <c:pt idx="6">
                  <c:v>1559106.4814741604</c:v>
                </c:pt>
                <c:pt idx="7">
                  <c:v>1594405.9075322738</c:v>
                </c:pt>
                <c:pt idx="8">
                  <c:v>1632208.1337980153</c:v>
                </c:pt>
                <c:pt idx="9">
                  <c:v>1671848.7797604389</c:v>
                </c:pt>
                <c:pt idx="10">
                  <c:v>1712240.3991509555</c:v>
                </c:pt>
                <c:pt idx="11">
                  <c:v>1748691.4556930114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1040675.143088664</c:v>
                </c:pt>
                <c:pt idx="1">
                  <c:v>1069262.559668812</c:v>
                </c:pt>
                <c:pt idx="2">
                  <c:v>1098328.3798260011</c:v>
                </c:pt>
                <c:pt idx="3">
                  <c:v>1128046.7978028536</c:v>
                </c:pt>
                <c:pt idx="4">
                  <c:v>1157613.0363797429</c:v>
                </c:pt>
                <c:pt idx="5">
                  <c:v>1188663.6659730107</c:v>
                </c:pt>
                <c:pt idx="6">
                  <c:v>1220710.4814741604</c:v>
                </c:pt>
                <c:pt idx="7">
                  <c:v>1253984.1075322737</c:v>
                </c:pt>
                <c:pt idx="8">
                  <c:v>1289230.5337980152</c:v>
                </c:pt>
                <c:pt idx="9">
                  <c:v>1326557.579760439</c:v>
                </c:pt>
                <c:pt idx="10">
                  <c:v>1365303.3991509555</c:v>
                </c:pt>
                <c:pt idx="11">
                  <c:v>1399460.2556930115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2023 Bars</a:t>
            </a:r>
            <a:r>
              <a:rPr lang="en-GB" baseline="0"/>
              <a:t> Monocrystalline Lines Polycrystalline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'IS 2023'!$C$18</c:f>
              <c:strCache>
                <c:ptCount val="1"/>
                <c:pt idx="0">
                  <c:v>Field 3 25 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2023'!$F$18:$Q$18</c:f>
              <c:numCache>
                <c:formatCode>#,##0</c:formatCode>
                <c:ptCount val="12"/>
                <c:pt idx="0">
                  <c:v>6593</c:v>
                </c:pt>
                <c:pt idx="1">
                  <c:v>6837</c:v>
                </c:pt>
                <c:pt idx="2">
                  <c:v>7382</c:v>
                </c:pt>
                <c:pt idx="3">
                  <c:v>7537</c:v>
                </c:pt>
                <c:pt idx="4">
                  <c:v>8499</c:v>
                </c:pt>
                <c:pt idx="5">
                  <c:v>8704</c:v>
                </c:pt>
                <c:pt idx="6">
                  <c:v>8877</c:v>
                </c:pt>
                <c:pt idx="7">
                  <c:v>8800</c:v>
                </c:pt>
                <c:pt idx="8">
                  <c:v>7782</c:v>
                </c:pt>
                <c:pt idx="9">
                  <c:v>6037</c:v>
                </c:pt>
                <c:pt idx="10">
                  <c:v>5499</c:v>
                </c:pt>
                <c:pt idx="11">
                  <c:v>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C-4489-8146-5D459812685F}"/>
            </c:ext>
          </c:extLst>
        </c:ser>
        <c:ser>
          <c:idx val="3"/>
          <c:order val="3"/>
          <c:tx>
            <c:strRef>
              <c:f>'IS 2023'!$C$19</c:f>
              <c:strCache>
                <c:ptCount val="1"/>
                <c:pt idx="0">
                  <c:v>Field 4 35 kWh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2023'!$F$19:$Q$19</c:f>
              <c:numCache>
                <c:formatCode>#,##0</c:formatCode>
                <c:ptCount val="12"/>
                <c:pt idx="0">
                  <c:v>8037</c:v>
                </c:pt>
                <c:pt idx="1">
                  <c:v>8499</c:v>
                </c:pt>
                <c:pt idx="2">
                  <c:v>9204</c:v>
                </c:pt>
                <c:pt idx="3">
                  <c:v>9204</c:v>
                </c:pt>
                <c:pt idx="4">
                  <c:v>11294</c:v>
                </c:pt>
                <c:pt idx="5">
                  <c:v>12034</c:v>
                </c:pt>
                <c:pt idx="6">
                  <c:v>12122</c:v>
                </c:pt>
                <c:pt idx="7">
                  <c:v>12122</c:v>
                </c:pt>
                <c:pt idx="8">
                  <c:v>8704</c:v>
                </c:pt>
                <c:pt idx="9">
                  <c:v>7037</c:v>
                </c:pt>
                <c:pt idx="10">
                  <c:v>7499</c:v>
                </c:pt>
                <c:pt idx="11">
                  <c:v>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C-4489-8146-5D459812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935437984"/>
        <c:axId val="935438464"/>
      </c:barChart>
      <c:lineChart>
        <c:grouping val="standard"/>
        <c:varyColors val="0"/>
        <c:ser>
          <c:idx val="0"/>
          <c:order val="0"/>
          <c:tx>
            <c:strRef>
              <c:f>'IS 2023'!$C$11</c:f>
              <c:strCache>
                <c:ptCount val="1"/>
                <c:pt idx="0">
                  <c:v>Field 1 25 kWh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'IS 2023'!$F$11:$Q$11</c:f>
              <c:numCache>
                <c:formatCode>#,##0</c:formatCode>
                <c:ptCount val="12"/>
                <c:pt idx="0">
                  <c:v>5086</c:v>
                </c:pt>
                <c:pt idx="1">
                  <c:v>5191</c:v>
                </c:pt>
                <c:pt idx="2">
                  <c:v>5322</c:v>
                </c:pt>
                <c:pt idx="3">
                  <c:v>5442</c:v>
                </c:pt>
                <c:pt idx="4">
                  <c:v>5704</c:v>
                </c:pt>
                <c:pt idx="5">
                  <c:v>5915</c:v>
                </c:pt>
                <c:pt idx="6">
                  <c:v>6677</c:v>
                </c:pt>
                <c:pt idx="7">
                  <c:v>6677</c:v>
                </c:pt>
                <c:pt idx="8">
                  <c:v>6677</c:v>
                </c:pt>
                <c:pt idx="9">
                  <c:v>6799</c:v>
                </c:pt>
                <c:pt idx="10">
                  <c:v>6677</c:v>
                </c:pt>
                <c:pt idx="11">
                  <c:v>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C-4489-8146-5D459812685F}"/>
            </c:ext>
          </c:extLst>
        </c:ser>
        <c:ser>
          <c:idx val="1"/>
          <c:order val="1"/>
          <c:tx>
            <c:strRef>
              <c:f>'IS 2023'!$C$12</c:f>
              <c:strCache>
                <c:ptCount val="1"/>
                <c:pt idx="0">
                  <c:v>Field 2 35 kWh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'IS 2023'!$F$12:$Q$12</c:f>
              <c:numCache>
                <c:formatCode>#,##0</c:formatCode>
                <c:ptCount val="12"/>
                <c:pt idx="0">
                  <c:v>6357</c:v>
                </c:pt>
                <c:pt idx="1">
                  <c:v>6357</c:v>
                </c:pt>
                <c:pt idx="2">
                  <c:v>6489</c:v>
                </c:pt>
                <c:pt idx="3">
                  <c:v>6653</c:v>
                </c:pt>
                <c:pt idx="4">
                  <c:v>6802</c:v>
                </c:pt>
                <c:pt idx="5">
                  <c:v>7130</c:v>
                </c:pt>
                <c:pt idx="6">
                  <c:v>8322</c:v>
                </c:pt>
                <c:pt idx="7">
                  <c:v>8322</c:v>
                </c:pt>
                <c:pt idx="8">
                  <c:v>8322</c:v>
                </c:pt>
                <c:pt idx="9">
                  <c:v>7411</c:v>
                </c:pt>
                <c:pt idx="10">
                  <c:v>7411</c:v>
                </c:pt>
                <c:pt idx="11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4C-4489-8146-5D459812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437984"/>
        <c:axId val="935438464"/>
      </c:lineChart>
      <c:catAx>
        <c:axId val="93543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438464"/>
        <c:crosses val="autoZero"/>
        <c:auto val="1"/>
        <c:lblAlgn val="ctr"/>
        <c:lblOffset val="100"/>
        <c:noMultiLvlLbl val="0"/>
      </c:catAx>
      <c:valAx>
        <c:axId val="9354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437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6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2024 Bars Monocrystalline Lines Polycrystalline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'IS 2024'!$C$18</c:f>
              <c:strCache>
                <c:ptCount val="1"/>
                <c:pt idx="0">
                  <c:v>Field 3 25 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2024'!$F$18:$Q$18</c:f>
              <c:numCache>
                <c:formatCode>#,##0</c:formatCode>
                <c:ptCount val="12"/>
                <c:pt idx="0">
                  <c:v>7393</c:v>
                </c:pt>
                <c:pt idx="1">
                  <c:v>7537</c:v>
                </c:pt>
                <c:pt idx="2">
                  <c:v>7782</c:v>
                </c:pt>
                <c:pt idx="3">
                  <c:v>8037</c:v>
                </c:pt>
                <c:pt idx="4">
                  <c:v>8499</c:v>
                </c:pt>
                <c:pt idx="5">
                  <c:v>8704</c:v>
                </c:pt>
                <c:pt idx="6">
                  <c:v>8877</c:v>
                </c:pt>
                <c:pt idx="7">
                  <c:v>8800</c:v>
                </c:pt>
                <c:pt idx="8">
                  <c:v>7782</c:v>
                </c:pt>
                <c:pt idx="9">
                  <c:v>7782</c:v>
                </c:pt>
                <c:pt idx="10">
                  <c:v>6777</c:v>
                </c:pt>
                <c:pt idx="11">
                  <c:v>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E-4416-95C5-247E4B198DBA}"/>
            </c:ext>
          </c:extLst>
        </c:ser>
        <c:ser>
          <c:idx val="3"/>
          <c:order val="3"/>
          <c:tx>
            <c:strRef>
              <c:f>'IS 2024'!$C$19</c:f>
              <c:strCache>
                <c:ptCount val="1"/>
                <c:pt idx="0">
                  <c:v>Field 4 35 kWh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2024'!$F$19:$Q$19</c:f>
              <c:numCache>
                <c:formatCode>#,##0</c:formatCode>
                <c:ptCount val="12"/>
                <c:pt idx="0">
                  <c:v>8037</c:v>
                </c:pt>
                <c:pt idx="1">
                  <c:v>8499</c:v>
                </c:pt>
                <c:pt idx="2">
                  <c:v>9204</c:v>
                </c:pt>
                <c:pt idx="3">
                  <c:v>9204</c:v>
                </c:pt>
                <c:pt idx="4">
                  <c:v>11294</c:v>
                </c:pt>
                <c:pt idx="5">
                  <c:v>12034</c:v>
                </c:pt>
                <c:pt idx="6">
                  <c:v>12122</c:v>
                </c:pt>
                <c:pt idx="7">
                  <c:v>12122</c:v>
                </c:pt>
                <c:pt idx="8">
                  <c:v>8704</c:v>
                </c:pt>
                <c:pt idx="9">
                  <c:v>7037</c:v>
                </c:pt>
                <c:pt idx="10">
                  <c:v>7499</c:v>
                </c:pt>
                <c:pt idx="11">
                  <c:v>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E-4416-95C5-247E4B19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935354944"/>
        <c:axId val="935341984"/>
      </c:barChart>
      <c:lineChart>
        <c:grouping val="standard"/>
        <c:varyColors val="0"/>
        <c:ser>
          <c:idx val="0"/>
          <c:order val="0"/>
          <c:tx>
            <c:strRef>
              <c:f>'IS 2024'!$C$11</c:f>
              <c:strCache>
                <c:ptCount val="1"/>
                <c:pt idx="0">
                  <c:v>Field 1 25 kWh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'IS 2024'!$F$11:$Q$11</c:f>
              <c:numCache>
                <c:formatCode>#,##0</c:formatCode>
                <c:ptCount val="12"/>
                <c:pt idx="0">
                  <c:v>5322</c:v>
                </c:pt>
                <c:pt idx="1">
                  <c:v>5915</c:v>
                </c:pt>
                <c:pt idx="2">
                  <c:v>5915</c:v>
                </c:pt>
                <c:pt idx="3">
                  <c:v>5915</c:v>
                </c:pt>
                <c:pt idx="4">
                  <c:v>5915</c:v>
                </c:pt>
                <c:pt idx="5">
                  <c:v>5915</c:v>
                </c:pt>
                <c:pt idx="6">
                  <c:v>6029</c:v>
                </c:pt>
                <c:pt idx="7">
                  <c:v>6226</c:v>
                </c:pt>
                <c:pt idx="8">
                  <c:v>6430</c:v>
                </c:pt>
                <c:pt idx="9">
                  <c:v>6799</c:v>
                </c:pt>
                <c:pt idx="10">
                  <c:v>6964</c:v>
                </c:pt>
                <c:pt idx="11">
                  <c:v>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E-4416-95C5-247E4B198DBA}"/>
            </c:ext>
          </c:extLst>
        </c:ser>
        <c:ser>
          <c:idx val="1"/>
          <c:order val="1"/>
          <c:tx>
            <c:strRef>
              <c:f>'IS 2024'!$C$12</c:f>
              <c:strCache>
                <c:ptCount val="1"/>
                <c:pt idx="0">
                  <c:v>Field 2 35 kWh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'IS 2024'!$F$12:$Q$12</c:f>
              <c:numCache>
                <c:formatCode>#,##0</c:formatCode>
                <c:ptCount val="12"/>
                <c:pt idx="0">
                  <c:v>6357</c:v>
                </c:pt>
                <c:pt idx="1">
                  <c:v>6357</c:v>
                </c:pt>
                <c:pt idx="2">
                  <c:v>6489</c:v>
                </c:pt>
                <c:pt idx="3">
                  <c:v>6653</c:v>
                </c:pt>
                <c:pt idx="4">
                  <c:v>6802</c:v>
                </c:pt>
                <c:pt idx="5">
                  <c:v>7130</c:v>
                </c:pt>
                <c:pt idx="6">
                  <c:v>7393</c:v>
                </c:pt>
                <c:pt idx="7">
                  <c:v>7537</c:v>
                </c:pt>
                <c:pt idx="8">
                  <c:v>7782</c:v>
                </c:pt>
                <c:pt idx="9">
                  <c:v>8037</c:v>
                </c:pt>
                <c:pt idx="10">
                  <c:v>8499</c:v>
                </c:pt>
                <c:pt idx="11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6E-4416-95C5-247E4B19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354944"/>
        <c:axId val="935341984"/>
      </c:lineChart>
      <c:catAx>
        <c:axId val="935354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341984"/>
        <c:crosses val="autoZero"/>
        <c:auto val="1"/>
        <c:lblAlgn val="ctr"/>
        <c:lblOffset val="100"/>
        <c:noMultiLvlLbl val="0"/>
      </c:catAx>
      <c:valAx>
        <c:axId val="93534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354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2025 Bars Monocrystalline Lines Polycrystalline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'IS 2025'!$C$18</c:f>
              <c:strCache>
                <c:ptCount val="1"/>
                <c:pt idx="0">
                  <c:v>Field 3 25 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2025'!$F$18:$Q$18</c:f>
              <c:numCache>
                <c:formatCode>#,##0</c:formatCode>
                <c:ptCount val="12"/>
                <c:pt idx="0">
                  <c:v>7393</c:v>
                </c:pt>
                <c:pt idx="1">
                  <c:v>7537</c:v>
                </c:pt>
                <c:pt idx="2">
                  <c:v>7782</c:v>
                </c:pt>
                <c:pt idx="3">
                  <c:v>8037</c:v>
                </c:pt>
                <c:pt idx="4">
                  <c:v>8499</c:v>
                </c:pt>
                <c:pt idx="5">
                  <c:v>8704</c:v>
                </c:pt>
                <c:pt idx="6">
                  <c:v>8877</c:v>
                </c:pt>
                <c:pt idx="7">
                  <c:v>8800</c:v>
                </c:pt>
                <c:pt idx="8">
                  <c:v>7782</c:v>
                </c:pt>
                <c:pt idx="9">
                  <c:v>6037</c:v>
                </c:pt>
                <c:pt idx="10">
                  <c:v>5499</c:v>
                </c:pt>
                <c:pt idx="11">
                  <c:v>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4-4C22-A7CB-ACC9174680CD}"/>
            </c:ext>
          </c:extLst>
        </c:ser>
        <c:ser>
          <c:idx val="3"/>
          <c:order val="3"/>
          <c:tx>
            <c:strRef>
              <c:f>'IS 2025'!$C$19</c:f>
              <c:strCache>
                <c:ptCount val="1"/>
                <c:pt idx="0">
                  <c:v>Field 4 35 kWh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2025'!$F$19:$Q$19</c:f>
              <c:numCache>
                <c:formatCode>#,##0</c:formatCode>
                <c:ptCount val="12"/>
                <c:pt idx="0">
                  <c:v>8037</c:v>
                </c:pt>
                <c:pt idx="1">
                  <c:v>8499</c:v>
                </c:pt>
                <c:pt idx="2">
                  <c:v>9204</c:v>
                </c:pt>
                <c:pt idx="3">
                  <c:v>9204</c:v>
                </c:pt>
                <c:pt idx="4">
                  <c:v>11294</c:v>
                </c:pt>
                <c:pt idx="5">
                  <c:v>12034</c:v>
                </c:pt>
                <c:pt idx="6">
                  <c:v>12122</c:v>
                </c:pt>
                <c:pt idx="7">
                  <c:v>12122</c:v>
                </c:pt>
                <c:pt idx="8">
                  <c:v>8704</c:v>
                </c:pt>
                <c:pt idx="9">
                  <c:v>7037</c:v>
                </c:pt>
                <c:pt idx="10">
                  <c:v>7499</c:v>
                </c:pt>
                <c:pt idx="11">
                  <c:v>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4-4C22-A7CB-ACC917468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681587936"/>
        <c:axId val="681582176"/>
      </c:barChart>
      <c:lineChart>
        <c:grouping val="standard"/>
        <c:varyColors val="0"/>
        <c:ser>
          <c:idx val="0"/>
          <c:order val="0"/>
          <c:tx>
            <c:strRef>
              <c:f>'IS 2025'!$C$11</c:f>
              <c:strCache>
                <c:ptCount val="1"/>
                <c:pt idx="0">
                  <c:v>Field 1 25 kWh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'IS 2025'!$F$11:$Q$11</c:f>
              <c:numCache>
                <c:formatCode>#,##0</c:formatCode>
                <c:ptCount val="12"/>
                <c:pt idx="0">
                  <c:v>5086</c:v>
                </c:pt>
                <c:pt idx="1">
                  <c:v>5191</c:v>
                </c:pt>
                <c:pt idx="2">
                  <c:v>5322</c:v>
                </c:pt>
                <c:pt idx="3">
                  <c:v>5442</c:v>
                </c:pt>
                <c:pt idx="4">
                  <c:v>5704</c:v>
                </c:pt>
                <c:pt idx="5">
                  <c:v>5915</c:v>
                </c:pt>
                <c:pt idx="6">
                  <c:v>6029</c:v>
                </c:pt>
                <c:pt idx="7">
                  <c:v>6226</c:v>
                </c:pt>
                <c:pt idx="8">
                  <c:v>6430</c:v>
                </c:pt>
                <c:pt idx="9">
                  <c:v>6799</c:v>
                </c:pt>
                <c:pt idx="10">
                  <c:v>6964</c:v>
                </c:pt>
                <c:pt idx="11">
                  <c:v>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4-4C22-A7CB-ACC9174680CD}"/>
            </c:ext>
          </c:extLst>
        </c:ser>
        <c:ser>
          <c:idx val="1"/>
          <c:order val="1"/>
          <c:tx>
            <c:strRef>
              <c:f>'IS 2025'!$C$12</c:f>
              <c:strCache>
                <c:ptCount val="1"/>
                <c:pt idx="0">
                  <c:v>Field 2 35 kWh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'IS 2025'!$F$12:$Q$12</c:f>
              <c:numCache>
                <c:formatCode>#,##0</c:formatCode>
                <c:ptCount val="12"/>
                <c:pt idx="0">
                  <c:v>6357</c:v>
                </c:pt>
                <c:pt idx="1">
                  <c:v>6357</c:v>
                </c:pt>
                <c:pt idx="2">
                  <c:v>6489</c:v>
                </c:pt>
                <c:pt idx="3">
                  <c:v>6653</c:v>
                </c:pt>
                <c:pt idx="4">
                  <c:v>6802</c:v>
                </c:pt>
                <c:pt idx="5">
                  <c:v>7130</c:v>
                </c:pt>
                <c:pt idx="6">
                  <c:v>7393</c:v>
                </c:pt>
                <c:pt idx="7">
                  <c:v>7537</c:v>
                </c:pt>
                <c:pt idx="8">
                  <c:v>7782</c:v>
                </c:pt>
                <c:pt idx="9">
                  <c:v>8037</c:v>
                </c:pt>
                <c:pt idx="10">
                  <c:v>8499</c:v>
                </c:pt>
                <c:pt idx="11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C4-4C22-A7CB-ACC917468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587936"/>
        <c:axId val="681582176"/>
      </c:lineChart>
      <c:catAx>
        <c:axId val="68158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582176"/>
        <c:crosses val="autoZero"/>
        <c:auto val="1"/>
        <c:lblAlgn val="ctr"/>
        <c:lblOffset val="100"/>
        <c:noMultiLvlLbl val="0"/>
      </c:catAx>
      <c:valAx>
        <c:axId val="68158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5879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2026 Bars Monocrystalline Lines Polycrystalline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'IS 2026'!$C$18</c:f>
              <c:strCache>
                <c:ptCount val="1"/>
                <c:pt idx="0">
                  <c:v>Field 3 25 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2026'!$F$18:$Q$18</c:f>
              <c:numCache>
                <c:formatCode>#,##0</c:formatCode>
                <c:ptCount val="12"/>
                <c:pt idx="0">
                  <c:v>7393</c:v>
                </c:pt>
                <c:pt idx="1">
                  <c:v>7537</c:v>
                </c:pt>
                <c:pt idx="2">
                  <c:v>7782</c:v>
                </c:pt>
                <c:pt idx="3">
                  <c:v>8037</c:v>
                </c:pt>
                <c:pt idx="4">
                  <c:v>8499</c:v>
                </c:pt>
                <c:pt idx="5">
                  <c:v>8704</c:v>
                </c:pt>
                <c:pt idx="6">
                  <c:v>8877</c:v>
                </c:pt>
                <c:pt idx="7">
                  <c:v>8800</c:v>
                </c:pt>
                <c:pt idx="8">
                  <c:v>7782</c:v>
                </c:pt>
                <c:pt idx="9">
                  <c:v>6037</c:v>
                </c:pt>
                <c:pt idx="10">
                  <c:v>5499</c:v>
                </c:pt>
                <c:pt idx="11">
                  <c:v>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F-4AA6-BD9B-34568E52070D}"/>
            </c:ext>
          </c:extLst>
        </c:ser>
        <c:ser>
          <c:idx val="3"/>
          <c:order val="3"/>
          <c:tx>
            <c:strRef>
              <c:f>'IS 2026'!$C$19</c:f>
              <c:strCache>
                <c:ptCount val="1"/>
                <c:pt idx="0">
                  <c:v>Field 4 35 kWh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2026'!$F$19:$Q$19</c:f>
              <c:numCache>
                <c:formatCode>#,##0</c:formatCode>
                <c:ptCount val="12"/>
                <c:pt idx="0">
                  <c:v>8037</c:v>
                </c:pt>
                <c:pt idx="1">
                  <c:v>8499</c:v>
                </c:pt>
                <c:pt idx="2">
                  <c:v>9204</c:v>
                </c:pt>
                <c:pt idx="3">
                  <c:v>9204</c:v>
                </c:pt>
                <c:pt idx="4">
                  <c:v>11294</c:v>
                </c:pt>
                <c:pt idx="5">
                  <c:v>12034</c:v>
                </c:pt>
                <c:pt idx="6">
                  <c:v>12122</c:v>
                </c:pt>
                <c:pt idx="7">
                  <c:v>12122</c:v>
                </c:pt>
                <c:pt idx="8">
                  <c:v>8704</c:v>
                </c:pt>
                <c:pt idx="9">
                  <c:v>7037</c:v>
                </c:pt>
                <c:pt idx="10">
                  <c:v>7499</c:v>
                </c:pt>
                <c:pt idx="11">
                  <c:v>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F-4AA6-BD9B-34568E520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681568256"/>
        <c:axId val="681577856"/>
      </c:barChart>
      <c:lineChart>
        <c:grouping val="standard"/>
        <c:varyColors val="0"/>
        <c:ser>
          <c:idx val="0"/>
          <c:order val="0"/>
          <c:tx>
            <c:strRef>
              <c:f>'IS 2026'!$C$11</c:f>
              <c:strCache>
                <c:ptCount val="1"/>
                <c:pt idx="0">
                  <c:v>Field 1 25 kWh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'IS 2026'!$F$11:$Q$11</c:f>
              <c:numCache>
                <c:formatCode>#,##0</c:formatCode>
                <c:ptCount val="12"/>
                <c:pt idx="0">
                  <c:v>5086</c:v>
                </c:pt>
                <c:pt idx="1">
                  <c:v>5191</c:v>
                </c:pt>
                <c:pt idx="2">
                  <c:v>5322</c:v>
                </c:pt>
                <c:pt idx="3">
                  <c:v>5442</c:v>
                </c:pt>
                <c:pt idx="4">
                  <c:v>5704</c:v>
                </c:pt>
                <c:pt idx="5">
                  <c:v>5915</c:v>
                </c:pt>
                <c:pt idx="6">
                  <c:v>6029</c:v>
                </c:pt>
                <c:pt idx="7">
                  <c:v>6226</c:v>
                </c:pt>
                <c:pt idx="8">
                  <c:v>6430</c:v>
                </c:pt>
                <c:pt idx="9">
                  <c:v>6799</c:v>
                </c:pt>
                <c:pt idx="10">
                  <c:v>6964</c:v>
                </c:pt>
                <c:pt idx="11">
                  <c:v>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FF-4AA6-BD9B-34568E52070D}"/>
            </c:ext>
          </c:extLst>
        </c:ser>
        <c:ser>
          <c:idx val="1"/>
          <c:order val="1"/>
          <c:tx>
            <c:strRef>
              <c:f>'IS 2026'!$C$12</c:f>
              <c:strCache>
                <c:ptCount val="1"/>
                <c:pt idx="0">
                  <c:v>Field 2 35 kWh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'IS 2026'!$F$12:$Q$12</c:f>
              <c:numCache>
                <c:formatCode>#,##0</c:formatCode>
                <c:ptCount val="12"/>
                <c:pt idx="0">
                  <c:v>6357</c:v>
                </c:pt>
                <c:pt idx="1">
                  <c:v>6357</c:v>
                </c:pt>
                <c:pt idx="2">
                  <c:v>6489</c:v>
                </c:pt>
                <c:pt idx="3">
                  <c:v>6653</c:v>
                </c:pt>
                <c:pt idx="4">
                  <c:v>6802</c:v>
                </c:pt>
                <c:pt idx="5">
                  <c:v>7130</c:v>
                </c:pt>
                <c:pt idx="6">
                  <c:v>7393</c:v>
                </c:pt>
                <c:pt idx="7">
                  <c:v>7537</c:v>
                </c:pt>
                <c:pt idx="8">
                  <c:v>7782</c:v>
                </c:pt>
                <c:pt idx="9">
                  <c:v>8037</c:v>
                </c:pt>
                <c:pt idx="10">
                  <c:v>8499</c:v>
                </c:pt>
                <c:pt idx="11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FF-4AA6-BD9B-34568E520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568256"/>
        <c:axId val="681577856"/>
      </c:lineChart>
      <c:catAx>
        <c:axId val="68156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577856"/>
        <c:crosses val="autoZero"/>
        <c:auto val="1"/>
        <c:lblAlgn val="ctr"/>
        <c:lblOffset val="100"/>
        <c:noMultiLvlLbl val="0"/>
      </c:catAx>
      <c:valAx>
        <c:axId val="6815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5682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6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2027 Bars Monocrystalline Lines Polycrystalline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'IS 2026'!$C$18</c:f>
              <c:strCache>
                <c:ptCount val="1"/>
                <c:pt idx="0">
                  <c:v>Field 3 25 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2026'!$F$18:$Q$18</c:f>
              <c:numCache>
                <c:formatCode>#,##0</c:formatCode>
                <c:ptCount val="12"/>
                <c:pt idx="0">
                  <c:v>7393</c:v>
                </c:pt>
                <c:pt idx="1">
                  <c:v>7537</c:v>
                </c:pt>
                <c:pt idx="2">
                  <c:v>7782</c:v>
                </c:pt>
                <c:pt idx="3">
                  <c:v>8037</c:v>
                </c:pt>
                <c:pt idx="4">
                  <c:v>8499</c:v>
                </c:pt>
                <c:pt idx="5">
                  <c:v>8704</c:v>
                </c:pt>
                <c:pt idx="6">
                  <c:v>8877</c:v>
                </c:pt>
                <c:pt idx="7">
                  <c:v>8800</c:v>
                </c:pt>
                <c:pt idx="8">
                  <c:v>7782</c:v>
                </c:pt>
                <c:pt idx="9">
                  <c:v>6037</c:v>
                </c:pt>
                <c:pt idx="10">
                  <c:v>5499</c:v>
                </c:pt>
                <c:pt idx="11">
                  <c:v>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A-4A99-B8AB-C0EC33A45F89}"/>
            </c:ext>
          </c:extLst>
        </c:ser>
        <c:ser>
          <c:idx val="3"/>
          <c:order val="3"/>
          <c:tx>
            <c:strRef>
              <c:f>'IS 2026'!$C$19</c:f>
              <c:strCache>
                <c:ptCount val="1"/>
                <c:pt idx="0">
                  <c:v>Field 4 35 kWh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2026'!$F$19:$Q$19</c:f>
              <c:numCache>
                <c:formatCode>#,##0</c:formatCode>
                <c:ptCount val="12"/>
                <c:pt idx="0">
                  <c:v>8037</c:v>
                </c:pt>
                <c:pt idx="1">
                  <c:v>8499</c:v>
                </c:pt>
                <c:pt idx="2">
                  <c:v>9204</c:v>
                </c:pt>
                <c:pt idx="3">
                  <c:v>9204</c:v>
                </c:pt>
                <c:pt idx="4">
                  <c:v>11294</c:v>
                </c:pt>
                <c:pt idx="5">
                  <c:v>12034</c:v>
                </c:pt>
                <c:pt idx="6">
                  <c:v>12122</c:v>
                </c:pt>
                <c:pt idx="7">
                  <c:v>12122</c:v>
                </c:pt>
                <c:pt idx="8">
                  <c:v>8704</c:v>
                </c:pt>
                <c:pt idx="9">
                  <c:v>7037</c:v>
                </c:pt>
                <c:pt idx="10">
                  <c:v>7499</c:v>
                </c:pt>
                <c:pt idx="11">
                  <c:v>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A-4A99-B8AB-C0EC33A4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681548096"/>
        <c:axId val="681543296"/>
      </c:barChart>
      <c:lineChart>
        <c:grouping val="standard"/>
        <c:varyColors val="0"/>
        <c:ser>
          <c:idx val="0"/>
          <c:order val="0"/>
          <c:tx>
            <c:strRef>
              <c:f>'IS 2026'!$C$11</c:f>
              <c:strCache>
                <c:ptCount val="1"/>
                <c:pt idx="0">
                  <c:v>Field 1 25 kWh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'IS 2026'!$F$11:$Q$11</c:f>
              <c:numCache>
                <c:formatCode>#,##0</c:formatCode>
                <c:ptCount val="12"/>
                <c:pt idx="0">
                  <c:v>5086</c:v>
                </c:pt>
                <c:pt idx="1">
                  <c:v>5191</c:v>
                </c:pt>
                <c:pt idx="2">
                  <c:v>5322</c:v>
                </c:pt>
                <c:pt idx="3">
                  <c:v>5442</c:v>
                </c:pt>
                <c:pt idx="4">
                  <c:v>5704</c:v>
                </c:pt>
                <c:pt idx="5">
                  <c:v>5915</c:v>
                </c:pt>
                <c:pt idx="6">
                  <c:v>6029</c:v>
                </c:pt>
                <c:pt idx="7">
                  <c:v>6226</c:v>
                </c:pt>
                <c:pt idx="8">
                  <c:v>6430</c:v>
                </c:pt>
                <c:pt idx="9">
                  <c:v>6799</c:v>
                </c:pt>
                <c:pt idx="10">
                  <c:v>6964</c:v>
                </c:pt>
                <c:pt idx="11">
                  <c:v>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A-4A99-B8AB-C0EC33A45F89}"/>
            </c:ext>
          </c:extLst>
        </c:ser>
        <c:ser>
          <c:idx val="1"/>
          <c:order val="1"/>
          <c:tx>
            <c:strRef>
              <c:f>'IS 2026'!$C$12</c:f>
              <c:strCache>
                <c:ptCount val="1"/>
                <c:pt idx="0">
                  <c:v>Field 2 35 kWh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'IS 2026'!$F$12:$Q$12</c:f>
              <c:numCache>
                <c:formatCode>#,##0</c:formatCode>
                <c:ptCount val="12"/>
                <c:pt idx="0">
                  <c:v>6357</c:v>
                </c:pt>
                <c:pt idx="1">
                  <c:v>6357</c:v>
                </c:pt>
                <c:pt idx="2">
                  <c:v>6489</c:v>
                </c:pt>
                <c:pt idx="3">
                  <c:v>6653</c:v>
                </c:pt>
                <c:pt idx="4">
                  <c:v>6802</c:v>
                </c:pt>
                <c:pt idx="5">
                  <c:v>7130</c:v>
                </c:pt>
                <c:pt idx="6">
                  <c:v>7393</c:v>
                </c:pt>
                <c:pt idx="7">
                  <c:v>7537</c:v>
                </c:pt>
                <c:pt idx="8">
                  <c:v>7782</c:v>
                </c:pt>
                <c:pt idx="9">
                  <c:v>8037</c:v>
                </c:pt>
                <c:pt idx="10">
                  <c:v>8499</c:v>
                </c:pt>
                <c:pt idx="11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4A-4A99-B8AB-C0EC33A4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548096"/>
        <c:axId val="681543296"/>
      </c:lineChart>
      <c:catAx>
        <c:axId val="68154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543296"/>
        <c:crosses val="autoZero"/>
        <c:auto val="1"/>
        <c:lblAlgn val="ctr"/>
        <c:lblOffset val="100"/>
        <c:noMultiLvlLbl val="0"/>
      </c:catAx>
      <c:valAx>
        <c:axId val="68154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5480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359816</c:v>
                </c:pt>
                <c:pt idx="1">
                  <c:v>368093</c:v>
                </c:pt>
                <c:pt idx="2">
                  <c:v>360617</c:v>
                </c:pt>
                <c:pt idx="3">
                  <c:v>360617</c:v>
                </c:pt>
                <c:pt idx="4">
                  <c:v>370074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217196.80000000002</c:v>
                </c:pt>
                <c:pt idx="1" formatCode="#,##0">
                  <c:v>220024.80000000002</c:v>
                </c:pt>
                <c:pt idx="2" formatCode="#,##0">
                  <c:v>208486.19999999998</c:v>
                </c:pt>
                <c:pt idx="3" formatCode="#,##0">
                  <c:v>214791.4</c:v>
                </c:pt>
                <c:pt idx="4" formatCode="#,##0">
                  <c:v>222308.00000000003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318501.2</c:v>
                </c:pt>
                <c:pt idx="1" formatCode="#,##0">
                  <c:v>294118.2</c:v>
                </c:pt>
                <c:pt idx="2" formatCode="#,##0">
                  <c:v>261929.8</c:v>
                </c:pt>
                <c:pt idx="3" formatCode="#,##0">
                  <c:v>216862.6</c:v>
                </c:pt>
                <c:pt idx="4" formatCode="#,##0">
                  <c:v>205058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55860</c:v>
                </c:pt>
                <c:pt idx="1">
                  <c:v>55860</c:v>
                </c:pt>
                <c:pt idx="2">
                  <c:v>55860</c:v>
                </c:pt>
                <c:pt idx="3">
                  <c:v>55860</c:v>
                </c:pt>
                <c:pt idx="4">
                  <c:v>55860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10800</c:v>
                </c:pt>
                <c:pt idx="1">
                  <c:v>10800</c:v>
                </c:pt>
                <c:pt idx="2">
                  <c:v>10800</c:v>
                </c:pt>
                <c:pt idx="3">
                  <c:v>10800</c:v>
                </c:pt>
                <c:pt idx="4">
                  <c:v>10800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5916</c:v>
                </c:pt>
                <c:pt idx="1">
                  <c:v>5916</c:v>
                </c:pt>
                <c:pt idx="2">
                  <c:v>5916</c:v>
                </c:pt>
                <c:pt idx="3">
                  <c:v>5916</c:v>
                </c:pt>
                <c:pt idx="4">
                  <c:v>12840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55860</c:v>
                </c:pt>
                <c:pt idx="1">
                  <c:v>55860</c:v>
                </c:pt>
                <c:pt idx="2">
                  <c:v>55860</c:v>
                </c:pt>
                <c:pt idx="3">
                  <c:v>55860</c:v>
                </c:pt>
                <c:pt idx="4">
                  <c:v>55860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10800</c:v>
                </c:pt>
                <c:pt idx="1">
                  <c:v>10800</c:v>
                </c:pt>
                <c:pt idx="2">
                  <c:v>10800</c:v>
                </c:pt>
                <c:pt idx="3">
                  <c:v>10800</c:v>
                </c:pt>
                <c:pt idx="4">
                  <c:v>10800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5916</c:v>
                </c:pt>
                <c:pt idx="1">
                  <c:v>5916</c:v>
                </c:pt>
                <c:pt idx="2">
                  <c:v>5916</c:v>
                </c:pt>
                <c:pt idx="3">
                  <c:v>5916</c:v>
                </c:pt>
                <c:pt idx="4">
                  <c:v>12840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%'!$F$10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Area Where Installed</c:v>
                </c:pt>
                <c:pt idx="1">
                  <c:v>Area Where Installed</c:v>
                </c:pt>
                <c:pt idx="2">
                  <c:v>Area Where Installed</c:v>
                </c:pt>
                <c:pt idx="3">
                  <c:v>Area Where Installed</c:v>
                </c:pt>
                <c:pt idx="4">
                  <c:v>Area Where Installed</c:v>
                </c:pt>
                <c:pt idx="5">
                  <c:v>Area Where Installed</c:v>
                </c:pt>
                <c:pt idx="6">
                  <c:v>Area Where Installed</c:v>
                </c:pt>
                <c:pt idx="7">
                  <c:v>Area Where Installed</c:v>
                </c:pt>
                <c:pt idx="8">
                  <c:v>Area Where Installed</c:v>
                </c:pt>
                <c:pt idx="9">
                  <c:v>Area Where Installed</c:v>
                </c:pt>
                <c:pt idx="10">
                  <c:v>Area Where Installed</c:v>
                </c:pt>
                <c:pt idx="11">
                  <c:v>Area Where Installed</c:v>
                </c:pt>
                <c:pt idx="12">
                  <c:v>Area Where Installed</c:v>
                </c:pt>
                <c:pt idx="13">
                  <c:v>Area Where Installed</c:v>
                </c:pt>
                <c:pt idx="14">
                  <c:v>Area Where Installed</c:v>
                </c:pt>
                <c:pt idx="15">
                  <c:v>Area Where Installed</c:v>
                </c:pt>
                <c:pt idx="16">
                  <c:v>Area Where Installed</c:v>
                </c:pt>
                <c:pt idx="17">
                  <c:v>Area Where Installed</c:v>
                </c:pt>
                <c:pt idx="18">
                  <c:v>Area Where Installed</c:v>
                </c:pt>
                <c:pt idx="19">
                  <c:v>Area Where Installed</c:v>
                </c:pt>
                <c:pt idx="20">
                  <c:v>Area Where Installed</c:v>
                </c:pt>
                <c:pt idx="21">
                  <c:v>Area Where Installed</c:v>
                </c:pt>
                <c:pt idx="22">
                  <c:v>Area Where Installed</c:v>
                </c:pt>
                <c:pt idx="23">
                  <c:v>Area Where Installed</c:v>
                </c:pt>
                <c:pt idx="24">
                  <c:v>Area Where Installed</c:v>
                </c:pt>
              </c:strCache>
            </c:strRef>
          </c:cat>
          <c:val>
            <c:numRef>
              <c:f>'Servcies Team Upselling %'!$F$11:$F$35</c:f>
              <c:numCache>
                <c:formatCode>0%</c:formatCode>
                <c:ptCount val="25"/>
                <c:pt idx="0">
                  <c:v>1.0769230769230769</c:v>
                </c:pt>
                <c:pt idx="1">
                  <c:v>0.92307692307692313</c:v>
                </c:pt>
                <c:pt idx="2">
                  <c:v>1.0769230769230769</c:v>
                </c:pt>
                <c:pt idx="3">
                  <c:v>1.1538461538461537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1.0769230769230769</c:v>
                </c:pt>
                <c:pt idx="14">
                  <c:v>0.92307692307692313</c:v>
                </c:pt>
                <c:pt idx="15">
                  <c:v>1.0769230769230769</c:v>
                </c:pt>
                <c:pt idx="16">
                  <c:v>0.92307692307692313</c:v>
                </c:pt>
                <c:pt idx="17">
                  <c:v>1.0769230769230769</c:v>
                </c:pt>
                <c:pt idx="18">
                  <c:v>1.1538461538461537</c:v>
                </c:pt>
                <c:pt idx="19">
                  <c:v>0.92307692307692313</c:v>
                </c:pt>
                <c:pt idx="20">
                  <c:v>1</c:v>
                </c:pt>
                <c:pt idx="21">
                  <c:v>1.0769230769230769</c:v>
                </c:pt>
                <c:pt idx="22">
                  <c:v>1</c:v>
                </c:pt>
                <c:pt idx="23">
                  <c:v>1.0769230769230769</c:v>
                </c:pt>
                <c:pt idx="24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%'!$D$10</c:f>
              <c:strCache>
                <c:ptCount val="1"/>
                <c:pt idx="0">
                  <c:v>Actual Weeks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Area Where Installed</c:v>
                </c:pt>
                <c:pt idx="1">
                  <c:v>Area Where Installed</c:v>
                </c:pt>
                <c:pt idx="2">
                  <c:v>Area Where Installed</c:v>
                </c:pt>
                <c:pt idx="3">
                  <c:v>Area Where Installed</c:v>
                </c:pt>
                <c:pt idx="4">
                  <c:v>Area Where Installed</c:v>
                </c:pt>
                <c:pt idx="5">
                  <c:v>Area Where Installed</c:v>
                </c:pt>
                <c:pt idx="6">
                  <c:v>Area Where Installed</c:v>
                </c:pt>
                <c:pt idx="7">
                  <c:v>Area Where Installed</c:v>
                </c:pt>
                <c:pt idx="8">
                  <c:v>Area Where Installed</c:v>
                </c:pt>
                <c:pt idx="9">
                  <c:v>Area Where Installed</c:v>
                </c:pt>
                <c:pt idx="10">
                  <c:v>Area Where Installed</c:v>
                </c:pt>
                <c:pt idx="11">
                  <c:v>Area Where Installed</c:v>
                </c:pt>
                <c:pt idx="12">
                  <c:v>Area Where Installed</c:v>
                </c:pt>
                <c:pt idx="13">
                  <c:v>Area Where Installed</c:v>
                </c:pt>
                <c:pt idx="14">
                  <c:v>Area Where Installed</c:v>
                </c:pt>
                <c:pt idx="15">
                  <c:v>Area Where Installed</c:v>
                </c:pt>
                <c:pt idx="16">
                  <c:v>Area Where Installed</c:v>
                </c:pt>
                <c:pt idx="17">
                  <c:v>Area Where Installed</c:v>
                </c:pt>
                <c:pt idx="18">
                  <c:v>Area Where Installed</c:v>
                </c:pt>
                <c:pt idx="19">
                  <c:v>Area Where Installed</c:v>
                </c:pt>
                <c:pt idx="20">
                  <c:v>Area Where Installed</c:v>
                </c:pt>
                <c:pt idx="21">
                  <c:v>Area Where Installed</c:v>
                </c:pt>
                <c:pt idx="22">
                  <c:v>Area Where Installed</c:v>
                </c:pt>
                <c:pt idx="23">
                  <c:v>Area Where Installed</c:v>
                </c:pt>
                <c:pt idx="24">
                  <c:v>Area Where Installed</c:v>
                </c:pt>
              </c:strCache>
            </c:strRef>
          </c:cat>
          <c:val>
            <c:numRef>
              <c:f>'Servcies Team Upselling %'!$D$11:$D$35</c:f>
              <c:numCache>
                <c:formatCode>General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'Servcies Team Upselling %'!$E$10</c:f>
              <c:strCache>
                <c:ptCount val="1"/>
                <c:pt idx="0">
                  <c:v>Planned Weeks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Area Where Installed</c:v>
                </c:pt>
                <c:pt idx="1">
                  <c:v>Area Where Installed</c:v>
                </c:pt>
                <c:pt idx="2">
                  <c:v>Area Where Installed</c:v>
                </c:pt>
                <c:pt idx="3">
                  <c:v>Area Where Installed</c:v>
                </c:pt>
                <c:pt idx="4">
                  <c:v>Area Where Installed</c:v>
                </c:pt>
                <c:pt idx="5">
                  <c:v>Area Where Installed</c:v>
                </c:pt>
                <c:pt idx="6">
                  <c:v>Area Where Installed</c:v>
                </c:pt>
                <c:pt idx="7">
                  <c:v>Area Where Installed</c:v>
                </c:pt>
                <c:pt idx="8">
                  <c:v>Area Where Installed</c:v>
                </c:pt>
                <c:pt idx="9">
                  <c:v>Area Where Installed</c:v>
                </c:pt>
                <c:pt idx="10">
                  <c:v>Area Where Installed</c:v>
                </c:pt>
                <c:pt idx="11">
                  <c:v>Area Where Installed</c:v>
                </c:pt>
                <c:pt idx="12">
                  <c:v>Area Where Installed</c:v>
                </c:pt>
                <c:pt idx="13">
                  <c:v>Area Where Installed</c:v>
                </c:pt>
                <c:pt idx="14">
                  <c:v>Area Where Installed</c:v>
                </c:pt>
                <c:pt idx="15">
                  <c:v>Area Where Installed</c:v>
                </c:pt>
                <c:pt idx="16">
                  <c:v>Area Where Installed</c:v>
                </c:pt>
                <c:pt idx="17">
                  <c:v>Area Where Installed</c:v>
                </c:pt>
                <c:pt idx="18">
                  <c:v>Area Where Installed</c:v>
                </c:pt>
                <c:pt idx="19">
                  <c:v>Area Where Installed</c:v>
                </c:pt>
                <c:pt idx="20">
                  <c:v>Area Where Installed</c:v>
                </c:pt>
                <c:pt idx="21">
                  <c:v>Area Where Installed</c:v>
                </c:pt>
                <c:pt idx="22">
                  <c:v>Area Where Installed</c:v>
                </c:pt>
                <c:pt idx="23">
                  <c:v>Area Where Installed</c:v>
                </c:pt>
                <c:pt idx="24">
                  <c:v>Area Where Installed</c:v>
                </c:pt>
              </c:strCache>
            </c:strRef>
          </c:cat>
          <c:val>
            <c:numRef>
              <c:f>'Servcies Team Upselling %'!$E$11:$E$35</c:f>
              <c:numCache>
                <c:formatCode>General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Service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Area 1</c:v>
                </c:pt>
                <c:pt idx="1">
                  <c:v>Area 2</c:v>
                </c:pt>
                <c:pt idx="2">
                  <c:v>Area 3</c:v>
                </c:pt>
                <c:pt idx="3">
                  <c:v>Area 4</c:v>
                </c:pt>
                <c:pt idx="4">
                  <c:v>Area 5</c:v>
                </c:pt>
                <c:pt idx="5">
                  <c:v>Area 6</c:v>
                </c:pt>
                <c:pt idx="6">
                  <c:v>Area 7</c:v>
                </c:pt>
                <c:pt idx="7">
                  <c:v>Area 8</c:v>
                </c:pt>
                <c:pt idx="8">
                  <c:v>Area 9</c:v>
                </c:pt>
                <c:pt idx="9">
                  <c:v>Area 10</c:v>
                </c:pt>
                <c:pt idx="10">
                  <c:v>Area 11</c:v>
                </c:pt>
                <c:pt idx="11">
                  <c:v>Area 12</c:v>
                </c:pt>
                <c:pt idx="12">
                  <c:v>Area 14</c:v>
                </c:pt>
                <c:pt idx="13">
                  <c:v>Area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2760</c:v>
                </c:pt>
                <c:pt idx="1">
                  <c:v>2760</c:v>
                </c:pt>
                <c:pt idx="2">
                  <c:v>2660</c:v>
                </c:pt>
                <c:pt idx="3">
                  <c:v>2450</c:v>
                </c:pt>
                <c:pt idx="4">
                  <c:v>2500</c:v>
                </c:pt>
                <c:pt idx="5">
                  <c:v>2760</c:v>
                </c:pt>
                <c:pt idx="6">
                  <c:v>2760</c:v>
                </c:pt>
                <c:pt idx="7">
                  <c:v>2700</c:v>
                </c:pt>
                <c:pt idx="8">
                  <c:v>2750</c:v>
                </c:pt>
                <c:pt idx="9">
                  <c:v>3005</c:v>
                </c:pt>
                <c:pt idx="10">
                  <c:v>2970</c:v>
                </c:pt>
                <c:pt idx="11">
                  <c:v>2760</c:v>
                </c:pt>
                <c:pt idx="12">
                  <c:v>2350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Area 1</c:v>
                </c:pt>
                <c:pt idx="1">
                  <c:v>Area 2</c:v>
                </c:pt>
                <c:pt idx="2">
                  <c:v>Area 3</c:v>
                </c:pt>
                <c:pt idx="3">
                  <c:v>Area 4</c:v>
                </c:pt>
                <c:pt idx="4">
                  <c:v>Area 5</c:v>
                </c:pt>
                <c:pt idx="5">
                  <c:v>Area 6</c:v>
                </c:pt>
                <c:pt idx="6">
                  <c:v>Area 7</c:v>
                </c:pt>
                <c:pt idx="7">
                  <c:v>Area 8</c:v>
                </c:pt>
                <c:pt idx="8">
                  <c:v>Area 9</c:v>
                </c:pt>
                <c:pt idx="9">
                  <c:v>Area 10</c:v>
                </c:pt>
                <c:pt idx="10">
                  <c:v>Area 11</c:v>
                </c:pt>
                <c:pt idx="11">
                  <c:v>Area 12</c:v>
                </c:pt>
                <c:pt idx="12">
                  <c:v>Area 14</c:v>
                </c:pt>
                <c:pt idx="13">
                  <c:v>Area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2760</c:v>
                </c:pt>
                <c:pt idx="1">
                  <c:v>2660</c:v>
                </c:pt>
                <c:pt idx="2">
                  <c:v>2560</c:v>
                </c:pt>
                <c:pt idx="3">
                  <c:v>2550</c:v>
                </c:pt>
                <c:pt idx="4">
                  <c:v>2550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3000</c:v>
                </c:pt>
                <c:pt idx="10">
                  <c:v>2970</c:v>
                </c:pt>
                <c:pt idx="11">
                  <c:v>2760</c:v>
                </c:pt>
                <c:pt idx="12">
                  <c:v>2400</c:v>
                </c:pt>
                <c:pt idx="1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Area 1</c:v>
                </c:pt>
                <c:pt idx="1">
                  <c:v>Area 2</c:v>
                </c:pt>
                <c:pt idx="2">
                  <c:v>Area 3</c:v>
                </c:pt>
                <c:pt idx="3">
                  <c:v>Area 4</c:v>
                </c:pt>
                <c:pt idx="4">
                  <c:v>Area 5</c:v>
                </c:pt>
                <c:pt idx="5">
                  <c:v>Area 6</c:v>
                </c:pt>
                <c:pt idx="6">
                  <c:v>Area 7</c:v>
                </c:pt>
                <c:pt idx="7">
                  <c:v>Area 8</c:v>
                </c:pt>
                <c:pt idx="8">
                  <c:v>Area 9</c:v>
                </c:pt>
                <c:pt idx="9">
                  <c:v>Area 10</c:v>
                </c:pt>
                <c:pt idx="10">
                  <c:v>Area 11</c:v>
                </c:pt>
                <c:pt idx="11">
                  <c:v>Area 12</c:v>
                </c:pt>
                <c:pt idx="12">
                  <c:v>Area 14</c:v>
                </c:pt>
                <c:pt idx="13">
                  <c:v>Area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0</c:v>
                </c:pt>
                <c:pt idx="1">
                  <c:v>-100</c:v>
                </c:pt>
                <c:pt idx="2">
                  <c:v>-100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10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Area 1</c:v>
                </c:pt>
                <c:pt idx="1">
                  <c:v>Area 2</c:v>
                </c:pt>
                <c:pt idx="2">
                  <c:v>Area 3</c:v>
                </c:pt>
                <c:pt idx="3">
                  <c:v>Area 4</c:v>
                </c:pt>
                <c:pt idx="4">
                  <c:v>Area 5</c:v>
                </c:pt>
                <c:pt idx="5">
                  <c:v>Area 6</c:v>
                </c:pt>
                <c:pt idx="6">
                  <c:v>Area 7</c:v>
                </c:pt>
                <c:pt idx="7">
                  <c:v>Area 8</c:v>
                </c:pt>
                <c:pt idx="8">
                  <c:v>Area 9</c:v>
                </c:pt>
                <c:pt idx="9">
                  <c:v>Area 10</c:v>
                </c:pt>
                <c:pt idx="10">
                  <c:v>Area 11</c:v>
                </c:pt>
                <c:pt idx="11">
                  <c:v>Area 12</c:v>
                </c:pt>
                <c:pt idx="12">
                  <c:v>Area 13</c:v>
                </c:pt>
                <c:pt idx="13">
                  <c:v>Area 14</c:v>
                </c:pt>
                <c:pt idx="14">
                  <c:v>Area 15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Area 1</c:v>
                </c:pt>
                <c:pt idx="1">
                  <c:v>Area 2</c:v>
                </c:pt>
                <c:pt idx="2">
                  <c:v>Area 3</c:v>
                </c:pt>
                <c:pt idx="3">
                  <c:v>Area 4</c:v>
                </c:pt>
                <c:pt idx="4">
                  <c:v>Area 5</c:v>
                </c:pt>
                <c:pt idx="5">
                  <c:v>Area 6</c:v>
                </c:pt>
                <c:pt idx="6">
                  <c:v>Area 7</c:v>
                </c:pt>
                <c:pt idx="7">
                  <c:v>Area 8</c:v>
                </c:pt>
                <c:pt idx="8">
                  <c:v>Area 9</c:v>
                </c:pt>
                <c:pt idx="9">
                  <c:v>Area 10</c:v>
                </c:pt>
                <c:pt idx="10">
                  <c:v>Area 11</c:v>
                </c:pt>
                <c:pt idx="11">
                  <c:v>Area 12</c:v>
                </c:pt>
                <c:pt idx="12">
                  <c:v>Area 13</c:v>
                </c:pt>
                <c:pt idx="13">
                  <c:v>Area 14</c:v>
                </c:pt>
                <c:pt idx="14">
                  <c:v>Area 15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 For Projected New Arrays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 Area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 Area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 Area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 Area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 Area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 Area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388620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DD2A76-84F7-423D-913E-5EDB80E35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68580</xdr:rowOff>
    </xdr:from>
    <xdr:to>
      <xdr:col>23</xdr:col>
      <xdr:colOff>358140</xdr:colOff>
      <xdr:row>40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0C180C-4891-44F2-A56C-695D71E3D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40</xdr:row>
      <xdr:rowOff>129540</xdr:rowOff>
    </xdr:from>
    <xdr:to>
      <xdr:col>23</xdr:col>
      <xdr:colOff>342900</xdr:colOff>
      <xdr:row>61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BF577B-7BBE-479A-8C2F-717B71D70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62</xdr:row>
      <xdr:rowOff>45720</xdr:rowOff>
    </xdr:from>
    <xdr:to>
      <xdr:col>23</xdr:col>
      <xdr:colOff>335280</xdr:colOff>
      <xdr:row>81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0D1818-4B7C-4BED-906E-7C25F58C3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81</xdr:row>
      <xdr:rowOff>137160</xdr:rowOff>
    </xdr:from>
    <xdr:to>
      <xdr:col>23</xdr:col>
      <xdr:colOff>327660</xdr:colOff>
      <xdr:row>102</xdr:row>
      <xdr:rowOff>60960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428A565-6857-4EE4-8733-7F811BCB6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20</xdr:row>
      <xdr:rowOff>6620</xdr:rowOff>
    </xdr:from>
    <xdr:to>
      <xdr:col>23</xdr:col>
      <xdr:colOff>815473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5</xdr:row>
      <xdr:rowOff>0</xdr:rowOff>
    </xdr:from>
    <xdr:to>
      <xdr:col>23</xdr:col>
      <xdr:colOff>812800</xdr:colOff>
      <xdr:row>17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66</xdr:row>
      <xdr:rowOff>65548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15</xdr:col>
      <xdr:colOff>7620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13" dataDxfId="11" headerRowBorderDxfId="12" tableBorderDxfId="10" totalsRowBorderDxfId="9">
  <autoFilter ref="C5:K21" xr:uid="{EBD21203-E486-4586-AFC9-6F592D61DFCC}"/>
  <tableColumns count="9">
    <tableColumn id="1" xr3:uid="{8D2D7101-D3FE-421B-87F9-C86C66773D49}" name="Service" dataDxfId="8"/>
    <tableColumn id="3" xr3:uid="{F55B9943-3B62-49D3-BB11-14993B0D270B}" name="Actual" dataDxfId="7"/>
    <tableColumn id="4" xr3:uid="{37E28A73-E2A0-4B9E-8787-FFF5B4E95B08}" name="Target" dataDxfId="6"/>
    <tableColumn id="6" xr3:uid="{234C9C82-D518-4D19-A7F8-EDB9AB63E9C9}" name="% Of Costs" dataDxfId="5">
      <calculatedColumnFormula>D6/E6</calculatedColumnFormula>
    </tableColumn>
    <tableColumn id="5" xr3:uid="{AC96A10F-40BF-4DA2-A0A3-46BA470C2E6E}" name="Variance" dataDxfId="4">
      <calculatedColumnFormula>IF(ISBLANK(D6-E6),"",(D6-E6))</calculatedColumnFormula>
    </tableColumn>
    <tableColumn id="2" xr3:uid="{7B3113D1-1BEE-4F14-857C-3D27E19F9EA9}" name="Average" dataDxfId="3"/>
    <tableColumn id="7" xr3:uid="{57424F22-F241-4C83-B318-02C72B2E4298}" name="Totals" dataDxfId="2"/>
    <tableColumn id="8" xr3:uid="{96BBA01E-6EAC-433D-9785-566FBAF9FC5E}" name="Overuns" dataDxfId="1"/>
    <tableColumn id="9" xr3:uid="{0E2464E4-875E-430F-91F2-506267071B3A}" name="Totals2" dataDxfId="0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0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90"/>
  <sheetViews>
    <sheetView showGridLines="0" tabSelected="1" workbookViewId="0">
      <selection activeCell="U55" sqref="U55"/>
    </sheetView>
  </sheetViews>
  <sheetFormatPr defaultRowHeight="14.4" x14ac:dyDescent="0.3"/>
  <cols>
    <col min="1" max="1" width="5" customWidth="1"/>
    <col min="2" max="2" width="3.88671875" customWidth="1"/>
    <col min="5" max="5" width="13.21875" customWidth="1"/>
    <col min="6" max="6" width="10" style="127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7" t="s">
        <v>140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O2" s="313"/>
      <c r="P2" s="9"/>
      <c r="Q2" s="9"/>
      <c r="R2" s="9"/>
      <c r="S2" s="9"/>
      <c r="T2" s="9"/>
      <c r="U2" s="9"/>
    </row>
    <row r="3" spans="1:42" x14ac:dyDescent="0.3">
      <c r="A3" s="9"/>
      <c r="B3" s="9" t="s">
        <v>142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7"/>
      <c r="B5" s="150" t="s">
        <v>172</v>
      </c>
      <c r="C5" s="147"/>
      <c r="D5" s="147"/>
      <c r="E5" s="147"/>
      <c r="F5" s="200">
        <v>2023</v>
      </c>
      <c r="G5" s="200">
        <v>2023</v>
      </c>
      <c r="H5" s="200">
        <v>2023</v>
      </c>
      <c r="I5" s="200">
        <v>2023</v>
      </c>
      <c r="J5" s="200">
        <v>2023</v>
      </c>
      <c r="K5" s="200">
        <v>2023</v>
      </c>
      <c r="L5" s="200">
        <v>2023</v>
      </c>
      <c r="M5" s="200">
        <v>2023</v>
      </c>
      <c r="N5" s="200">
        <v>2023</v>
      </c>
      <c r="O5" s="200">
        <v>2023</v>
      </c>
      <c r="P5" s="200">
        <v>2023</v>
      </c>
      <c r="Q5" s="200">
        <v>2023</v>
      </c>
      <c r="R5" s="200">
        <v>2024</v>
      </c>
      <c r="S5" s="200">
        <v>2024</v>
      </c>
      <c r="T5" s="200">
        <v>2024</v>
      </c>
      <c r="U5" s="151" t="s">
        <v>72</v>
      </c>
    </row>
    <row r="6" spans="1:42" ht="15" thickBot="1" x14ac:dyDescent="0.35">
      <c r="A6" s="149"/>
      <c r="B6" s="156" t="s">
        <v>64</v>
      </c>
      <c r="C6" s="149"/>
      <c r="D6" s="149"/>
      <c r="E6" s="149"/>
      <c r="F6" s="199" t="s">
        <v>25</v>
      </c>
      <c r="G6" s="199" t="s">
        <v>26</v>
      </c>
      <c r="H6" s="199" t="s">
        <v>27</v>
      </c>
      <c r="I6" s="199" t="s">
        <v>28</v>
      </c>
      <c r="J6" s="199" t="s">
        <v>29</v>
      </c>
      <c r="K6" s="199" t="s">
        <v>30</v>
      </c>
      <c r="L6" s="199" t="s">
        <v>31</v>
      </c>
      <c r="M6" s="199" t="s">
        <v>32</v>
      </c>
      <c r="N6" s="199" t="s">
        <v>33</v>
      </c>
      <c r="O6" s="199" t="s">
        <v>34</v>
      </c>
      <c r="P6" s="199" t="s">
        <v>35</v>
      </c>
      <c r="Q6" s="199" t="s">
        <v>36</v>
      </c>
      <c r="R6" s="199" t="s">
        <v>25</v>
      </c>
      <c r="S6" s="199" t="s">
        <v>26</v>
      </c>
      <c r="T6" s="199" t="s">
        <v>27</v>
      </c>
      <c r="U6" s="162"/>
    </row>
    <row r="7" spans="1:42" s="12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30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9" t="s">
        <v>140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39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0.199999999999999" customHeight="1" x14ac:dyDescent="0.3">
      <c r="A10" s="9"/>
      <c r="B10" s="9"/>
      <c r="C10" s="139" t="s">
        <v>281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x14ac:dyDescent="0.3">
      <c r="A11" s="9"/>
      <c r="B11" s="9"/>
      <c r="C11" s="140" t="s">
        <v>273</v>
      </c>
      <c r="D11" s="9"/>
      <c r="E11" s="9"/>
      <c r="F11" s="328">
        <v>5086</v>
      </c>
      <c r="G11" s="328">
        <v>5191</v>
      </c>
      <c r="H11" s="328">
        <v>5322</v>
      </c>
      <c r="I11" s="328">
        <v>5442</v>
      </c>
      <c r="J11" s="328">
        <v>5704</v>
      </c>
      <c r="K11" s="328">
        <v>5915</v>
      </c>
      <c r="L11" s="328">
        <v>6677</v>
      </c>
      <c r="M11" s="328">
        <v>6677</v>
      </c>
      <c r="N11" s="328">
        <v>6677</v>
      </c>
      <c r="O11" s="328">
        <v>6799</v>
      </c>
      <c r="P11" s="328">
        <v>6677</v>
      </c>
      <c r="Q11" s="328">
        <v>5058</v>
      </c>
      <c r="R11" s="328">
        <f>'IS 2024'!F11</f>
        <v>5322</v>
      </c>
      <c r="S11" s="328">
        <f>'IS 2024'!G11</f>
        <v>5915</v>
      </c>
      <c r="T11" s="328">
        <f>'IS 2024'!H11</f>
        <v>5915</v>
      </c>
      <c r="U11" s="9"/>
    </row>
    <row r="12" spans="1:42" x14ac:dyDescent="0.3">
      <c r="A12" s="9"/>
      <c r="B12" s="9"/>
      <c r="C12" s="140" t="s">
        <v>274</v>
      </c>
      <c r="D12" s="9"/>
      <c r="E12" s="9"/>
      <c r="F12" s="328">
        <v>6357</v>
      </c>
      <c r="G12" s="328">
        <v>6357</v>
      </c>
      <c r="H12" s="328">
        <v>6489</v>
      </c>
      <c r="I12" s="328">
        <v>6653</v>
      </c>
      <c r="J12" s="328">
        <v>6802</v>
      </c>
      <c r="K12" s="328">
        <v>7130</v>
      </c>
      <c r="L12" s="328">
        <v>8322</v>
      </c>
      <c r="M12" s="328">
        <v>8322</v>
      </c>
      <c r="N12" s="328">
        <v>8322</v>
      </c>
      <c r="O12" s="328">
        <v>7411</v>
      </c>
      <c r="P12" s="328">
        <v>7411</v>
      </c>
      <c r="Q12" s="328">
        <v>7704</v>
      </c>
      <c r="R12" s="328">
        <f>'IS 2024'!F12</f>
        <v>6357</v>
      </c>
      <c r="S12" s="328">
        <f>'IS 2024'!G12</f>
        <v>6357</v>
      </c>
      <c r="T12" s="328">
        <f>'IS 2024'!H12</f>
        <v>6489</v>
      </c>
      <c r="U12" s="9"/>
    </row>
    <row r="13" spans="1:42" x14ac:dyDescent="0.3">
      <c r="A13" s="9"/>
      <c r="B13" s="9"/>
      <c r="C13" s="140" t="s">
        <v>276</v>
      </c>
      <c r="D13" s="9"/>
      <c r="E13" s="9"/>
      <c r="F13" s="328">
        <f>SUM(F11:F12)</f>
        <v>11443</v>
      </c>
      <c r="G13" s="328">
        <f t="shared" ref="G13:P13" si="0">SUM(G11:G12)</f>
        <v>11548</v>
      </c>
      <c r="H13" s="328">
        <f t="shared" si="0"/>
        <v>11811</v>
      </c>
      <c r="I13" s="328">
        <f t="shared" si="0"/>
        <v>12095</v>
      </c>
      <c r="J13" s="328">
        <f t="shared" si="0"/>
        <v>12506</v>
      </c>
      <c r="K13" s="328">
        <f t="shared" si="0"/>
        <v>13045</v>
      </c>
      <c r="L13" s="328">
        <f t="shared" si="0"/>
        <v>14999</v>
      </c>
      <c r="M13" s="328">
        <f t="shared" si="0"/>
        <v>14999</v>
      </c>
      <c r="N13" s="328">
        <f t="shared" si="0"/>
        <v>14999</v>
      </c>
      <c r="O13" s="328">
        <f t="shared" si="0"/>
        <v>14210</v>
      </c>
      <c r="P13" s="328">
        <f t="shared" si="0"/>
        <v>14088</v>
      </c>
      <c r="Q13" s="328">
        <f>SUM(Q11:Q12)</f>
        <v>12762</v>
      </c>
      <c r="R13" s="328">
        <f t="shared" ref="R13:T13" si="1">SUM(R11:R12)</f>
        <v>11679</v>
      </c>
      <c r="S13" s="328">
        <f t="shared" si="1"/>
        <v>12272</v>
      </c>
      <c r="T13" s="328">
        <f t="shared" si="1"/>
        <v>12404</v>
      </c>
      <c r="U13" s="9"/>
    </row>
    <row r="14" spans="1:42" x14ac:dyDescent="0.3">
      <c r="A14" s="9"/>
      <c r="B14" s="9"/>
      <c r="C14" s="140" t="s">
        <v>277</v>
      </c>
      <c r="D14" s="9"/>
      <c r="E14" s="9"/>
      <c r="F14" s="330">
        <v>15000</v>
      </c>
      <c r="G14" s="330">
        <v>15000</v>
      </c>
      <c r="H14" s="330">
        <v>15000</v>
      </c>
      <c r="I14" s="330">
        <v>15000</v>
      </c>
      <c r="J14" s="330">
        <v>15000</v>
      </c>
      <c r="K14" s="330">
        <v>15000</v>
      </c>
      <c r="L14" s="330">
        <v>15000</v>
      </c>
      <c r="M14" s="330">
        <v>15000</v>
      </c>
      <c r="N14" s="330">
        <v>15000</v>
      </c>
      <c r="O14" s="330">
        <v>15000</v>
      </c>
      <c r="P14" s="330">
        <v>15000</v>
      </c>
      <c r="Q14" s="330">
        <v>15000</v>
      </c>
      <c r="R14" s="330">
        <v>15000</v>
      </c>
      <c r="S14" s="330">
        <v>15000</v>
      </c>
      <c r="T14" s="330">
        <v>15000</v>
      </c>
      <c r="U14" s="9"/>
    </row>
    <row r="15" spans="1:42" x14ac:dyDescent="0.3">
      <c r="A15" s="9"/>
      <c r="B15" s="9"/>
      <c r="C15" s="140" t="s">
        <v>275</v>
      </c>
      <c r="D15" s="9"/>
      <c r="E15" s="9"/>
      <c r="F15" s="329">
        <f>F13/F$14</f>
        <v>0.76286666666666669</v>
      </c>
      <c r="G15" s="329">
        <f t="shared" ref="G15:Q15" si="2">G13/G$14</f>
        <v>0.7698666666666667</v>
      </c>
      <c r="H15" s="329">
        <f t="shared" si="2"/>
        <v>0.78739999999999999</v>
      </c>
      <c r="I15" s="329">
        <f t="shared" si="2"/>
        <v>0.80633333333333335</v>
      </c>
      <c r="J15" s="329">
        <f t="shared" si="2"/>
        <v>0.83373333333333333</v>
      </c>
      <c r="K15" s="329">
        <f t="shared" si="2"/>
        <v>0.8696666666666667</v>
      </c>
      <c r="L15" s="329">
        <f t="shared" si="2"/>
        <v>0.99993333333333334</v>
      </c>
      <c r="M15" s="329">
        <f t="shared" si="2"/>
        <v>0.99993333333333334</v>
      </c>
      <c r="N15" s="329">
        <f t="shared" si="2"/>
        <v>0.99993333333333334</v>
      </c>
      <c r="O15" s="329">
        <f t="shared" si="2"/>
        <v>0.94733333333333336</v>
      </c>
      <c r="P15" s="329">
        <f t="shared" si="2"/>
        <v>0.93920000000000003</v>
      </c>
      <c r="Q15" s="329">
        <f t="shared" si="2"/>
        <v>0.8508</v>
      </c>
      <c r="R15" s="329">
        <f t="shared" ref="R15:T15" si="3">R13/R$14</f>
        <v>0.77859999999999996</v>
      </c>
      <c r="S15" s="329">
        <f t="shared" si="3"/>
        <v>0.81813333333333338</v>
      </c>
      <c r="T15" s="329">
        <f t="shared" si="3"/>
        <v>0.8269333333333333</v>
      </c>
      <c r="U15" s="9"/>
    </row>
    <row r="16" spans="1:42" x14ac:dyDescent="0.3">
      <c r="A16" s="9"/>
      <c r="B16" s="9"/>
      <c r="C16" s="140"/>
      <c r="D16" s="9"/>
      <c r="E16" s="9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9"/>
    </row>
    <row r="17" spans="1:21" x14ac:dyDescent="0.3">
      <c r="A17" s="9"/>
      <c r="B17" s="9"/>
      <c r="C17" s="139" t="s">
        <v>280</v>
      </c>
      <c r="D17" s="9"/>
      <c r="E17" s="9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9"/>
    </row>
    <row r="18" spans="1:21" x14ac:dyDescent="0.3">
      <c r="A18" s="9"/>
      <c r="B18" s="9"/>
      <c r="C18" s="140" t="s">
        <v>278</v>
      </c>
      <c r="D18" s="9"/>
      <c r="E18" s="9"/>
      <c r="F18" s="328">
        <v>6593</v>
      </c>
      <c r="G18" s="328">
        <v>6837</v>
      </c>
      <c r="H18" s="328">
        <v>7382</v>
      </c>
      <c r="I18" s="328">
        <v>7537</v>
      </c>
      <c r="J18" s="328">
        <v>8499</v>
      </c>
      <c r="K18" s="328">
        <v>8704</v>
      </c>
      <c r="L18" s="328">
        <v>8877</v>
      </c>
      <c r="M18" s="328">
        <v>8800</v>
      </c>
      <c r="N18" s="328">
        <v>7782</v>
      </c>
      <c r="O18" s="328">
        <v>6037</v>
      </c>
      <c r="P18" s="328">
        <v>5499</v>
      </c>
      <c r="Q18" s="328">
        <v>5704</v>
      </c>
      <c r="R18" s="328">
        <f>'IS 2024'!F18</f>
        <v>7393</v>
      </c>
      <c r="S18" s="328">
        <f>'IS 2024'!G18</f>
        <v>7537</v>
      </c>
      <c r="T18" s="328">
        <f>'IS 2024'!H18</f>
        <v>7782</v>
      </c>
      <c r="U18" s="9"/>
    </row>
    <row r="19" spans="1:21" x14ac:dyDescent="0.3">
      <c r="A19" s="9"/>
      <c r="B19" s="9"/>
      <c r="C19" s="140" t="s">
        <v>279</v>
      </c>
      <c r="D19" s="9"/>
      <c r="E19" s="9"/>
      <c r="F19" s="328">
        <v>8037</v>
      </c>
      <c r="G19" s="328">
        <v>8499</v>
      </c>
      <c r="H19" s="328">
        <v>9204</v>
      </c>
      <c r="I19" s="328">
        <v>9204</v>
      </c>
      <c r="J19" s="328">
        <v>11294</v>
      </c>
      <c r="K19" s="328">
        <v>12034</v>
      </c>
      <c r="L19" s="328">
        <v>12122</v>
      </c>
      <c r="M19" s="328">
        <v>12122</v>
      </c>
      <c r="N19" s="328">
        <v>8704</v>
      </c>
      <c r="O19" s="328">
        <v>7037</v>
      </c>
      <c r="P19" s="328">
        <v>7499</v>
      </c>
      <c r="Q19" s="328">
        <v>7304</v>
      </c>
      <c r="R19" s="328">
        <f>'IS 2024'!F19</f>
        <v>8037</v>
      </c>
      <c r="S19" s="328">
        <f>'IS 2024'!G19</f>
        <v>8499</v>
      </c>
      <c r="T19" s="328">
        <f>'IS 2024'!H19</f>
        <v>9204</v>
      </c>
      <c r="U19" s="9"/>
    </row>
    <row r="20" spans="1:21" x14ac:dyDescent="0.3">
      <c r="A20" s="9"/>
      <c r="B20" s="9"/>
      <c r="C20" s="140" t="s">
        <v>276</v>
      </c>
      <c r="D20" s="9"/>
      <c r="E20" s="9"/>
      <c r="F20" s="328">
        <f>SUM(F18:F19)</f>
        <v>14630</v>
      </c>
      <c r="G20" s="328">
        <f t="shared" ref="G20:Q20" si="4">SUM(G18:G19)</f>
        <v>15336</v>
      </c>
      <c r="H20" s="328">
        <f t="shared" si="4"/>
        <v>16586</v>
      </c>
      <c r="I20" s="328">
        <f t="shared" si="4"/>
        <v>16741</v>
      </c>
      <c r="J20" s="328">
        <f t="shared" si="4"/>
        <v>19793</v>
      </c>
      <c r="K20" s="328">
        <f t="shared" si="4"/>
        <v>20738</v>
      </c>
      <c r="L20" s="328">
        <f t="shared" si="4"/>
        <v>20999</v>
      </c>
      <c r="M20" s="328">
        <f t="shared" si="4"/>
        <v>20922</v>
      </c>
      <c r="N20" s="328">
        <f t="shared" si="4"/>
        <v>16486</v>
      </c>
      <c r="O20" s="328">
        <f t="shared" si="4"/>
        <v>13074</v>
      </c>
      <c r="P20" s="328">
        <f t="shared" si="4"/>
        <v>12998</v>
      </c>
      <c r="Q20" s="328">
        <f t="shared" si="4"/>
        <v>13008</v>
      </c>
      <c r="R20" s="328">
        <f t="shared" ref="R20:T20" si="5">SUM(R18:R19)</f>
        <v>15430</v>
      </c>
      <c r="S20" s="328">
        <f t="shared" si="5"/>
        <v>16036</v>
      </c>
      <c r="T20" s="328">
        <f t="shared" si="5"/>
        <v>16986</v>
      </c>
      <c r="U20" s="9"/>
    </row>
    <row r="21" spans="1:21" x14ac:dyDescent="0.3">
      <c r="A21" s="9"/>
      <c r="B21" s="9"/>
      <c r="C21" s="140" t="s">
        <v>277</v>
      </c>
      <c r="D21" s="9"/>
      <c r="E21" s="9"/>
      <c r="F21" s="327">
        <v>21000</v>
      </c>
      <c r="G21" s="327">
        <v>21000</v>
      </c>
      <c r="H21" s="327">
        <v>21000</v>
      </c>
      <c r="I21" s="327">
        <v>21000</v>
      </c>
      <c r="J21" s="327">
        <v>21000</v>
      </c>
      <c r="K21" s="327">
        <v>21000</v>
      </c>
      <c r="L21" s="327">
        <v>21000</v>
      </c>
      <c r="M21" s="327">
        <v>21000</v>
      </c>
      <c r="N21" s="327">
        <v>21000</v>
      </c>
      <c r="O21" s="327">
        <v>21000</v>
      </c>
      <c r="P21" s="327">
        <v>21000</v>
      </c>
      <c r="Q21" s="327">
        <v>21000</v>
      </c>
      <c r="R21" s="327">
        <v>21000</v>
      </c>
      <c r="S21" s="327">
        <v>21000</v>
      </c>
      <c r="T21" s="327">
        <v>21000</v>
      </c>
      <c r="U21" s="9"/>
    </row>
    <row r="22" spans="1:21" x14ac:dyDescent="0.3">
      <c r="A22" s="9"/>
      <c r="B22" s="9"/>
      <c r="C22" s="140" t="s">
        <v>275</v>
      </c>
      <c r="D22" s="9"/>
      <c r="E22" s="9"/>
      <c r="F22" s="329">
        <f>F20/F$21</f>
        <v>0.69666666666666666</v>
      </c>
      <c r="G22" s="329">
        <f t="shared" ref="G22:Q22" si="6">G20/G$21</f>
        <v>0.73028571428571432</v>
      </c>
      <c r="H22" s="329">
        <f t="shared" si="6"/>
        <v>0.78980952380952385</v>
      </c>
      <c r="I22" s="329">
        <f t="shared" si="6"/>
        <v>0.79719047619047623</v>
      </c>
      <c r="J22" s="329">
        <f t="shared" si="6"/>
        <v>0.94252380952380954</v>
      </c>
      <c r="K22" s="329">
        <f t="shared" si="6"/>
        <v>0.98752380952380947</v>
      </c>
      <c r="L22" s="329">
        <f t="shared" si="6"/>
        <v>0.99995238095238093</v>
      </c>
      <c r="M22" s="329">
        <f t="shared" si="6"/>
        <v>0.99628571428571433</v>
      </c>
      <c r="N22" s="329">
        <f t="shared" si="6"/>
        <v>0.78504761904761899</v>
      </c>
      <c r="O22" s="329">
        <f t="shared" si="6"/>
        <v>0.62257142857142855</v>
      </c>
      <c r="P22" s="329">
        <f t="shared" si="6"/>
        <v>0.61895238095238092</v>
      </c>
      <c r="Q22" s="329">
        <f t="shared" si="6"/>
        <v>0.61942857142857144</v>
      </c>
      <c r="R22" s="329">
        <f t="shared" ref="R22:T22" si="7">R20/R$21</f>
        <v>0.73476190476190473</v>
      </c>
      <c r="S22" s="329">
        <f t="shared" si="7"/>
        <v>0.76361904761904764</v>
      </c>
      <c r="T22" s="329">
        <f t="shared" si="7"/>
        <v>0.80885714285714283</v>
      </c>
      <c r="U22" s="9"/>
    </row>
    <row r="23" spans="1:21" x14ac:dyDescent="0.3">
      <c r="A23" s="9"/>
      <c r="B23" s="9"/>
      <c r="C23" s="140"/>
      <c r="D23" s="9"/>
      <c r="E23" s="9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9"/>
    </row>
    <row r="24" spans="1:21" x14ac:dyDescent="0.3">
      <c r="A24" s="147"/>
      <c r="B24" s="147"/>
      <c r="C24" s="150" t="s">
        <v>115</v>
      </c>
      <c r="D24" s="147"/>
      <c r="E24" s="147"/>
      <c r="F24" s="148">
        <f>SUM(F13+F20)</f>
        <v>26073</v>
      </c>
      <c r="G24" s="148">
        <f t="shared" ref="G24:T24" si="8">SUM(G13+G20)</f>
        <v>26884</v>
      </c>
      <c r="H24" s="148">
        <f>SUM(H13+H20)</f>
        <v>28397</v>
      </c>
      <c r="I24" s="148">
        <f t="shared" si="8"/>
        <v>28836</v>
      </c>
      <c r="J24" s="148">
        <f t="shared" si="8"/>
        <v>32299</v>
      </c>
      <c r="K24" s="148">
        <f t="shared" si="8"/>
        <v>33783</v>
      </c>
      <c r="L24" s="148">
        <f t="shared" si="8"/>
        <v>35998</v>
      </c>
      <c r="M24" s="148">
        <f t="shared" si="8"/>
        <v>35921</v>
      </c>
      <c r="N24" s="148">
        <f t="shared" si="8"/>
        <v>31485</v>
      </c>
      <c r="O24" s="148">
        <f t="shared" si="8"/>
        <v>27284</v>
      </c>
      <c r="P24" s="148">
        <f t="shared" si="8"/>
        <v>27086</v>
      </c>
      <c r="Q24" s="148">
        <f t="shared" si="8"/>
        <v>25770</v>
      </c>
      <c r="R24" s="148">
        <f t="shared" si="8"/>
        <v>27109</v>
      </c>
      <c r="S24" s="148">
        <f t="shared" si="8"/>
        <v>28308</v>
      </c>
      <c r="T24" s="148">
        <f t="shared" si="8"/>
        <v>29390</v>
      </c>
      <c r="U24" s="158">
        <f>SUM(F24:Q24)</f>
        <v>359816</v>
      </c>
    </row>
    <row r="25" spans="1:21" x14ac:dyDescent="0.3">
      <c r="A25" s="149"/>
      <c r="B25" s="149"/>
      <c r="C25" s="156" t="s">
        <v>116</v>
      </c>
      <c r="D25" s="149"/>
      <c r="E25" s="149"/>
      <c r="F25" s="157">
        <f>SUM(F26:F31)</f>
        <v>-2045</v>
      </c>
      <c r="G25" s="157">
        <f t="shared" ref="G25:T25" si="9">SUM(G26:G31)</f>
        <v>-2045</v>
      </c>
      <c r="H25" s="157">
        <f t="shared" si="9"/>
        <v>-2045</v>
      </c>
      <c r="I25" s="157">
        <f t="shared" si="9"/>
        <v>-2045</v>
      </c>
      <c r="J25" s="157">
        <f t="shared" si="9"/>
        <v>-2045</v>
      </c>
      <c r="K25" s="157">
        <f t="shared" si="9"/>
        <v>-2045</v>
      </c>
      <c r="L25" s="157">
        <f t="shared" si="9"/>
        <v>-2045</v>
      </c>
      <c r="M25" s="157">
        <f t="shared" si="9"/>
        <v>-2045</v>
      </c>
      <c r="N25" s="157">
        <f t="shared" si="9"/>
        <v>-2045</v>
      </c>
      <c r="O25" s="157">
        <f t="shared" si="9"/>
        <v>-2045</v>
      </c>
      <c r="P25" s="157">
        <f t="shared" si="9"/>
        <v>-2045</v>
      </c>
      <c r="Q25" s="157">
        <f t="shared" si="9"/>
        <v>-2045</v>
      </c>
      <c r="R25" s="157">
        <f t="shared" si="9"/>
        <v>-2045</v>
      </c>
      <c r="S25" s="157">
        <f t="shared" si="9"/>
        <v>-2045</v>
      </c>
      <c r="T25" s="157">
        <f t="shared" si="9"/>
        <v>-2045</v>
      </c>
      <c r="U25" s="153">
        <f t="shared" ref="U25:U72" si="10">SUM(F25:Q25)</f>
        <v>-24540</v>
      </c>
    </row>
    <row r="26" spans="1:21" x14ac:dyDescent="0.3">
      <c r="A26" s="9"/>
      <c r="B26" s="9"/>
      <c r="C26" s="140" t="s">
        <v>203</v>
      </c>
      <c r="D26" s="9"/>
      <c r="E26" s="9"/>
      <c r="F26" s="432">
        <v>-1655</v>
      </c>
      <c r="G26" s="432">
        <v>-1655</v>
      </c>
      <c r="H26" s="432">
        <v>-1655</v>
      </c>
      <c r="I26" s="432">
        <v>-1655</v>
      </c>
      <c r="J26" s="432">
        <v>-1655</v>
      </c>
      <c r="K26" s="432">
        <v>-1655</v>
      </c>
      <c r="L26" s="432">
        <v>-1655</v>
      </c>
      <c r="M26" s="432">
        <v>-1655</v>
      </c>
      <c r="N26" s="432">
        <v>-1655</v>
      </c>
      <c r="O26" s="432">
        <v>-1655</v>
      </c>
      <c r="P26" s="432">
        <v>-1655</v>
      </c>
      <c r="Q26" s="432">
        <v>-1655</v>
      </c>
      <c r="R26" s="432">
        <v>-1655</v>
      </c>
      <c r="S26" s="432">
        <v>-1655</v>
      </c>
      <c r="T26" s="432">
        <v>-1655</v>
      </c>
      <c r="U26" s="432">
        <f t="shared" si="10"/>
        <v>-19860</v>
      </c>
    </row>
    <row r="27" spans="1:21" x14ac:dyDescent="0.3">
      <c r="A27" s="9"/>
      <c r="B27" s="9"/>
      <c r="C27" s="140" t="s">
        <v>271</v>
      </c>
      <c r="D27" s="9"/>
      <c r="E27" s="9"/>
      <c r="F27" s="434">
        <v>-200</v>
      </c>
      <c r="G27" s="434">
        <v>-200</v>
      </c>
      <c r="H27" s="434">
        <v>-200</v>
      </c>
      <c r="I27" s="434">
        <v>-200</v>
      </c>
      <c r="J27" s="434">
        <v>-200</v>
      </c>
      <c r="K27" s="434">
        <v>-200</v>
      </c>
      <c r="L27" s="434">
        <v>-200</v>
      </c>
      <c r="M27" s="434">
        <v>-200</v>
      </c>
      <c r="N27" s="434">
        <v>-200</v>
      </c>
      <c r="O27" s="434">
        <v>-200</v>
      </c>
      <c r="P27" s="434">
        <v>-200</v>
      </c>
      <c r="Q27" s="434">
        <v>-200</v>
      </c>
      <c r="R27" s="434">
        <v>-200</v>
      </c>
      <c r="S27" s="434">
        <v>-200</v>
      </c>
      <c r="T27" s="434">
        <v>-200</v>
      </c>
      <c r="U27" s="432">
        <f t="shared" si="10"/>
        <v>-2400</v>
      </c>
    </row>
    <row r="28" spans="1:21" x14ac:dyDescent="0.3">
      <c r="A28" s="9"/>
      <c r="B28" s="9"/>
      <c r="C28" s="140" t="s">
        <v>126</v>
      </c>
      <c r="D28" s="9"/>
      <c r="E28" s="9"/>
      <c r="F28" s="434">
        <v>-125</v>
      </c>
      <c r="G28" s="434">
        <v>-125</v>
      </c>
      <c r="H28" s="434">
        <v>-125</v>
      </c>
      <c r="I28" s="434">
        <v>-125</v>
      </c>
      <c r="J28" s="434">
        <v>-125</v>
      </c>
      <c r="K28" s="434">
        <v>-125</v>
      </c>
      <c r="L28" s="434">
        <v>-125</v>
      </c>
      <c r="M28" s="434">
        <v>-125</v>
      </c>
      <c r="N28" s="434">
        <v>-125</v>
      </c>
      <c r="O28" s="434">
        <v>-125</v>
      </c>
      <c r="P28" s="434">
        <v>-125</v>
      </c>
      <c r="Q28" s="434">
        <v>-125</v>
      </c>
      <c r="R28" s="434">
        <v>-125</v>
      </c>
      <c r="S28" s="434">
        <v>-125</v>
      </c>
      <c r="T28" s="434">
        <v>-125</v>
      </c>
      <c r="U28" s="432">
        <f t="shared" si="10"/>
        <v>-1500</v>
      </c>
    </row>
    <row r="29" spans="1:21" x14ac:dyDescent="0.3">
      <c r="A29" s="9"/>
      <c r="B29" s="9"/>
      <c r="C29" s="140" t="s">
        <v>270</v>
      </c>
      <c r="D29" s="9"/>
      <c r="E29" s="9"/>
      <c r="F29" s="434">
        <v>-65</v>
      </c>
      <c r="G29" s="434">
        <v>-65</v>
      </c>
      <c r="H29" s="434">
        <v>-65</v>
      </c>
      <c r="I29" s="434">
        <v>-65</v>
      </c>
      <c r="J29" s="434">
        <v>-65</v>
      </c>
      <c r="K29" s="434">
        <v>-65</v>
      </c>
      <c r="L29" s="434">
        <v>-65</v>
      </c>
      <c r="M29" s="434">
        <v>-65</v>
      </c>
      <c r="N29" s="434">
        <v>-65</v>
      </c>
      <c r="O29" s="434">
        <v>-65</v>
      </c>
      <c r="P29" s="434">
        <v>-65</v>
      </c>
      <c r="Q29" s="434">
        <v>-65</v>
      </c>
      <c r="R29" s="434">
        <v>-65</v>
      </c>
      <c r="S29" s="434">
        <v>-65</v>
      </c>
      <c r="T29" s="434">
        <v>-65</v>
      </c>
      <c r="U29" s="432">
        <f t="shared" si="10"/>
        <v>-780</v>
      </c>
    </row>
    <row r="30" spans="1:21" x14ac:dyDescent="0.3">
      <c r="A30" s="9"/>
      <c r="B30" s="9"/>
      <c r="C30" s="140" t="s">
        <v>61</v>
      </c>
      <c r="D30" s="9"/>
      <c r="E30" s="9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2"/>
    </row>
    <row r="31" spans="1:21" x14ac:dyDescent="0.3">
      <c r="A31" s="9"/>
      <c r="B31" s="9"/>
      <c r="C31" s="140" t="s">
        <v>208</v>
      </c>
      <c r="D31" s="9"/>
      <c r="E31" s="9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2"/>
    </row>
    <row r="32" spans="1:21" x14ac:dyDescent="0.3">
      <c r="A32" s="9"/>
      <c r="B32" s="9"/>
      <c r="C32" s="138"/>
      <c r="D32" s="9"/>
      <c r="E32" s="9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2"/>
    </row>
    <row r="33" spans="1:21" x14ac:dyDescent="0.3">
      <c r="A33" s="159"/>
      <c r="B33" s="159"/>
      <c r="C33" s="160" t="s">
        <v>4</v>
      </c>
      <c r="D33" s="159"/>
      <c r="E33" s="159"/>
      <c r="F33" s="161">
        <f>SUM(F24+F25)</f>
        <v>24028</v>
      </c>
      <c r="G33" s="161">
        <f t="shared" ref="G33:T33" si="11">SUM(G24+G25)</f>
        <v>24839</v>
      </c>
      <c r="H33" s="161">
        <f t="shared" si="11"/>
        <v>26352</v>
      </c>
      <c r="I33" s="161">
        <f t="shared" si="11"/>
        <v>26791</v>
      </c>
      <c r="J33" s="161">
        <f t="shared" si="11"/>
        <v>30254</v>
      </c>
      <c r="K33" s="161">
        <f t="shared" si="11"/>
        <v>31738</v>
      </c>
      <c r="L33" s="161">
        <f t="shared" si="11"/>
        <v>33953</v>
      </c>
      <c r="M33" s="161">
        <f t="shared" si="11"/>
        <v>33876</v>
      </c>
      <c r="N33" s="161">
        <f t="shared" si="11"/>
        <v>29440</v>
      </c>
      <c r="O33" s="161">
        <f t="shared" si="11"/>
        <v>25239</v>
      </c>
      <c r="P33" s="161">
        <f t="shared" si="11"/>
        <v>25041</v>
      </c>
      <c r="Q33" s="161">
        <f t="shared" si="11"/>
        <v>23725</v>
      </c>
      <c r="R33" s="161">
        <f t="shared" si="11"/>
        <v>25064</v>
      </c>
      <c r="S33" s="161">
        <f t="shared" si="11"/>
        <v>26263</v>
      </c>
      <c r="T33" s="161">
        <f t="shared" si="11"/>
        <v>27345</v>
      </c>
      <c r="U33" s="302">
        <f t="shared" si="10"/>
        <v>335276</v>
      </c>
    </row>
    <row r="34" spans="1:21" ht="15" customHeight="1" x14ac:dyDescent="0.3">
      <c r="A34" s="9"/>
      <c r="B34" s="9"/>
      <c r="C34" s="138"/>
      <c r="D34" s="9"/>
      <c r="E34" s="9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2"/>
    </row>
    <row r="35" spans="1:21" ht="15" customHeight="1" x14ac:dyDescent="0.3">
      <c r="A35" s="9"/>
      <c r="B35" s="9"/>
      <c r="C35" s="139" t="s">
        <v>5</v>
      </c>
      <c r="D35" s="9"/>
      <c r="E35" s="9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2"/>
    </row>
    <row r="36" spans="1:21" ht="15" customHeight="1" x14ac:dyDescent="0.3">
      <c r="A36" s="9"/>
      <c r="B36" s="9"/>
      <c r="C36" s="140" t="s">
        <v>269</v>
      </c>
      <c r="D36" s="9"/>
      <c r="E36" s="9"/>
      <c r="F36" s="432">
        <v>-975</v>
      </c>
      <c r="G36" s="432">
        <v>-975</v>
      </c>
      <c r="H36" s="432">
        <v>-975</v>
      </c>
      <c r="I36" s="432">
        <v>-975</v>
      </c>
      <c r="J36" s="432">
        <v>-975</v>
      </c>
      <c r="K36" s="432">
        <v>-975</v>
      </c>
      <c r="L36" s="432">
        <v>-975</v>
      </c>
      <c r="M36" s="432">
        <v>-975</v>
      </c>
      <c r="N36" s="432">
        <v>-975</v>
      </c>
      <c r="O36" s="432">
        <v>-975</v>
      </c>
      <c r="P36" s="432">
        <v>-975</v>
      </c>
      <c r="Q36" s="432">
        <v>-975</v>
      </c>
      <c r="R36" s="432">
        <v>-975</v>
      </c>
      <c r="S36" s="432">
        <v>-975</v>
      </c>
      <c r="T36" s="432">
        <v>-975</v>
      </c>
      <c r="U36" s="432">
        <f t="shared" si="10"/>
        <v>-11700</v>
      </c>
    </row>
    <row r="37" spans="1:21" ht="15" customHeight="1" x14ac:dyDescent="0.3">
      <c r="A37" s="9"/>
      <c r="B37" s="9"/>
      <c r="C37" s="140" t="s">
        <v>268</v>
      </c>
      <c r="D37" s="9"/>
      <c r="E37" s="9"/>
      <c r="F37" s="432">
        <v>-493</v>
      </c>
      <c r="G37" s="432">
        <v>-493</v>
      </c>
      <c r="H37" s="432">
        <v>-493</v>
      </c>
      <c r="I37" s="432">
        <v>-493</v>
      </c>
      <c r="J37" s="432">
        <v>-493</v>
      </c>
      <c r="K37" s="432">
        <v>-493</v>
      </c>
      <c r="L37" s="432">
        <v>-493</v>
      </c>
      <c r="M37" s="432">
        <v>-493</v>
      </c>
      <c r="N37" s="432">
        <v>-493</v>
      </c>
      <c r="O37" s="432">
        <v>-493</v>
      </c>
      <c r="P37" s="432">
        <v>-493</v>
      </c>
      <c r="Q37" s="432">
        <v>-493</v>
      </c>
      <c r="R37" s="432">
        <v>-493</v>
      </c>
      <c r="S37" s="432">
        <v>-493</v>
      </c>
      <c r="T37" s="432">
        <v>-493</v>
      </c>
      <c r="U37" s="432">
        <f t="shared" si="10"/>
        <v>-5916</v>
      </c>
    </row>
    <row r="38" spans="1:21" ht="15" customHeight="1" x14ac:dyDescent="0.3">
      <c r="A38" s="9"/>
      <c r="B38" s="9"/>
      <c r="C38" s="140" t="s">
        <v>283</v>
      </c>
      <c r="D38" s="9"/>
      <c r="E38" s="9"/>
      <c r="F38" s="432">
        <v>-493</v>
      </c>
      <c r="G38" s="432">
        <v>-493</v>
      </c>
      <c r="H38" s="432">
        <v>-493</v>
      </c>
      <c r="I38" s="432">
        <v>-493</v>
      </c>
      <c r="J38" s="432">
        <v>-493</v>
      </c>
      <c r="K38" s="432">
        <v>-493</v>
      </c>
      <c r="L38" s="432">
        <v>-493</v>
      </c>
      <c r="M38" s="432">
        <v>-493</v>
      </c>
      <c r="N38" s="432">
        <v>-493</v>
      </c>
      <c r="O38" s="432">
        <v>-493</v>
      </c>
      <c r="P38" s="432">
        <v>-493</v>
      </c>
      <c r="Q38" s="432">
        <v>-493</v>
      </c>
      <c r="R38" s="432">
        <v>-493</v>
      </c>
      <c r="S38" s="432">
        <v>-493</v>
      </c>
      <c r="T38" s="432">
        <v>-493</v>
      </c>
      <c r="U38" s="432">
        <f t="shared" si="10"/>
        <v>-5916</v>
      </c>
    </row>
    <row r="39" spans="1:21" ht="15" customHeight="1" x14ac:dyDescent="0.3">
      <c r="A39" s="9"/>
      <c r="B39" s="9"/>
      <c r="C39" s="140" t="s">
        <v>282</v>
      </c>
      <c r="D39" s="9"/>
      <c r="E39" s="9"/>
      <c r="F39" s="433">
        <v>-1070</v>
      </c>
      <c r="G39" s="433">
        <v>-1070</v>
      </c>
      <c r="H39" s="433">
        <v>-1070</v>
      </c>
      <c r="I39" s="433">
        <v>-1070</v>
      </c>
      <c r="J39" s="433">
        <v>-1070</v>
      </c>
      <c r="K39" s="433">
        <v>-1070</v>
      </c>
      <c r="L39" s="433">
        <v>-1070</v>
      </c>
      <c r="M39" s="433">
        <v>-1070</v>
      </c>
      <c r="N39" s="433">
        <v>-1070</v>
      </c>
      <c r="O39" s="433">
        <v>-1070</v>
      </c>
      <c r="P39" s="433">
        <v>-1070</v>
      </c>
      <c r="Q39" s="433">
        <v>-1070</v>
      </c>
      <c r="R39" s="433">
        <v>-1070</v>
      </c>
      <c r="S39" s="433">
        <v>-1070</v>
      </c>
      <c r="T39" s="433">
        <v>-1070</v>
      </c>
      <c r="U39" s="432">
        <f t="shared" si="10"/>
        <v>-12840</v>
      </c>
    </row>
    <row r="40" spans="1:21" ht="15" customHeight="1" x14ac:dyDescent="0.3">
      <c r="A40" s="9"/>
      <c r="B40" s="9"/>
      <c r="C40" s="140" t="s">
        <v>120</v>
      </c>
      <c r="D40" s="9"/>
      <c r="E40" s="9"/>
      <c r="F40" s="155" t="s">
        <v>143</v>
      </c>
      <c r="G40" s="155" t="s">
        <v>143</v>
      </c>
      <c r="H40" s="155" t="s">
        <v>143</v>
      </c>
      <c r="I40" s="155" t="s">
        <v>143</v>
      </c>
      <c r="J40" s="155" t="s">
        <v>143</v>
      </c>
      <c r="K40" s="155" t="s">
        <v>143</v>
      </c>
      <c r="L40" s="155" t="s">
        <v>143</v>
      </c>
      <c r="M40" s="155" t="s">
        <v>143</v>
      </c>
      <c r="N40" s="155" t="s">
        <v>143</v>
      </c>
      <c r="O40" s="155" t="s">
        <v>143</v>
      </c>
      <c r="P40" s="155" t="s">
        <v>143</v>
      </c>
      <c r="Q40" s="155" t="s">
        <v>143</v>
      </c>
      <c r="R40" s="155" t="s">
        <v>143</v>
      </c>
      <c r="S40" s="155" t="s">
        <v>143</v>
      </c>
      <c r="T40" s="155" t="s">
        <v>143</v>
      </c>
      <c r="U40" s="132"/>
    </row>
    <row r="41" spans="1:21" ht="15" customHeight="1" x14ac:dyDescent="0.3">
      <c r="A41" s="9"/>
      <c r="B41" s="9"/>
      <c r="C41" s="140" t="s">
        <v>121</v>
      </c>
      <c r="D41" s="9"/>
      <c r="E41" s="9"/>
      <c r="F41" s="155" t="s">
        <v>143</v>
      </c>
      <c r="G41" s="155" t="s">
        <v>143</v>
      </c>
      <c r="H41" s="155" t="s">
        <v>143</v>
      </c>
      <c r="I41" s="155" t="s">
        <v>143</v>
      </c>
      <c r="J41" s="155" t="s">
        <v>143</v>
      </c>
      <c r="K41" s="155" t="s">
        <v>143</v>
      </c>
      <c r="L41" s="155" t="s">
        <v>143</v>
      </c>
      <c r="M41" s="155" t="s">
        <v>143</v>
      </c>
      <c r="N41" s="155" t="s">
        <v>143</v>
      </c>
      <c r="O41" s="155" t="s">
        <v>143</v>
      </c>
      <c r="P41" s="155" t="s">
        <v>143</v>
      </c>
      <c r="Q41" s="155" t="s">
        <v>143</v>
      </c>
      <c r="R41" s="155" t="s">
        <v>143</v>
      </c>
      <c r="S41" s="155" t="s">
        <v>143</v>
      </c>
      <c r="T41" s="155" t="s">
        <v>143</v>
      </c>
      <c r="U41" s="132"/>
    </row>
    <row r="42" spans="1:21" ht="15" customHeight="1" x14ac:dyDescent="0.3">
      <c r="A42" s="9"/>
      <c r="B42" s="9"/>
      <c r="C42" s="140" t="s">
        <v>122</v>
      </c>
      <c r="D42" s="9"/>
      <c r="E42" s="9"/>
      <c r="F42" s="155" t="s">
        <v>143</v>
      </c>
      <c r="G42" s="155" t="s">
        <v>143</v>
      </c>
      <c r="H42" s="155" t="s">
        <v>143</v>
      </c>
      <c r="I42" s="155" t="s">
        <v>143</v>
      </c>
      <c r="J42" s="155" t="s">
        <v>143</v>
      </c>
      <c r="K42" s="155" t="s">
        <v>143</v>
      </c>
      <c r="L42" s="155" t="s">
        <v>143</v>
      </c>
      <c r="M42" s="155" t="s">
        <v>143</v>
      </c>
      <c r="N42" s="155" t="s">
        <v>143</v>
      </c>
      <c r="O42" s="155" t="s">
        <v>143</v>
      </c>
      <c r="P42" s="155" t="s">
        <v>143</v>
      </c>
      <c r="Q42" s="155" t="s">
        <v>143</v>
      </c>
      <c r="R42" s="155" t="s">
        <v>143</v>
      </c>
      <c r="S42" s="155" t="s">
        <v>143</v>
      </c>
      <c r="T42" s="155" t="s">
        <v>143</v>
      </c>
      <c r="U42" s="132"/>
    </row>
    <row r="43" spans="1:21" ht="15" customHeight="1" x14ac:dyDescent="0.3">
      <c r="A43" s="9"/>
      <c r="B43" s="9"/>
      <c r="C43" s="140" t="s">
        <v>123</v>
      </c>
      <c r="D43" s="9"/>
      <c r="E43" s="9"/>
      <c r="F43" s="155" t="s">
        <v>143</v>
      </c>
      <c r="G43" s="431" t="s">
        <v>143</v>
      </c>
      <c r="H43" s="155" t="s">
        <v>143</v>
      </c>
      <c r="I43" s="155" t="s">
        <v>143</v>
      </c>
      <c r="J43" s="155" t="s">
        <v>143</v>
      </c>
      <c r="K43" s="155" t="s">
        <v>143</v>
      </c>
      <c r="L43" s="155" t="s">
        <v>143</v>
      </c>
      <c r="M43" s="155" t="s">
        <v>143</v>
      </c>
      <c r="N43" s="155" t="s">
        <v>143</v>
      </c>
      <c r="O43" s="155" t="s">
        <v>143</v>
      </c>
      <c r="P43" s="155" t="s">
        <v>143</v>
      </c>
      <c r="Q43" s="155" t="s">
        <v>143</v>
      </c>
      <c r="R43" s="155" t="s">
        <v>143</v>
      </c>
      <c r="S43" s="155" t="s">
        <v>143</v>
      </c>
      <c r="T43" s="155" t="s">
        <v>143</v>
      </c>
      <c r="U43" s="132"/>
    </row>
    <row r="44" spans="1:21" ht="15" customHeight="1" x14ac:dyDescent="0.3">
      <c r="A44" s="9"/>
      <c r="B44" s="9"/>
      <c r="C44" s="140"/>
      <c r="D44" s="9"/>
      <c r="E44" s="9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32"/>
    </row>
    <row r="45" spans="1:21" x14ac:dyDescent="0.3">
      <c r="A45" s="151"/>
      <c r="B45" s="151"/>
      <c r="C45" s="177" t="s">
        <v>124</v>
      </c>
      <c r="D45" s="151"/>
      <c r="E45" s="151"/>
      <c r="F45" s="158">
        <f>SUM(F36:F43)</f>
        <v>-3031</v>
      </c>
      <c r="G45" s="158">
        <f t="shared" ref="G45:T45" si="12">SUM(G36:G43)</f>
        <v>-3031</v>
      </c>
      <c r="H45" s="158">
        <f t="shared" si="12"/>
        <v>-3031</v>
      </c>
      <c r="I45" s="158">
        <f t="shared" si="12"/>
        <v>-3031</v>
      </c>
      <c r="J45" s="158">
        <f t="shared" si="12"/>
        <v>-3031</v>
      </c>
      <c r="K45" s="158">
        <f t="shared" si="12"/>
        <v>-3031</v>
      </c>
      <c r="L45" s="158">
        <f t="shared" si="12"/>
        <v>-3031</v>
      </c>
      <c r="M45" s="158">
        <f t="shared" si="12"/>
        <v>-3031</v>
      </c>
      <c r="N45" s="158">
        <f t="shared" si="12"/>
        <v>-3031</v>
      </c>
      <c r="O45" s="158">
        <f t="shared" si="12"/>
        <v>-3031</v>
      </c>
      <c r="P45" s="158">
        <f t="shared" si="12"/>
        <v>-3031</v>
      </c>
      <c r="Q45" s="158">
        <f t="shared" si="12"/>
        <v>-3031</v>
      </c>
      <c r="R45" s="158">
        <f t="shared" si="12"/>
        <v>-3031</v>
      </c>
      <c r="S45" s="158">
        <f t="shared" si="12"/>
        <v>-3031</v>
      </c>
      <c r="T45" s="158">
        <f t="shared" si="12"/>
        <v>-3031</v>
      </c>
      <c r="U45" s="158">
        <f t="shared" si="10"/>
        <v>-36372</v>
      </c>
    </row>
    <row r="46" spans="1:21" x14ac:dyDescent="0.3">
      <c r="A46" s="152"/>
      <c r="B46" s="152"/>
      <c r="C46" s="188" t="s">
        <v>125</v>
      </c>
      <c r="D46" s="152"/>
      <c r="E46" s="152"/>
      <c r="F46" s="153">
        <v>-3000</v>
      </c>
      <c r="G46" s="153">
        <v>-3000</v>
      </c>
      <c r="H46" s="153">
        <v>-3000</v>
      </c>
      <c r="I46" s="153">
        <v>-3000</v>
      </c>
      <c r="J46" s="153">
        <v>-3000</v>
      </c>
      <c r="K46" s="153">
        <v>-3000</v>
      </c>
      <c r="L46" s="153">
        <v>-3000</v>
      </c>
      <c r="M46" s="153">
        <v>-3000</v>
      </c>
      <c r="N46" s="153">
        <v>-3000</v>
      </c>
      <c r="O46" s="153">
        <v>-3000</v>
      </c>
      <c r="P46" s="153">
        <v>-3000</v>
      </c>
      <c r="Q46" s="153">
        <v>-3000</v>
      </c>
      <c r="R46" s="153">
        <v>-3000</v>
      </c>
      <c r="S46" s="153">
        <v>-3000</v>
      </c>
      <c r="T46" s="153">
        <v>-3000</v>
      </c>
      <c r="U46" s="153">
        <f t="shared" si="10"/>
        <v>-36000</v>
      </c>
    </row>
    <row r="47" spans="1:21" x14ac:dyDescent="0.3">
      <c r="A47" s="9"/>
      <c r="B47" s="9"/>
      <c r="C47" s="138"/>
      <c r="D47" s="9"/>
      <c r="E47" s="9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2"/>
    </row>
    <row r="48" spans="1:21" x14ac:dyDescent="0.3">
      <c r="A48" s="9"/>
      <c r="B48" s="9"/>
      <c r="C48" s="139" t="s">
        <v>24</v>
      </c>
      <c r="D48" s="9"/>
      <c r="E48" s="9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2"/>
    </row>
    <row r="49" spans="1:21" x14ac:dyDescent="0.3">
      <c r="A49" s="9"/>
      <c r="B49" s="9"/>
      <c r="C49" s="138" t="s">
        <v>284</v>
      </c>
      <c r="D49" s="9"/>
      <c r="E49" s="9"/>
      <c r="F49" s="432">
        <v>-350</v>
      </c>
      <c r="G49" s="432">
        <v>-350</v>
      </c>
      <c r="H49" s="432">
        <v>-350</v>
      </c>
      <c r="I49" s="432">
        <v>-350</v>
      </c>
      <c r="J49" s="432">
        <v>-350</v>
      </c>
      <c r="K49" s="432">
        <v>-350</v>
      </c>
      <c r="L49" s="432">
        <v>-350</v>
      </c>
      <c r="M49" s="432">
        <v>-350</v>
      </c>
      <c r="N49" s="432">
        <v>-350</v>
      </c>
      <c r="O49" s="432">
        <v>-350</v>
      </c>
      <c r="P49" s="432">
        <v>-350</v>
      </c>
      <c r="Q49" s="432">
        <v>-350</v>
      </c>
      <c r="R49" s="432">
        <v>-350</v>
      </c>
      <c r="S49" s="432">
        <v>-350</v>
      </c>
      <c r="T49" s="432">
        <v>-350</v>
      </c>
      <c r="U49" s="432">
        <f t="shared" si="10"/>
        <v>-4200</v>
      </c>
    </row>
    <row r="50" spans="1:21" x14ac:dyDescent="0.3">
      <c r="A50" s="9"/>
      <c r="B50" s="9"/>
      <c r="C50" s="138" t="s">
        <v>255</v>
      </c>
      <c r="D50" s="9"/>
      <c r="E50" s="9"/>
      <c r="F50" s="432">
        <v>-550</v>
      </c>
      <c r="G50" s="432">
        <v>-550</v>
      </c>
      <c r="H50" s="432">
        <v>-550</v>
      </c>
      <c r="I50" s="432">
        <v>-550</v>
      </c>
      <c r="J50" s="432">
        <v>-550</v>
      </c>
      <c r="K50" s="432">
        <v>-550</v>
      </c>
      <c r="L50" s="432">
        <v>-550</v>
      </c>
      <c r="M50" s="432">
        <v>-550</v>
      </c>
      <c r="N50" s="432">
        <v>-550</v>
      </c>
      <c r="O50" s="432">
        <v>-550</v>
      </c>
      <c r="P50" s="432">
        <v>-550</v>
      </c>
      <c r="Q50" s="432">
        <v>-550</v>
      </c>
      <c r="R50" s="432">
        <v>-550</v>
      </c>
      <c r="S50" s="432">
        <v>-550</v>
      </c>
      <c r="T50" s="432">
        <v>-550</v>
      </c>
      <c r="U50" s="432">
        <f t="shared" si="10"/>
        <v>-6600</v>
      </c>
    </row>
    <row r="51" spans="1:21" x14ac:dyDescent="0.3">
      <c r="A51" s="9"/>
      <c r="B51" s="9"/>
      <c r="C51" s="138" t="s">
        <v>126</v>
      </c>
      <c r="D51" s="9"/>
      <c r="E51" s="9"/>
      <c r="F51" s="432">
        <v>-700</v>
      </c>
      <c r="G51" s="432">
        <v>-700</v>
      </c>
      <c r="H51" s="432">
        <v>-700</v>
      </c>
      <c r="I51" s="432">
        <v>-700</v>
      </c>
      <c r="J51" s="432">
        <v>-700</v>
      </c>
      <c r="K51" s="432">
        <v>-700</v>
      </c>
      <c r="L51" s="432">
        <v>-700</v>
      </c>
      <c r="M51" s="432">
        <v>-700</v>
      </c>
      <c r="N51" s="432">
        <v>-700</v>
      </c>
      <c r="O51" s="432">
        <v>-700</v>
      </c>
      <c r="P51" s="432">
        <v>-700</v>
      </c>
      <c r="Q51" s="432">
        <v>-700</v>
      </c>
      <c r="R51" s="432">
        <v>-700</v>
      </c>
      <c r="S51" s="432">
        <v>-700</v>
      </c>
      <c r="T51" s="432">
        <v>-700</v>
      </c>
      <c r="U51" s="432">
        <f t="shared" si="10"/>
        <v>-8400</v>
      </c>
    </row>
    <row r="52" spans="1:21" x14ac:dyDescent="0.3">
      <c r="A52" s="9"/>
      <c r="B52" s="9"/>
      <c r="C52" s="138" t="s">
        <v>223</v>
      </c>
      <c r="D52" s="9"/>
      <c r="E52" s="9"/>
      <c r="F52" s="432">
        <v>-550</v>
      </c>
      <c r="G52" s="432">
        <v>-550</v>
      </c>
      <c r="H52" s="432">
        <v>-550</v>
      </c>
      <c r="I52" s="432">
        <v>-550</v>
      </c>
      <c r="J52" s="432">
        <v>-550</v>
      </c>
      <c r="K52" s="432">
        <v>-550</v>
      </c>
      <c r="L52" s="432">
        <v>-550</v>
      </c>
      <c r="M52" s="432">
        <v>-550</v>
      </c>
      <c r="N52" s="432">
        <v>-550</v>
      </c>
      <c r="O52" s="432">
        <v>-550</v>
      </c>
      <c r="P52" s="432">
        <v>-550</v>
      </c>
      <c r="Q52" s="432">
        <v>-550</v>
      </c>
      <c r="R52" s="432">
        <v>-550</v>
      </c>
      <c r="S52" s="432">
        <v>-550</v>
      </c>
      <c r="T52" s="432">
        <v>-550</v>
      </c>
      <c r="U52" s="432">
        <f t="shared" si="10"/>
        <v>-6600</v>
      </c>
    </row>
    <row r="53" spans="1:21" x14ac:dyDescent="0.3">
      <c r="A53" s="9"/>
      <c r="B53" s="9"/>
      <c r="C53" s="138" t="s">
        <v>270</v>
      </c>
      <c r="D53" s="9"/>
      <c r="E53" s="9"/>
      <c r="F53" s="432">
        <v>-900</v>
      </c>
      <c r="G53" s="432">
        <v>-900</v>
      </c>
      <c r="H53" s="432">
        <v>-900</v>
      </c>
      <c r="I53" s="432">
        <v>-900</v>
      </c>
      <c r="J53" s="432">
        <v>-900</v>
      </c>
      <c r="K53" s="432">
        <v>-900</v>
      </c>
      <c r="L53" s="432">
        <v>-900</v>
      </c>
      <c r="M53" s="432">
        <v>-900</v>
      </c>
      <c r="N53" s="432">
        <v>-900</v>
      </c>
      <c r="O53" s="432">
        <v>-900</v>
      </c>
      <c r="P53" s="432">
        <v>-900</v>
      </c>
      <c r="Q53" s="432">
        <v>-900</v>
      </c>
      <c r="R53" s="432">
        <v>-900</v>
      </c>
      <c r="S53" s="432">
        <v>-900</v>
      </c>
      <c r="T53" s="432">
        <v>-900</v>
      </c>
      <c r="U53" s="432">
        <f t="shared" si="10"/>
        <v>-10800</v>
      </c>
    </row>
    <row r="54" spans="1:21" x14ac:dyDescent="0.3">
      <c r="A54" s="9"/>
      <c r="B54" s="9"/>
      <c r="C54" s="138" t="s">
        <v>127</v>
      </c>
      <c r="D54" s="9"/>
      <c r="E54" s="9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2"/>
    </row>
    <row r="55" spans="1:21" x14ac:dyDescent="0.3">
      <c r="A55" s="9"/>
      <c r="B55" s="9"/>
      <c r="C55" s="140" t="s">
        <v>128</v>
      </c>
      <c r="D55" s="9"/>
      <c r="E55" s="9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2"/>
    </row>
    <row r="56" spans="1:21" x14ac:dyDescent="0.3">
      <c r="A56" s="9"/>
      <c r="B56" s="9"/>
      <c r="C56" s="140" t="s">
        <v>129</v>
      </c>
      <c r="D56" s="9"/>
      <c r="E56" s="9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2"/>
    </row>
    <row r="57" spans="1:21" x14ac:dyDescent="0.3">
      <c r="A57" s="9"/>
      <c r="B57" s="9"/>
      <c r="C57" s="140" t="s">
        <v>130</v>
      </c>
      <c r="D57" s="9"/>
      <c r="E57" s="9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2"/>
    </row>
    <row r="58" spans="1:21" x14ac:dyDescent="0.3">
      <c r="A58" s="9"/>
      <c r="B58" s="9"/>
      <c r="C58" s="140" t="s">
        <v>131</v>
      </c>
      <c r="D58" s="9"/>
      <c r="E58" s="9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2"/>
    </row>
    <row r="59" spans="1:21" x14ac:dyDescent="0.3">
      <c r="A59" s="9"/>
      <c r="B59" s="9"/>
      <c r="C59" s="140" t="s">
        <v>132</v>
      </c>
      <c r="D59" s="9"/>
      <c r="E59" s="9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2"/>
    </row>
    <row r="60" spans="1:21" x14ac:dyDescent="0.3">
      <c r="A60" s="9"/>
      <c r="B60" s="9"/>
      <c r="C60" s="140" t="s">
        <v>133</v>
      </c>
      <c r="D60" s="9"/>
      <c r="E60" s="9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2"/>
    </row>
    <row r="61" spans="1:21" x14ac:dyDescent="0.3">
      <c r="A61" s="9"/>
      <c r="B61" s="9"/>
      <c r="C61" s="140" t="s">
        <v>134</v>
      </c>
      <c r="D61" s="9"/>
      <c r="E61" s="9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2"/>
    </row>
    <row r="62" spans="1:21" x14ac:dyDescent="0.3">
      <c r="A62" s="9"/>
      <c r="B62" s="9"/>
      <c r="C62" s="140" t="s">
        <v>135</v>
      </c>
      <c r="D62" s="9"/>
      <c r="E62" s="9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2"/>
    </row>
    <row r="63" spans="1:21" x14ac:dyDescent="0.3">
      <c r="A63" s="9"/>
      <c r="B63" s="9"/>
      <c r="C63" s="140" t="s">
        <v>136</v>
      </c>
      <c r="D63" s="9"/>
      <c r="E63" s="9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2"/>
    </row>
    <row r="64" spans="1:21" x14ac:dyDescent="0.3">
      <c r="A64" s="9"/>
      <c r="B64" s="9"/>
      <c r="C64" s="140"/>
      <c r="D64" s="9"/>
      <c r="E64" s="9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2"/>
    </row>
    <row r="65" spans="1:21" s="110" customFormat="1" ht="14.4" customHeight="1" x14ac:dyDescent="0.3">
      <c r="A65" s="164"/>
      <c r="B65" s="164"/>
      <c r="C65" s="165" t="s">
        <v>137</v>
      </c>
      <c r="D65" s="164"/>
      <c r="E65" s="164"/>
      <c r="F65" s="166">
        <f>SUM(F49:F63)</f>
        <v>-3050</v>
      </c>
      <c r="G65" s="166">
        <f>SUM(G49:G63)</f>
        <v>-3050</v>
      </c>
      <c r="H65" s="166">
        <f t="shared" ref="H65:T65" si="13">SUM(H49:H63)</f>
        <v>-3050</v>
      </c>
      <c r="I65" s="166">
        <f t="shared" si="13"/>
        <v>-3050</v>
      </c>
      <c r="J65" s="166">
        <f t="shared" si="13"/>
        <v>-3050</v>
      </c>
      <c r="K65" s="166">
        <f t="shared" si="13"/>
        <v>-3050</v>
      </c>
      <c r="L65" s="166">
        <f t="shared" si="13"/>
        <v>-3050</v>
      </c>
      <c r="M65" s="166">
        <f t="shared" si="13"/>
        <v>-3050</v>
      </c>
      <c r="N65" s="166">
        <f t="shared" si="13"/>
        <v>-3050</v>
      </c>
      <c r="O65" s="166">
        <f t="shared" si="13"/>
        <v>-3050</v>
      </c>
      <c r="P65" s="166">
        <f t="shared" si="13"/>
        <v>-3050</v>
      </c>
      <c r="Q65" s="166">
        <f t="shared" si="13"/>
        <v>-3050</v>
      </c>
      <c r="R65" s="166">
        <f t="shared" si="13"/>
        <v>-3050</v>
      </c>
      <c r="S65" s="166">
        <f t="shared" si="13"/>
        <v>-3050</v>
      </c>
      <c r="T65" s="166">
        <f t="shared" si="13"/>
        <v>-3050</v>
      </c>
      <c r="U65" s="158">
        <f t="shared" si="10"/>
        <v>-36600</v>
      </c>
    </row>
    <row r="66" spans="1:21" s="110" customFormat="1" ht="14.4" customHeight="1" x14ac:dyDescent="0.3">
      <c r="A66" s="167"/>
      <c r="B66" s="167"/>
      <c r="C66" s="168" t="s">
        <v>6</v>
      </c>
      <c r="D66" s="167"/>
      <c r="E66" s="167"/>
      <c r="F66" s="169">
        <f>F24+F25+F45+F65</f>
        <v>17947</v>
      </c>
      <c r="G66" s="169">
        <f t="shared" ref="G66:L66" si="14">G24+G25+G45+G65</f>
        <v>18758</v>
      </c>
      <c r="H66" s="169">
        <f t="shared" si="14"/>
        <v>20271</v>
      </c>
      <c r="I66" s="169">
        <f t="shared" si="14"/>
        <v>20710</v>
      </c>
      <c r="J66" s="169">
        <f t="shared" si="14"/>
        <v>24173</v>
      </c>
      <c r="K66" s="169">
        <f t="shared" si="14"/>
        <v>25657</v>
      </c>
      <c r="L66" s="169">
        <f t="shared" si="14"/>
        <v>27872</v>
      </c>
      <c r="M66" s="169">
        <f>M24+M25+M45+M65</f>
        <v>27795</v>
      </c>
      <c r="N66" s="169">
        <f t="shared" ref="N66" si="15">N24+N25+N45+N65</f>
        <v>23359</v>
      </c>
      <c r="O66" s="169">
        <f>O24+O25+O45+O65</f>
        <v>19158</v>
      </c>
      <c r="P66" s="169">
        <f t="shared" ref="P66" si="16">P24+P25+P45+P65</f>
        <v>18960</v>
      </c>
      <c r="Q66" s="169">
        <f t="shared" ref="Q66" si="17">Q24+Q25+Q45+Q65</f>
        <v>17644</v>
      </c>
      <c r="R66" s="169">
        <f t="shared" ref="R66" si="18">R24+R25+R45+R65</f>
        <v>18983</v>
      </c>
      <c r="S66" s="169">
        <f t="shared" ref="S66" si="19">S24+S25+S45+S65</f>
        <v>20182</v>
      </c>
      <c r="T66" s="169">
        <f t="shared" ref="T66" si="20">T24+T25+T45+T65</f>
        <v>21264</v>
      </c>
      <c r="U66" s="153">
        <f t="shared" si="10"/>
        <v>262304</v>
      </c>
    </row>
    <row r="67" spans="1:21" s="110" customFormat="1" ht="14.4" customHeight="1" x14ac:dyDescent="0.3">
      <c r="A67" s="108"/>
      <c r="B67" s="108"/>
      <c r="C67" s="141" t="s">
        <v>138</v>
      </c>
      <c r="D67" s="108"/>
      <c r="E67" s="108"/>
      <c r="F67" s="143">
        <v>-1711</v>
      </c>
      <c r="G67" s="143">
        <v>-1711</v>
      </c>
      <c r="H67" s="143">
        <v>-1711</v>
      </c>
      <c r="I67" s="143">
        <v>-1711</v>
      </c>
      <c r="J67" s="143">
        <v>-1711</v>
      </c>
      <c r="K67" s="143">
        <v>-1711</v>
      </c>
      <c r="L67" s="143">
        <v>-1711</v>
      </c>
      <c r="M67" s="143">
        <v>-1711</v>
      </c>
      <c r="N67" s="143">
        <v>-1711</v>
      </c>
      <c r="O67" s="143">
        <v>-1711</v>
      </c>
      <c r="P67" s="143">
        <v>-1711</v>
      </c>
      <c r="Q67" s="143">
        <v>-1711</v>
      </c>
      <c r="R67" s="143">
        <v>-1450</v>
      </c>
      <c r="S67" s="143">
        <v>-1450</v>
      </c>
      <c r="T67" s="143">
        <v>-1450</v>
      </c>
      <c r="U67" s="436">
        <f t="shared" si="10"/>
        <v>-20532</v>
      </c>
    </row>
    <row r="68" spans="1:21" s="110" customFormat="1" ht="25.05" customHeight="1" x14ac:dyDescent="0.3">
      <c r="A68" s="108"/>
      <c r="B68" s="108"/>
      <c r="C68" s="141" t="s">
        <v>8</v>
      </c>
      <c r="D68" s="108"/>
      <c r="E68" s="108"/>
      <c r="F68" s="142">
        <f>F66+F67</f>
        <v>16236</v>
      </c>
      <c r="G68" s="142">
        <f t="shared" ref="G68:T68" si="21">G66+G67</f>
        <v>17047</v>
      </c>
      <c r="H68" s="142">
        <f t="shared" si="21"/>
        <v>18560</v>
      </c>
      <c r="I68" s="142">
        <f t="shared" si="21"/>
        <v>18999</v>
      </c>
      <c r="J68" s="142">
        <f t="shared" si="21"/>
        <v>22462</v>
      </c>
      <c r="K68" s="142">
        <f t="shared" si="21"/>
        <v>23946</v>
      </c>
      <c r="L68" s="142">
        <f t="shared" si="21"/>
        <v>26161</v>
      </c>
      <c r="M68" s="142">
        <f t="shared" si="21"/>
        <v>26084</v>
      </c>
      <c r="N68" s="142">
        <f t="shared" si="21"/>
        <v>21648</v>
      </c>
      <c r="O68" s="142">
        <f t="shared" si="21"/>
        <v>17447</v>
      </c>
      <c r="P68" s="142">
        <f t="shared" si="21"/>
        <v>17249</v>
      </c>
      <c r="Q68" s="142">
        <f t="shared" si="21"/>
        <v>15933</v>
      </c>
      <c r="R68" s="142">
        <f t="shared" si="21"/>
        <v>17533</v>
      </c>
      <c r="S68" s="142">
        <f t="shared" si="21"/>
        <v>18732</v>
      </c>
      <c r="T68" s="142">
        <f t="shared" si="21"/>
        <v>19814</v>
      </c>
      <c r="U68" s="436">
        <f t="shared" si="10"/>
        <v>241772</v>
      </c>
    </row>
    <row r="69" spans="1:21" s="110" customFormat="1" ht="25.05" customHeight="1" x14ac:dyDescent="0.3">
      <c r="A69" s="108"/>
      <c r="B69" s="108"/>
      <c r="C69" s="144" t="s">
        <v>139</v>
      </c>
      <c r="D69" s="145"/>
      <c r="E69" s="108"/>
      <c r="F69" s="142"/>
      <c r="G69" s="435">
        <f>('BS 2023'!G27)*0.05</f>
        <v>-12225</v>
      </c>
      <c r="H69" s="435">
        <f>('BS 2023'!H27)*0.05</f>
        <v>-11950</v>
      </c>
      <c r="I69" s="435">
        <f>('BS 2023'!I27)*0.05</f>
        <v>-11675</v>
      </c>
      <c r="J69" s="435">
        <f>('BS 2023'!J27)*0.05</f>
        <v>-11400</v>
      </c>
      <c r="K69" s="435">
        <f>('BS 2023'!K27)*0.05</f>
        <v>-11125</v>
      </c>
      <c r="L69" s="435">
        <f>('BS 2023'!L27)*0.05</f>
        <v>-10850</v>
      </c>
      <c r="M69" s="435">
        <f>('BS 2023'!M27)*0.05</f>
        <v>-10575</v>
      </c>
      <c r="N69" s="435">
        <f>('BS 2023'!N27)*0.05</f>
        <v>-10300</v>
      </c>
      <c r="O69" s="435">
        <f>('BS 2023'!O27)*0.05</f>
        <v>-10025</v>
      </c>
      <c r="P69" s="435">
        <f>('BS 2023'!P27)*0.05</f>
        <v>-9750</v>
      </c>
      <c r="Q69" s="435">
        <f>('BS 2023'!Q27)*0.05</f>
        <v>-9475</v>
      </c>
      <c r="R69" s="435">
        <f>('BS 2023'!R27)*0.05</f>
        <v>-9200</v>
      </c>
      <c r="S69" s="435">
        <f>('BS 2023'!S27)*0.05</f>
        <v>-8925</v>
      </c>
      <c r="T69" s="435">
        <f>('BS 2023'!T27)*0.05</f>
        <v>-8650</v>
      </c>
      <c r="U69" s="435">
        <f t="shared" si="10"/>
        <v>-119350</v>
      </c>
    </row>
    <row r="70" spans="1:21" s="110" customFormat="1" ht="25.05" customHeight="1" x14ac:dyDescent="0.3">
      <c r="A70" s="108"/>
      <c r="B70" s="108"/>
      <c r="C70" s="141" t="s">
        <v>10</v>
      </c>
      <c r="D70" s="108"/>
      <c r="E70" s="108"/>
      <c r="F70" s="142">
        <f>F24+F25+F45+F65</f>
        <v>17947</v>
      </c>
      <c r="G70" s="142">
        <f t="shared" ref="G70:T70" si="22">G24+G25+G45+G65</f>
        <v>18758</v>
      </c>
      <c r="H70" s="142">
        <f t="shared" si="22"/>
        <v>20271</v>
      </c>
      <c r="I70" s="142">
        <f t="shared" si="22"/>
        <v>20710</v>
      </c>
      <c r="J70" s="142">
        <f t="shared" si="22"/>
        <v>24173</v>
      </c>
      <c r="K70" s="142">
        <f t="shared" si="22"/>
        <v>25657</v>
      </c>
      <c r="L70" s="142">
        <f t="shared" si="22"/>
        <v>27872</v>
      </c>
      <c r="M70" s="142">
        <f t="shared" si="22"/>
        <v>27795</v>
      </c>
      <c r="N70" s="142">
        <f t="shared" si="22"/>
        <v>23359</v>
      </c>
      <c r="O70" s="142">
        <f t="shared" si="22"/>
        <v>19158</v>
      </c>
      <c r="P70" s="142">
        <f t="shared" si="22"/>
        <v>18960</v>
      </c>
      <c r="Q70" s="142">
        <f t="shared" si="22"/>
        <v>17644</v>
      </c>
      <c r="R70" s="142">
        <f t="shared" si="22"/>
        <v>18983</v>
      </c>
      <c r="S70" s="142">
        <f t="shared" si="22"/>
        <v>20182</v>
      </c>
      <c r="T70" s="142">
        <f t="shared" si="22"/>
        <v>21264</v>
      </c>
      <c r="U70" s="436">
        <f t="shared" si="10"/>
        <v>262304</v>
      </c>
    </row>
    <row r="71" spans="1:21" s="110" customFormat="1" ht="25.05" customHeight="1" x14ac:dyDescent="0.3">
      <c r="A71" s="108"/>
      <c r="B71" s="108"/>
      <c r="C71" s="144" t="s">
        <v>11</v>
      </c>
      <c r="D71" s="108"/>
      <c r="E71" s="108"/>
      <c r="F71" s="435"/>
      <c r="G71" s="435">
        <f t="shared" ref="G71:T71" si="23">(G68*0.2)*-1</f>
        <v>-3409.4</v>
      </c>
      <c r="H71" s="435">
        <f t="shared" si="23"/>
        <v>-3712</v>
      </c>
      <c r="I71" s="435">
        <f t="shared" si="23"/>
        <v>-3799.8</v>
      </c>
      <c r="J71" s="435">
        <f t="shared" si="23"/>
        <v>-4492.4000000000005</v>
      </c>
      <c r="K71" s="435">
        <f t="shared" si="23"/>
        <v>-4789.2</v>
      </c>
      <c r="L71" s="435">
        <f t="shared" si="23"/>
        <v>-5232.2000000000007</v>
      </c>
      <c r="M71" s="435">
        <f t="shared" si="23"/>
        <v>-5216.8</v>
      </c>
      <c r="N71" s="435">
        <f t="shared" si="23"/>
        <v>-4329.6000000000004</v>
      </c>
      <c r="O71" s="435">
        <f t="shared" si="23"/>
        <v>-3489.4</v>
      </c>
      <c r="P71" s="435">
        <f t="shared" si="23"/>
        <v>-3449.8</v>
      </c>
      <c r="Q71" s="435">
        <f t="shared" si="23"/>
        <v>-3186.6000000000004</v>
      </c>
      <c r="R71" s="435">
        <f t="shared" si="23"/>
        <v>-3506.6000000000004</v>
      </c>
      <c r="S71" s="435">
        <f t="shared" si="23"/>
        <v>-3746.4</v>
      </c>
      <c r="T71" s="435">
        <f t="shared" si="23"/>
        <v>-3962.8</v>
      </c>
      <c r="U71" s="435">
        <f t="shared" si="10"/>
        <v>-45107.200000000004</v>
      </c>
    </row>
    <row r="72" spans="1:21" s="110" customFormat="1" ht="14.4" customHeight="1" x14ac:dyDescent="0.3">
      <c r="A72" s="170"/>
      <c r="B72" s="170"/>
      <c r="C72" s="171" t="s">
        <v>12</v>
      </c>
      <c r="D72" s="170"/>
      <c r="E72" s="170"/>
      <c r="F72" s="304">
        <f>F70+F71</f>
        <v>17947</v>
      </c>
      <c r="G72" s="304">
        <f>G70+G71</f>
        <v>15348.6</v>
      </c>
      <c r="H72" s="304">
        <f t="shared" ref="H72:T72" si="24">H70+H71</f>
        <v>16559</v>
      </c>
      <c r="I72" s="304">
        <f t="shared" si="24"/>
        <v>16910.2</v>
      </c>
      <c r="J72" s="304">
        <f t="shared" si="24"/>
        <v>19680.599999999999</v>
      </c>
      <c r="K72" s="304">
        <f t="shared" si="24"/>
        <v>20867.8</v>
      </c>
      <c r="L72" s="304">
        <f t="shared" si="24"/>
        <v>22639.8</v>
      </c>
      <c r="M72" s="304">
        <f t="shared" si="24"/>
        <v>22578.2</v>
      </c>
      <c r="N72" s="304">
        <f t="shared" si="24"/>
        <v>19029.400000000001</v>
      </c>
      <c r="O72" s="304">
        <f t="shared" si="24"/>
        <v>15668.6</v>
      </c>
      <c r="P72" s="304">
        <f t="shared" si="24"/>
        <v>15510.2</v>
      </c>
      <c r="Q72" s="304">
        <f t="shared" si="24"/>
        <v>14457.4</v>
      </c>
      <c r="R72" s="304">
        <f t="shared" si="24"/>
        <v>15476.4</v>
      </c>
      <c r="S72" s="304">
        <f t="shared" si="24"/>
        <v>16435.599999999999</v>
      </c>
      <c r="T72" s="304">
        <f t="shared" si="24"/>
        <v>17301.2</v>
      </c>
      <c r="U72" s="305">
        <f t="shared" si="10"/>
        <v>217196.80000000002</v>
      </c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7" x14ac:dyDescent="0.3">
      <c r="F81"/>
    </row>
    <row r="82" spans="6:7" x14ac:dyDescent="0.3">
      <c r="F82"/>
    </row>
    <row r="83" spans="6:7" x14ac:dyDescent="0.3">
      <c r="F83"/>
    </row>
    <row r="84" spans="6:7" x14ac:dyDescent="0.3">
      <c r="F84"/>
    </row>
    <row r="85" spans="6:7" x14ac:dyDescent="0.3">
      <c r="F85"/>
    </row>
    <row r="86" spans="6:7" x14ac:dyDescent="0.3">
      <c r="F86"/>
      <c r="G86" s="1"/>
    </row>
    <row r="87" spans="6:7" x14ac:dyDescent="0.3">
      <c r="F87"/>
    </row>
    <row r="88" spans="6:7" x14ac:dyDescent="0.3">
      <c r="F88"/>
    </row>
    <row r="89" spans="6:7" x14ac:dyDescent="0.3">
      <c r="F89"/>
    </row>
    <row r="90" spans="6:7" x14ac:dyDescent="0.3">
      <c r="F90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68"/>
  <sheetViews>
    <sheetView showGridLines="0" workbookViewId="0">
      <selection activeCell="T42" sqref="T42:U42"/>
    </sheetView>
  </sheetViews>
  <sheetFormatPr defaultRowHeight="14.4" x14ac:dyDescent="0.3"/>
  <cols>
    <col min="1" max="1" width="2.77734375" customWidth="1"/>
    <col min="3" max="3" width="9.6640625" customWidth="1"/>
    <col min="7" max="7" width="12.44140625" customWidth="1"/>
    <col min="8" max="14" width="11.21875" bestFit="1" customWidth="1"/>
    <col min="15" max="15" width="9.88671875" customWidth="1"/>
    <col min="16" max="18" width="11.21875" bestFit="1" customWidth="1"/>
    <col min="19" max="19" width="9.5546875" customWidth="1"/>
    <col min="20" max="21" width="11.21875" bestFit="1" customWidth="1"/>
    <col min="22" max="22" width="9.88671875" bestFit="1" customWidth="1"/>
  </cols>
  <sheetData>
    <row r="2" spans="1:22" ht="18" x14ac:dyDescent="0.35">
      <c r="A2" s="131" t="s">
        <v>144</v>
      </c>
      <c r="C2" s="130"/>
      <c r="D2" s="9"/>
    </row>
    <row r="3" spans="1:22" x14ac:dyDescent="0.3">
      <c r="A3" s="129" t="s">
        <v>145</v>
      </c>
      <c r="C3" s="14"/>
    </row>
    <row r="4" spans="1:22" x14ac:dyDescent="0.3">
      <c r="A4" s="129" t="s">
        <v>146</v>
      </c>
      <c r="C4" s="14"/>
    </row>
    <row r="6" spans="1:22" x14ac:dyDescent="0.3">
      <c r="B6" s="14" t="s">
        <v>194</v>
      </c>
    </row>
    <row r="7" spans="1:22" x14ac:dyDescent="0.3">
      <c r="A7" s="146"/>
      <c r="B7" s="177" t="s">
        <v>64</v>
      </c>
      <c r="C7" s="151"/>
      <c r="D7" s="151"/>
      <c r="E7" s="151"/>
      <c r="F7" s="151"/>
      <c r="G7" s="179">
        <v>44927</v>
      </c>
      <c r="H7" s="179">
        <v>44958</v>
      </c>
      <c r="I7" s="179">
        <v>44986</v>
      </c>
      <c r="J7" s="179">
        <v>45017</v>
      </c>
      <c r="K7" s="179">
        <v>45047</v>
      </c>
      <c r="L7" s="179">
        <v>45078</v>
      </c>
      <c r="M7" s="179">
        <v>45108</v>
      </c>
      <c r="N7" s="179">
        <v>45139</v>
      </c>
      <c r="O7" s="179">
        <v>45170</v>
      </c>
      <c r="P7" s="179">
        <v>45200</v>
      </c>
      <c r="Q7" s="179">
        <v>45231</v>
      </c>
      <c r="R7" s="179">
        <v>45261</v>
      </c>
      <c r="S7" s="179">
        <v>45292</v>
      </c>
      <c r="T7" s="179">
        <v>45323</v>
      </c>
      <c r="U7" s="179">
        <v>45352</v>
      </c>
      <c r="V7" s="179" t="s">
        <v>72</v>
      </c>
    </row>
    <row r="8" spans="1:22" x14ac:dyDescent="0.3"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3">
      <c r="B9" s="14" t="s">
        <v>299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x14ac:dyDescent="0.3">
      <c r="A10" s="151"/>
      <c r="B10" s="177" t="s">
        <v>147</v>
      </c>
      <c r="C10" s="151"/>
      <c r="D10" s="151"/>
      <c r="E10" s="151"/>
      <c r="F10" s="15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</row>
    <row r="11" spans="1:22" x14ac:dyDescent="0.3">
      <c r="B11" s="336" t="s">
        <v>37</v>
      </c>
      <c r="C11" s="337"/>
      <c r="D11" s="337"/>
      <c r="E11" s="337"/>
      <c r="F11" s="337"/>
      <c r="G11" s="338">
        <f>SUM(G15+G22)</f>
        <v>26073</v>
      </c>
      <c r="H11" s="338">
        <f t="shared" ref="H11:T11" si="0">SUM(H15+H22)</f>
        <v>27584</v>
      </c>
      <c r="I11" s="338">
        <f t="shared" si="0"/>
        <v>28797</v>
      </c>
      <c r="J11" s="338">
        <f t="shared" si="0"/>
        <v>29336</v>
      </c>
      <c r="K11" s="338">
        <f t="shared" si="0"/>
        <v>32299</v>
      </c>
      <c r="L11" s="338">
        <f t="shared" si="0"/>
        <v>33783</v>
      </c>
      <c r="M11" s="338">
        <f t="shared" si="0"/>
        <v>35998</v>
      </c>
      <c r="N11" s="338">
        <f t="shared" si="0"/>
        <v>35921</v>
      </c>
      <c r="O11" s="338">
        <f t="shared" si="0"/>
        <v>31485</v>
      </c>
      <c r="P11" s="338">
        <f t="shared" si="0"/>
        <v>27284</v>
      </c>
      <c r="Q11" s="338">
        <f t="shared" si="0"/>
        <v>27086</v>
      </c>
      <c r="R11" s="338">
        <f t="shared" si="0"/>
        <v>25770</v>
      </c>
      <c r="S11" s="338">
        <f t="shared" si="0"/>
        <v>24687</v>
      </c>
      <c r="T11" s="338">
        <f t="shared" si="0"/>
        <v>25280</v>
      </c>
      <c r="U11" s="316">
        <f>SUM(U12:U18)</f>
        <v>39812.911542610571</v>
      </c>
      <c r="V11" s="203">
        <f>SUM(G11:R11)</f>
        <v>361416</v>
      </c>
    </row>
    <row r="12" spans="1:22" x14ac:dyDescent="0.3">
      <c r="B12" s="331" t="s">
        <v>281</v>
      </c>
      <c r="C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3">
      <c r="B13" s="332" t="s">
        <v>273</v>
      </c>
      <c r="C13" s="9"/>
      <c r="E13" s="9"/>
      <c r="F13" s="9"/>
      <c r="G13" s="328">
        <f>'IS 2023'!F11</f>
        <v>5086</v>
      </c>
      <c r="H13" s="328">
        <f>'IS 2023'!G11</f>
        <v>5191</v>
      </c>
      <c r="I13" s="328">
        <f>'IS 2023'!H11</f>
        <v>5322</v>
      </c>
      <c r="J13" s="328">
        <f>'IS 2023'!I11</f>
        <v>5442</v>
      </c>
      <c r="K13" s="328">
        <f>'IS 2023'!J11</f>
        <v>5704</v>
      </c>
      <c r="L13" s="328">
        <f>'IS 2023'!K11</f>
        <v>5915</v>
      </c>
      <c r="M13" s="328">
        <f>'IS 2023'!L11</f>
        <v>6677</v>
      </c>
      <c r="N13" s="328">
        <f>'IS 2023'!M11</f>
        <v>6677</v>
      </c>
      <c r="O13" s="328">
        <f>'IS 2023'!N11</f>
        <v>6677</v>
      </c>
      <c r="P13" s="328">
        <f>'IS 2023'!O11</f>
        <v>6799</v>
      </c>
      <c r="Q13" s="328">
        <f>'IS 2023'!P11</f>
        <v>6677</v>
      </c>
      <c r="R13" s="328">
        <f>'IS 2023'!Q11</f>
        <v>5058</v>
      </c>
      <c r="S13" s="328">
        <f>'IS 2023'!R11</f>
        <v>5322</v>
      </c>
      <c r="T13" s="328">
        <f>'IS 2023'!S11</f>
        <v>5915</v>
      </c>
      <c r="U13" s="328">
        <f>'IS 2023'!T11</f>
        <v>5915</v>
      </c>
      <c r="V13" s="9"/>
    </row>
    <row r="14" spans="1:22" x14ac:dyDescent="0.3">
      <c r="B14" s="332" t="s">
        <v>274</v>
      </c>
      <c r="C14" s="9"/>
      <c r="E14" s="9"/>
      <c r="F14" s="9"/>
      <c r="G14" s="328">
        <f>'IS 2023'!F12</f>
        <v>6357</v>
      </c>
      <c r="H14" s="328">
        <f>'IS 2023'!G12</f>
        <v>6357</v>
      </c>
      <c r="I14" s="328">
        <f>'IS 2023'!H12</f>
        <v>6489</v>
      </c>
      <c r="J14" s="328">
        <f>'IS 2023'!I12</f>
        <v>6653</v>
      </c>
      <c r="K14" s="328">
        <f>'IS 2023'!J12</f>
        <v>6802</v>
      </c>
      <c r="L14" s="328">
        <f>'IS 2023'!K12</f>
        <v>7130</v>
      </c>
      <c r="M14" s="328">
        <f>'IS 2023'!L12</f>
        <v>8322</v>
      </c>
      <c r="N14" s="328">
        <f>'IS 2023'!M12</f>
        <v>8322</v>
      </c>
      <c r="O14" s="328">
        <f>'IS 2023'!N12</f>
        <v>8322</v>
      </c>
      <c r="P14" s="328">
        <f>'IS 2023'!O12</f>
        <v>7411</v>
      </c>
      <c r="Q14" s="328">
        <f>'IS 2023'!P12</f>
        <v>7411</v>
      </c>
      <c r="R14" s="328">
        <f>'IS 2023'!Q12</f>
        <v>7704</v>
      </c>
      <c r="S14" s="328">
        <f>'IS 2023'!R12</f>
        <v>6357</v>
      </c>
      <c r="T14" s="328">
        <f>'IS 2023'!S12</f>
        <v>6357</v>
      </c>
      <c r="U14" s="328">
        <f>'IS 2023'!T12</f>
        <v>6489</v>
      </c>
      <c r="V14" s="9"/>
    </row>
    <row r="15" spans="1:22" x14ac:dyDescent="0.3">
      <c r="B15" s="332" t="s">
        <v>276</v>
      </c>
      <c r="C15" s="9"/>
      <c r="E15" s="9"/>
      <c r="F15" s="9"/>
      <c r="G15" s="328">
        <f>SUM(G13:G14)</f>
        <v>11443</v>
      </c>
      <c r="H15" s="328">
        <f t="shared" ref="H15:Q15" si="1">SUM(H13:H14)</f>
        <v>11548</v>
      </c>
      <c r="I15" s="328">
        <f t="shared" si="1"/>
        <v>11811</v>
      </c>
      <c r="J15" s="328">
        <f t="shared" si="1"/>
        <v>12095</v>
      </c>
      <c r="K15" s="328">
        <f t="shared" si="1"/>
        <v>12506</v>
      </c>
      <c r="L15" s="328">
        <f t="shared" si="1"/>
        <v>13045</v>
      </c>
      <c r="M15" s="328">
        <f t="shared" si="1"/>
        <v>14999</v>
      </c>
      <c r="N15" s="328">
        <f t="shared" si="1"/>
        <v>14999</v>
      </c>
      <c r="O15" s="328">
        <f t="shared" si="1"/>
        <v>14999</v>
      </c>
      <c r="P15" s="328">
        <f t="shared" si="1"/>
        <v>14210</v>
      </c>
      <c r="Q15" s="328">
        <f t="shared" si="1"/>
        <v>14088</v>
      </c>
      <c r="R15" s="328">
        <f>SUM(R13:R14)</f>
        <v>12762</v>
      </c>
      <c r="S15" s="328">
        <f t="shared" ref="S15:U15" si="2">SUM(S13:S14)</f>
        <v>11679</v>
      </c>
      <c r="T15" s="328">
        <f t="shared" si="2"/>
        <v>12272</v>
      </c>
      <c r="U15" s="328">
        <f t="shared" si="2"/>
        <v>12404</v>
      </c>
      <c r="V15" s="9"/>
    </row>
    <row r="16" spans="1:22" x14ac:dyDescent="0.3">
      <c r="B16" s="332" t="s">
        <v>277</v>
      </c>
      <c r="C16" s="9"/>
      <c r="E16" s="9"/>
      <c r="F16" s="9"/>
      <c r="G16" s="330">
        <v>15000</v>
      </c>
      <c r="H16" s="330">
        <v>15000</v>
      </c>
      <c r="I16" s="330">
        <v>15000</v>
      </c>
      <c r="J16" s="330">
        <v>15000</v>
      </c>
      <c r="K16" s="330">
        <v>15000</v>
      </c>
      <c r="L16" s="330">
        <v>15000</v>
      </c>
      <c r="M16" s="330">
        <v>15000</v>
      </c>
      <c r="N16" s="330">
        <v>15000</v>
      </c>
      <c r="O16" s="330">
        <v>15000</v>
      </c>
      <c r="P16" s="330">
        <v>15000</v>
      </c>
      <c r="Q16" s="330">
        <v>15000</v>
      </c>
      <c r="R16" s="330">
        <v>15000</v>
      </c>
      <c r="S16" s="330">
        <v>15001</v>
      </c>
      <c r="T16" s="330">
        <v>15002</v>
      </c>
      <c r="U16" s="330">
        <v>15003</v>
      </c>
      <c r="V16" s="9"/>
    </row>
    <row r="17" spans="1:22" x14ac:dyDescent="0.3">
      <c r="B17" s="332" t="s">
        <v>275</v>
      </c>
      <c r="C17" s="9"/>
      <c r="E17" s="9"/>
      <c r="F17" s="9"/>
      <c r="G17" s="329">
        <f>G15/G$16</f>
        <v>0.76286666666666669</v>
      </c>
      <c r="H17" s="329">
        <f t="shared" ref="H17:T17" si="3">H15/H$16</f>
        <v>0.7698666666666667</v>
      </c>
      <c r="I17" s="329">
        <f t="shared" si="3"/>
        <v>0.78739999999999999</v>
      </c>
      <c r="J17" s="329">
        <f t="shared" si="3"/>
        <v>0.80633333333333335</v>
      </c>
      <c r="K17" s="329">
        <f t="shared" si="3"/>
        <v>0.83373333333333333</v>
      </c>
      <c r="L17" s="329">
        <f t="shared" si="3"/>
        <v>0.8696666666666667</v>
      </c>
      <c r="M17" s="329">
        <f t="shared" si="3"/>
        <v>0.99993333333333334</v>
      </c>
      <c r="N17" s="329">
        <f t="shared" si="3"/>
        <v>0.99993333333333334</v>
      </c>
      <c r="O17" s="329">
        <f t="shared" si="3"/>
        <v>0.99993333333333334</v>
      </c>
      <c r="P17" s="329">
        <f t="shared" si="3"/>
        <v>0.94733333333333336</v>
      </c>
      <c r="Q17" s="329">
        <f t="shared" si="3"/>
        <v>0.93920000000000003</v>
      </c>
      <c r="R17" s="329">
        <f t="shared" si="3"/>
        <v>0.8508</v>
      </c>
      <c r="S17" s="329">
        <f t="shared" si="3"/>
        <v>0.77854809679354708</v>
      </c>
      <c r="T17" s="329">
        <f t="shared" si="3"/>
        <v>0.81802426343154244</v>
      </c>
      <c r="U17" s="329">
        <f t="shared" ref="U17" si="4">U15/U$14</f>
        <v>1.9115426105717368</v>
      </c>
      <c r="V17" s="9"/>
    </row>
    <row r="18" spans="1:22" x14ac:dyDescent="0.3">
      <c r="B18" s="332"/>
      <c r="C18" s="9"/>
      <c r="E18" s="9"/>
      <c r="F18" s="9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9"/>
    </row>
    <row r="19" spans="1:22" x14ac:dyDescent="0.3">
      <c r="B19" s="331" t="s">
        <v>280</v>
      </c>
      <c r="C19" s="9"/>
      <c r="E19" s="9"/>
      <c r="F19" s="9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9"/>
    </row>
    <row r="20" spans="1:22" x14ac:dyDescent="0.3">
      <c r="B20" s="332" t="s">
        <v>278</v>
      </c>
      <c r="C20" s="9"/>
      <c r="E20" s="9"/>
      <c r="F20" s="9"/>
      <c r="G20" s="328">
        <f>'IS 2023'!F18</f>
        <v>6593</v>
      </c>
      <c r="H20" s="328">
        <v>7537</v>
      </c>
      <c r="I20" s="328">
        <v>7782</v>
      </c>
      <c r="J20" s="328">
        <v>8037</v>
      </c>
      <c r="K20" s="328">
        <v>8499</v>
      </c>
      <c r="L20" s="328">
        <v>8704</v>
      </c>
      <c r="M20" s="328">
        <v>8877</v>
      </c>
      <c r="N20" s="328">
        <v>8800</v>
      </c>
      <c r="O20" s="328">
        <v>7782</v>
      </c>
      <c r="P20" s="328">
        <v>6037</v>
      </c>
      <c r="Q20" s="328">
        <v>5499</v>
      </c>
      <c r="R20" s="328">
        <v>5704</v>
      </c>
      <c r="S20" s="328">
        <v>5704</v>
      </c>
      <c r="T20" s="328">
        <v>5704</v>
      </c>
      <c r="U20" s="328">
        <v>5704</v>
      </c>
      <c r="V20" s="9"/>
    </row>
    <row r="21" spans="1:22" x14ac:dyDescent="0.3">
      <c r="B21" s="332" t="s">
        <v>279</v>
      </c>
      <c r="C21" s="9"/>
      <c r="E21" s="9"/>
      <c r="F21" s="9"/>
      <c r="G21" s="328">
        <f>'IS 2023'!F19</f>
        <v>8037</v>
      </c>
      <c r="H21" s="328">
        <v>8499</v>
      </c>
      <c r="I21" s="328">
        <v>9204</v>
      </c>
      <c r="J21" s="328">
        <v>9204</v>
      </c>
      <c r="K21" s="328">
        <v>11294</v>
      </c>
      <c r="L21" s="328">
        <v>12034</v>
      </c>
      <c r="M21" s="328">
        <v>12122</v>
      </c>
      <c r="N21" s="328">
        <v>12122</v>
      </c>
      <c r="O21" s="328">
        <v>8704</v>
      </c>
      <c r="P21" s="328">
        <v>7037</v>
      </c>
      <c r="Q21" s="328">
        <v>7499</v>
      </c>
      <c r="R21" s="328">
        <v>7304</v>
      </c>
      <c r="S21" s="328">
        <v>7304</v>
      </c>
      <c r="T21" s="328">
        <v>7304</v>
      </c>
      <c r="U21" s="328">
        <v>7304</v>
      </c>
      <c r="V21" s="9"/>
    </row>
    <row r="22" spans="1:22" x14ac:dyDescent="0.3">
      <c r="B22" s="332" t="s">
        <v>276</v>
      </c>
      <c r="C22" s="9"/>
      <c r="E22" s="9"/>
      <c r="F22" s="9"/>
      <c r="G22" s="328">
        <f>SUM(G20:G21)</f>
        <v>14630</v>
      </c>
      <c r="H22" s="328">
        <f t="shared" ref="H22:U22" si="5">SUM(H20:H21)</f>
        <v>16036</v>
      </c>
      <c r="I22" s="328">
        <f t="shared" si="5"/>
        <v>16986</v>
      </c>
      <c r="J22" s="328">
        <f t="shared" si="5"/>
        <v>17241</v>
      </c>
      <c r="K22" s="328">
        <f t="shared" si="5"/>
        <v>19793</v>
      </c>
      <c r="L22" s="328">
        <f t="shared" si="5"/>
        <v>20738</v>
      </c>
      <c r="M22" s="328">
        <f t="shared" si="5"/>
        <v>20999</v>
      </c>
      <c r="N22" s="328">
        <f t="shared" si="5"/>
        <v>20922</v>
      </c>
      <c r="O22" s="328">
        <f t="shared" si="5"/>
        <v>16486</v>
      </c>
      <c r="P22" s="328">
        <f t="shared" si="5"/>
        <v>13074</v>
      </c>
      <c r="Q22" s="328">
        <f t="shared" si="5"/>
        <v>12998</v>
      </c>
      <c r="R22" s="328">
        <f t="shared" si="5"/>
        <v>13008</v>
      </c>
      <c r="S22" s="328">
        <f t="shared" si="5"/>
        <v>13008</v>
      </c>
      <c r="T22" s="328">
        <f t="shared" si="5"/>
        <v>13008</v>
      </c>
      <c r="U22" s="328">
        <f t="shared" si="5"/>
        <v>13008</v>
      </c>
      <c r="V22" s="9"/>
    </row>
    <row r="23" spans="1:22" x14ac:dyDescent="0.3">
      <c r="B23" s="332" t="s">
        <v>277</v>
      </c>
      <c r="C23" s="9"/>
      <c r="E23" s="9"/>
      <c r="F23" s="9"/>
      <c r="G23" s="327">
        <v>21000</v>
      </c>
      <c r="H23" s="327">
        <v>21000</v>
      </c>
      <c r="I23" s="327">
        <v>21000</v>
      </c>
      <c r="J23" s="327">
        <v>21000</v>
      </c>
      <c r="K23" s="327">
        <v>21000</v>
      </c>
      <c r="L23" s="327">
        <v>21000</v>
      </c>
      <c r="M23" s="327">
        <v>21000</v>
      </c>
      <c r="N23" s="327">
        <v>21000</v>
      </c>
      <c r="O23" s="327">
        <v>21000</v>
      </c>
      <c r="P23" s="327">
        <v>21000</v>
      </c>
      <c r="Q23" s="327">
        <v>21000</v>
      </c>
      <c r="R23" s="327">
        <v>21000</v>
      </c>
      <c r="S23" s="327">
        <v>21001</v>
      </c>
      <c r="T23" s="327">
        <v>21002</v>
      </c>
      <c r="U23" s="327">
        <v>21003</v>
      </c>
      <c r="V23" s="9"/>
    </row>
    <row r="24" spans="1:22" x14ac:dyDescent="0.3">
      <c r="B24" s="332" t="s">
        <v>275</v>
      </c>
      <c r="C24" s="9"/>
      <c r="E24" s="9"/>
      <c r="F24" s="9"/>
      <c r="G24" s="329">
        <f>G22/G$23</f>
        <v>0.69666666666666666</v>
      </c>
      <c r="H24" s="329">
        <f t="shared" ref="H24:T24" si="6">H22/H$23</f>
        <v>0.76361904761904764</v>
      </c>
      <c r="I24" s="329">
        <f t="shared" si="6"/>
        <v>0.80885714285714283</v>
      </c>
      <c r="J24" s="329">
        <f t="shared" si="6"/>
        <v>0.82099999999999995</v>
      </c>
      <c r="K24" s="329">
        <f t="shared" si="6"/>
        <v>0.94252380952380954</v>
      </c>
      <c r="L24" s="329">
        <f t="shared" si="6"/>
        <v>0.98752380952380947</v>
      </c>
      <c r="M24" s="329">
        <f t="shared" si="6"/>
        <v>0.99995238095238093</v>
      </c>
      <c r="N24" s="329">
        <f t="shared" si="6"/>
        <v>0.99628571428571433</v>
      </c>
      <c r="O24" s="329">
        <f t="shared" si="6"/>
        <v>0.78504761904761899</v>
      </c>
      <c r="P24" s="329">
        <f t="shared" si="6"/>
        <v>0.62257142857142855</v>
      </c>
      <c r="Q24" s="329">
        <f t="shared" si="6"/>
        <v>0.61895238095238092</v>
      </c>
      <c r="R24" s="329">
        <f t="shared" si="6"/>
        <v>0.61942857142857144</v>
      </c>
      <c r="S24" s="329">
        <f t="shared" si="6"/>
        <v>0.619399076234465</v>
      </c>
      <c r="T24" s="329">
        <f t="shared" si="6"/>
        <v>0.61936958384915719</v>
      </c>
      <c r="U24" s="329">
        <f t="shared" ref="U24" si="7">U22/U$21</f>
        <v>1.7809419496166483</v>
      </c>
      <c r="V24" s="9"/>
    </row>
    <row r="25" spans="1:22" x14ac:dyDescent="0.3">
      <c r="B25" s="314"/>
      <c r="C25" s="315"/>
      <c r="D25" s="315"/>
      <c r="E25" s="315"/>
      <c r="F25" s="315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5"/>
    </row>
    <row r="26" spans="1:22" x14ac:dyDescent="0.3">
      <c r="B26" s="336" t="s">
        <v>38</v>
      </c>
      <c r="C26" s="337"/>
      <c r="D26" s="337"/>
      <c r="E26" s="337"/>
      <c r="F26" s="337"/>
      <c r="G26" s="438">
        <v>-325</v>
      </c>
      <c r="H26" s="438">
        <v>-325</v>
      </c>
      <c r="I26" s="438">
        <v>-325</v>
      </c>
      <c r="J26" s="438">
        <v>-325</v>
      </c>
      <c r="K26" s="438">
        <v>-325</v>
      </c>
      <c r="L26" s="438">
        <v>-325</v>
      </c>
      <c r="M26" s="438">
        <v>-325</v>
      </c>
      <c r="N26" s="438">
        <v>-325</v>
      </c>
      <c r="O26" s="438">
        <v>-325</v>
      </c>
      <c r="P26" s="438">
        <v>-325</v>
      </c>
      <c r="Q26" s="438">
        <v>-325</v>
      </c>
      <c r="R26" s="438">
        <v>-325</v>
      </c>
      <c r="S26" s="438">
        <v>-325</v>
      </c>
      <c r="T26" s="438">
        <v>-325</v>
      </c>
      <c r="U26" s="316">
        <v>-325</v>
      </c>
      <c r="V26" s="338">
        <f>SUM(G26:R26)</f>
        <v>-3900</v>
      </c>
    </row>
    <row r="27" spans="1:22" ht="15" customHeight="1" x14ac:dyDescent="0.3">
      <c r="B27" s="336" t="s">
        <v>148</v>
      </c>
      <c r="C27" s="337"/>
      <c r="D27" s="337"/>
      <c r="E27" s="337"/>
      <c r="F27" s="337"/>
      <c r="G27" s="439"/>
      <c r="H27" s="438">
        <f>'IS 2023'!G69</f>
        <v>-12225</v>
      </c>
      <c r="I27" s="438">
        <f>'IS 2023'!H69</f>
        <v>-11950</v>
      </c>
      <c r="J27" s="438">
        <f>'IS 2023'!I69</f>
        <v>-11675</v>
      </c>
      <c r="K27" s="438">
        <f>'IS 2023'!J69</f>
        <v>-11400</v>
      </c>
      <c r="L27" s="438">
        <f>'IS 2023'!K69</f>
        <v>-11125</v>
      </c>
      <c r="M27" s="438">
        <f>'IS 2023'!L69</f>
        <v>-10850</v>
      </c>
      <c r="N27" s="438">
        <f>'IS 2023'!M69</f>
        <v>-10575</v>
      </c>
      <c r="O27" s="438">
        <f>'IS 2023'!N69</f>
        <v>-10300</v>
      </c>
      <c r="P27" s="438">
        <f>'IS 2023'!O69</f>
        <v>-10025</v>
      </c>
      <c r="Q27" s="438">
        <f>'IS 2023'!P69</f>
        <v>-9750</v>
      </c>
      <c r="R27" s="438">
        <f>'IS 2023'!Q69</f>
        <v>-9475</v>
      </c>
      <c r="S27" s="438">
        <f>'IS 2023'!R69</f>
        <v>-9200</v>
      </c>
      <c r="T27" s="438">
        <f>'IS 2023'!S69</f>
        <v>-8925</v>
      </c>
      <c r="U27" s="316">
        <v>-14169</v>
      </c>
      <c r="V27" s="5"/>
    </row>
    <row r="28" spans="1:22" x14ac:dyDescent="0.3">
      <c r="B28" s="336" t="s">
        <v>149</v>
      </c>
      <c r="C28" s="337"/>
      <c r="D28" s="337"/>
      <c r="E28" s="337"/>
      <c r="F28" s="337"/>
      <c r="G28" s="439"/>
      <c r="H28" s="438">
        <f>'IS 2023'!G71</f>
        <v>-3409.4</v>
      </c>
      <c r="I28" s="438">
        <f>'IS 2023'!H71</f>
        <v>-3712</v>
      </c>
      <c r="J28" s="438">
        <f>'IS 2023'!I71</f>
        <v>-3799.8</v>
      </c>
      <c r="K28" s="438">
        <f>'IS 2023'!J71</f>
        <v>-4492.4000000000005</v>
      </c>
      <c r="L28" s="438">
        <f>'IS 2023'!K71</f>
        <v>-4789.2</v>
      </c>
      <c r="M28" s="438">
        <f>'IS 2023'!L71</f>
        <v>-5232.2000000000007</v>
      </c>
      <c r="N28" s="438">
        <f>'IS 2023'!M71</f>
        <v>-5216.8</v>
      </c>
      <c r="O28" s="438">
        <f>'IS 2023'!N71</f>
        <v>-4329.6000000000004</v>
      </c>
      <c r="P28" s="438">
        <f>'IS 2023'!O71</f>
        <v>-3489.4</v>
      </c>
      <c r="Q28" s="438">
        <f>'IS 2023'!P71</f>
        <v>-3449.8</v>
      </c>
      <c r="R28" s="438">
        <f>'IS 2023'!Q71</f>
        <v>-3186.6000000000004</v>
      </c>
      <c r="S28" s="438">
        <f>'IS 2023'!R71</f>
        <v>-3506.6000000000004</v>
      </c>
      <c r="T28" s="438">
        <f>'IS 2023'!S71</f>
        <v>-3746.4</v>
      </c>
      <c r="U28" s="316">
        <v>-117539</v>
      </c>
      <c r="V28" s="5"/>
    </row>
    <row r="29" spans="1:22" x14ac:dyDescent="0.3">
      <c r="A29" s="151"/>
      <c r="B29" s="180" t="s">
        <v>150</v>
      </c>
      <c r="C29" s="151"/>
      <c r="D29" s="151"/>
      <c r="E29" s="151"/>
      <c r="F29" s="151"/>
      <c r="G29" s="212">
        <f t="shared" ref="G29:U29" si="8">G11</f>
        <v>26073</v>
      </c>
      <c r="H29" s="212">
        <f t="shared" si="8"/>
        <v>27584</v>
      </c>
      <c r="I29" s="212">
        <f t="shared" si="8"/>
        <v>28797</v>
      </c>
      <c r="J29" s="212">
        <f t="shared" si="8"/>
        <v>29336</v>
      </c>
      <c r="K29" s="212">
        <f t="shared" si="8"/>
        <v>32299</v>
      </c>
      <c r="L29" s="212">
        <f t="shared" si="8"/>
        <v>33783</v>
      </c>
      <c r="M29" s="212">
        <f t="shared" si="8"/>
        <v>35998</v>
      </c>
      <c r="N29" s="212">
        <f t="shared" si="8"/>
        <v>35921</v>
      </c>
      <c r="O29" s="212">
        <f t="shared" si="8"/>
        <v>31485</v>
      </c>
      <c r="P29" s="212">
        <f t="shared" si="8"/>
        <v>27284</v>
      </c>
      <c r="Q29" s="212">
        <f t="shared" si="8"/>
        <v>27086</v>
      </c>
      <c r="R29" s="212">
        <f t="shared" si="8"/>
        <v>25770</v>
      </c>
      <c r="S29" s="212">
        <f t="shared" si="8"/>
        <v>24687</v>
      </c>
      <c r="T29" s="212">
        <f t="shared" si="8"/>
        <v>25280</v>
      </c>
      <c r="U29" s="212">
        <f t="shared" si="8"/>
        <v>39812.911542610571</v>
      </c>
      <c r="V29" s="212">
        <f>SUM(G29:R29)</f>
        <v>361416</v>
      </c>
    </row>
    <row r="30" spans="1:22" x14ac:dyDescent="0.3">
      <c r="A30" s="152"/>
      <c r="B30" s="197" t="s">
        <v>151</v>
      </c>
      <c r="C30" s="198"/>
      <c r="D30" s="198"/>
      <c r="E30" s="198"/>
      <c r="F30" s="198"/>
      <c r="G30" s="333">
        <f t="shared" ref="G30:T30" si="9">(SUM(G19:G21))*-1</f>
        <v>-14630</v>
      </c>
      <c r="H30" s="333">
        <f t="shared" si="9"/>
        <v>-16036</v>
      </c>
      <c r="I30" s="333">
        <f t="shared" si="9"/>
        <v>-16986</v>
      </c>
      <c r="J30" s="333">
        <f t="shared" si="9"/>
        <v>-17241</v>
      </c>
      <c r="K30" s="333">
        <f t="shared" si="9"/>
        <v>-19793</v>
      </c>
      <c r="L30" s="333">
        <f t="shared" si="9"/>
        <v>-20738</v>
      </c>
      <c r="M30" s="333">
        <f t="shared" si="9"/>
        <v>-20999</v>
      </c>
      <c r="N30" s="333">
        <f t="shared" si="9"/>
        <v>-20922</v>
      </c>
      <c r="O30" s="333">
        <f t="shared" si="9"/>
        <v>-16486</v>
      </c>
      <c r="P30" s="333">
        <f t="shared" si="9"/>
        <v>-13074</v>
      </c>
      <c r="Q30" s="333">
        <f t="shared" si="9"/>
        <v>-12998</v>
      </c>
      <c r="R30" s="333">
        <f t="shared" si="9"/>
        <v>-13008</v>
      </c>
      <c r="S30" s="333">
        <f t="shared" si="9"/>
        <v>-13008</v>
      </c>
      <c r="T30" s="333">
        <f t="shared" si="9"/>
        <v>-13008</v>
      </c>
      <c r="U30" s="213">
        <f>SUM(U19:U21)</f>
        <v>13008</v>
      </c>
      <c r="V30" s="214">
        <f>SUM(G30:R30)</f>
        <v>-202911</v>
      </c>
    </row>
    <row r="31" spans="1:22" x14ac:dyDescent="0.3">
      <c r="B31" s="340" t="s">
        <v>152</v>
      </c>
      <c r="C31" s="340"/>
      <c r="D31" s="340"/>
      <c r="E31" s="340"/>
      <c r="F31" s="340"/>
      <c r="G31" s="328">
        <f>SUM(G29+G30)</f>
        <v>11443</v>
      </c>
      <c r="H31" s="328">
        <f>SUM(H29:H30)</f>
        <v>11548</v>
      </c>
      <c r="I31" s="328">
        <f>SUM(I29:I30)</f>
        <v>11811</v>
      </c>
      <c r="J31" s="328">
        <f t="shared" ref="J31:R31" si="10">SUM(J29:J30)</f>
        <v>12095</v>
      </c>
      <c r="K31" s="328">
        <f t="shared" si="10"/>
        <v>12506</v>
      </c>
      <c r="L31" s="328">
        <f t="shared" si="10"/>
        <v>13045</v>
      </c>
      <c r="M31" s="328">
        <f t="shared" si="10"/>
        <v>14999</v>
      </c>
      <c r="N31" s="328">
        <f t="shared" si="10"/>
        <v>14999</v>
      </c>
      <c r="O31" s="328">
        <f t="shared" si="10"/>
        <v>14999</v>
      </c>
      <c r="P31" s="328">
        <f t="shared" si="10"/>
        <v>14210</v>
      </c>
      <c r="Q31" s="328">
        <f t="shared" si="10"/>
        <v>14088</v>
      </c>
      <c r="R31" s="328">
        <f t="shared" si="10"/>
        <v>12762</v>
      </c>
      <c r="S31" s="328">
        <f t="shared" ref="S31:U31" si="11">SUM(S29:S30)</f>
        <v>11679</v>
      </c>
      <c r="T31" s="328">
        <f t="shared" si="11"/>
        <v>12272</v>
      </c>
      <c r="U31" s="318">
        <f t="shared" si="11"/>
        <v>52820.911542610571</v>
      </c>
      <c r="V31" s="438">
        <f>SUM(G31:R31)</f>
        <v>158505</v>
      </c>
    </row>
    <row r="32" spans="1:22" x14ac:dyDescent="0.3">
      <c r="B32" s="340" t="s">
        <v>196</v>
      </c>
      <c r="C32" s="340"/>
      <c r="D32" s="340"/>
      <c r="E32" s="340"/>
      <c r="F32" s="340"/>
      <c r="G32" s="328">
        <f>G31-'IS 2023'!F67</f>
        <v>13154</v>
      </c>
      <c r="H32" s="328">
        <f>H31-'IS 2023'!G67</f>
        <v>13259</v>
      </c>
      <c r="I32" s="328">
        <f>I31-'IS 2023'!H67</f>
        <v>13522</v>
      </c>
      <c r="J32" s="328">
        <f>J31-'IS 2023'!I67</f>
        <v>13806</v>
      </c>
      <c r="K32" s="328">
        <f>K31-'IS 2023'!J67</f>
        <v>14217</v>
      </c>
      <c r="L32" s="328">
        <f>L31-'IS 2023'!K67</f>
        <v>14756</v>
      </c>
      <c r="M32" s="328">
        <f>M31-'IS 2023'!L67</f>
        <v>16710</v>
      </c>
      <c r="N32" s="328">
        <f>N31-'IS 2023'!M67</f>
        <v>16710</v>
      </c>
      <c r="O32" s="328">
        <f>O31-'IS 2023'!N67</f>
        <v>16710</v>
      </c>
      <c r="P32" s="328">
        <f>P31-'IS 2023'!O67</f>
        <v>15921</v>
      </c>
      <c r="Q32" s="328">
        <f>Q31-'IS 2023'!P67</f>
        <v>15799</v>
      </c>
      <c r="R32" s="328">
        <f>R31-'IS 2023'!Q67</f>
        <v>14473</v>
      </c>
      <c r="S32" s="328">
        <f>S31-'IS 2023'!R67</f>
        <v>13129</v>
      </c>
      <c r="T32" s="328">
        <f>T31-'IS 2023'!S67</f>
        <v>13722</v>
      </c>
      <c r="U32" s="318">
        <f>'IS 2023'!T67+U31</f>
        <v>51370.911542610571</v>
      </c>
      <c r="V32" s="5"/>
    </row>
    <row r="33" spans="2:22" x14ac:dyDescent="0.3">
      <c r="B33" s="341" t="s">
        <v>153</v>
      </c>
      <c r="C33" s="340"/>
      <c r="D33" s="340"/>
      <c r="E33" s="340"/>
      <c r="F33" s="340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19"/>
      <c r="V33" s="5"/>
    </row>
    <row r="34" spans="2:22" x14ac:dyDescent="0.3">
      <c r="B34" s="343" t="s">
        <v>154</v>
      </c>
      <c r="C34" s="340"/>
      <c r="D34" s="340"/>
      <c r="E34" s="340"/>
      <c r="F34" s="340"/>
      <c r="G34" s="328">
        <v>250000</v>
      </c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19"/>
      <c r="V34" s="5"/>
    </row>
    <row r="35" spans="2:22" x14ac:dyDescent="0.3">
      <c r="B35" s="344" t="s">
        <v>117</v>
      </c>
      <c r="C35" s="340"/>
      <c r="D35" s="340"/>
      <c r="E35" s="340"/>
      <c r="F35" s="340"/>
      <c r="G35" s="328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19"/>
      <c r="V35" s="5"/>
    </row>
    <row r="36" spans="2:22" x14ac:dyDescent="0.3">
      <c r="B36" s="343" t="s">
        <v>155</v>
      </c>
      <c r="C36" s="340"/>
      <c r="D36" s="340"/>
      <c r="E36" s="340"/>
      <c r="F36" s="340"/>
      <c r="G36" s="328">
        <f>SUM(G34:G35)</f>
        <v>250000</v>
      </c>
      <c r="H36" s="328">
        <f t="shared" ref="H36:R36" si="12">SUM(H34:H35)</f>
        <v>0</v>
      </c>
      <c r="I36" s="328">
        <f t="shared" si="12"/>
        <v>0</v>
      </c>
      <c r="J36" s="328">
        <f t="shared" si="12"/>
        <v>0</v>
      </c>
      <c r="K36" s="328">
        <f t="shared" si="12"/>
        <v>0</v>
      </c>
      <c r="L36" s="328">
        <f t="shared" si="12"/>
        <v>0</v>
      </c>
      <c r="M36" s="328">
        <f t="shared" si="12"/>
        <v>0</v>
      </c>
      <c r="N36" s="328">
        <f t="shared" si="12"/>
        <v>0</v>
      </c>
      <c r="O36" s="328">
        <f t="shared" si="12"/>
        <v>0</v>
      </c>
      <c r="P36" s="328">
        <f t="shared" si="12"/>
        <v>0</v>
      </c>
      <c r="Q36" s="328">
        <f t="shared" si="12"/>
        <v>0</v>
      </c>
      <c r="R36" s="328">
        <f t="shared" si="12"/>
        <v>0</v>
      </c>
      <c r="S36" s="328">
        <f t="shared" ref="S36:U36" si="13">SUM(S34:S35)</f>
        <v>0</v>
      </c>
      <c r="T36" s="328">
        <f t="shared" si="13"/>
        <v>0</v>
      </c>
      <c r="U36" s="318">
        <f t="shared" si="13"/>
        <v>0</v>
      </c>
      <c r="V36" s="5"/>
    </row>
    <row r="37" spans="2:22" x14ac:dyDescent="0.3">
      <c r="B37" s="345" t="s">
        <v>156</v>
      </c>
      <c r="C37" s="340"/>
      <c r="D37" s="340"/>
      <c r="E37" s="340"/>
      <c r="F37" s="340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19"/>
      <c r="V37" s="5"/>
    </row>
    <row r="38" spans="2:22" x14ac:dyDescent="0.3">
      <c r="B38" s="336" t="s">
        <v>157</v>
      </c>
      <c r="C38" s="337"/>
      <c r="D38" s="337"/>
      <c r="E38" s="337"/>
      <c r="F38" s="337"/>
      <c r="G38" s="438">
        <v>-250000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17"/>
      <c r="V38" s="5"/>
    </row>
    <row r="39" spans="2:22" x14ac:dyDescent="0.3">
      <c r="B39" s="346" t="s">
        <v>117</v>
      </c>
      <c r="C39" s="337"/>
      <c r="D39" s="337"/>
      <c r="E39" s="337"/>
      <c r="F39" s="337"/>
      <c r="G39" s="338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17"/>
      <c r="V39" s="5"/>
    </row>
    <row r="40" spans="2:22" x14ac:dyDescent="0.3">
      <c r="B40" s="346" t="s">
        <v>118</v>
      </c>
      <c r="C40" s="337"/>
      <c r="D40" s="337"/>
      <c r="E40" s="337"/>
      <c r="F40" s="337"/>
      <c r="G40" s="338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17"/>
      <c r="V40" s="5"/>
    </row>
    <row r="41" spans="2:22" x14ac:dyDescent="0.3">
      <c r="B41" s="346" t="s">
        <v>119</v>
      </c>
      <c r="C41" s="337"/>
      <c r="D41" s="337"/>
      <c r="E41" s="337"/>
      <c r="F41" s="337"/>
      <c r="G41" s="338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17"/>
      <c r="V41" s="5"/>
    </row>
    <row r="42" spans="2:22" x14ac:dyDescent="0.3">
      <c r="B42" s="336" t="s">
        <v>158</v>
      </c>
      <c r="C42" s="337"/>
      <c r="D42" s="337"/>
      <c r="E42" s="337"/>
      <c r="F42" s="337"/>
      <c r="G42" s="339"/>
      <c r="H42" s="438">
        <v>-5500</v>
      </c>
      <c r="I42" s="438">
        <v>-5500</v>
      </c>
      <c r="J42" s="438">
        <v>-5500</v>
      </c>
      <c r="K42" s="438">
        <v>-5500</v>
      </c>
      <c r="L42" s="438">
        <v>-5500</v>
      </c>
      <c r="M42" s="438">
        <v>-5500</v>
      </c>
      <c r="N42" s="438">
        <v>-5500</v>
      </c>
      <c r="O42" s="438">
        <v>-5500</v>
      </c>
      <c r="P42" s="438">
        <v>-5500</v>
      </c>
      <c r="Q42" s="438">
        <v>-5500</v>
      </c>
      <c r="R42" s="438">
        <v>-5500</v>
      </c>
      <c r="S42" s="438">
        <v>-5500</v>
      </c>
      <c r="T42" s="438">
        <v>-5500</v>
      </c>
      <c r="U42" s="438">
        <v>-5500</v>
      </c>
      <c r="V42" s="438">
        <f>SUM(G42:R42)</f>
        <v>-60500</v>
      </c>
    </row>
    <row r="43" spans="2:22" x14ac:dyDescent="0.3">
      <c r="B43" s="346" t="s">
        <v>117</v>
      </c>
      <c r="C43" s="337"/>
      <c r="D43" s="337"/>
      <c r="E43" s="337"/>
      <c r="F43" s="337"/>
      <c r="G43" s="339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16"/>
      <c r="V43" s="5"/>
    </row>
    <row r="44" spans="2:22" x14ac:dyDescent="0.3">
      <c r="B44" s="336" t="s">
        <v>159</v>
      </c>
      <c r="C44" s="337"/>
      <c r="D44" s="337"/>
      <c r="E44" s="337"/>
      <c r="F44" s="337"/>
      <c r="G44" s="338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17"/>
      <c r="V44" s="5"/>
    </row>
    <row r="45" spans="2:22" x14ac:dyDescent="0.3">
      <c r="B45" s="346" t="s">
        <v>117</v>
      </c>
      <c r="C45" s="337"/>
      <c r="D45" s="337"/>
      <c r="E45" s="337"/>
      <c r="F45" s="337"/>
      <c r="G45" s="338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17"/>
      <c r="V45" s="5"/>
    </row>
    <row r="46" spans="2:22" x14ac:dyDescent="0.3">
      <c r="B46" s="336" t="s">
        <v>160</v>
      </c>
      <c r="C46" s="337"/>
      <c r="D46" s="337"/>
      <c r="E46" s="337"/>
      <c r="F46" s="437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17"/>
      <c r="V46" s="5"/>
    </row>
    <row r="47" spans="2:22" x14ac:dyDescent="0.3">
      <c r="B47" s="346" t="s">
        <v>117</v>
      </c>
      <c r="C47" s="337"/>
      <c r="D47" s="337"/>
      <c r="E47" s="337"/>
      <c r="F47" s="337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17"/>
      <c r="V47" s="5"/>
    </row>
    <row r="48" spans="2:22" x14ac:dyDescent="0.3">
      <c r="B48" s="336" t="s">
        <v>161</v>
      </c>
      <c r="C48" s="337"/>
      <c r="D48" s="337"/>
      <c r="E48" s="337"/>
      <c r="F48" s="337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17"/>
      <c r="V48" s="5"/>
    </row>
    <row r="49" spans="1:22" x14ac:dyDescent="0.3">
      <c r="B49" s="346" t="s">
        <v>117</v>
      </c>
      <c r="C49" s="337"/>
      <c r="D49" s="337"/>
      <c r="E49" s="337"/>
      <c r="F49" s="337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17"/>
      <c r="V49" s="5"/>
    </row>
    <row r="50" spans="1:22" x14ac:dyDescent="0.3">
      <c r="B50" s="336" t="s">
        <v>45</v>
      </c>
      <c r="C50" s="337"/>
      <c r="D50" s="337"/>
      <c r="E50" s="337"/>
      <c r="F50" s="337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17"/>
      <c r="V50" s="5"/>
    </row>
    <row r="51" spans="1:22" x14ac:dyDescent="0.3">
      <c r="B51" s="336" t="s">
        <v>162</v>
      </c>
      <c r="C51" s="337"/>
      <c r="D51" s="337"/>
      <c r="E51" s="337"/>
      <c r="F51" s="337"/>
      <c r="G51" s="438">
        <f>SUM(G38:G50)</f>
        <v>-250000</v>
      </c>
      <c r="H51" s="438">
        <f t="shared" ref="H51:R51" si="14">SUM(H38:H50)</f>
        <v>-5500</v>
      </c>
      <c r="I51" s="438">
        <f t="shared" si="14"/>
        <v>-5500</v>
      </c>
      <c r="J51" s="438">
        <f t="shared" si="14"/>
        <v>-5500</v>
      </c>
      <c r="K51" s="438">
        <f t="shared" si="14"/>
        <v>-5500</v>
      </c>
      <c r="L51" s="438">
        <f t="shared" si="14"/>
        <v>-5500</v>
      </c>
      <c r="M51" s="438">
        <f t="shared" si="14"/>
        <v>-5500</v>
      </c>
      <c r="N51" s="438">
        <f t="shared" si="14"/>
        <v>-5500</v>
      </c>
      <c r="O51" s="438">
        <f t="shared" si="14"/>
        <v>-5500</v>
      </c>
      <c r="P51" s="438">
        <f t="shared" si="14"/>
        <v>-5500</v>
      </c>
      <c r="Q51" s="438">
        <f t="shared" si="14"/>
        <v>-5500</v>
      </c>
      <c r="R51" s="438">
        <f t="shared" si="14"/>
        <v>-5500</v>
      </c>
      <c r="S51" s="438">
        <f t="shared" ref="S51:U51" si="15">SUM(S38:S50)</f>
        <v>-5500</v>
      </c>
      <c r="T51" s="438">
        <f t="shared" si="15"/>
        <v>-5500</v>
      </c>
      <c r="U51" s="438">
        <f t="shared" si="15"/>
        <v>-5500</v>
      </c>
      <c r="V51" s="5"/>
    </row>
    <row r="52" spans="1:22" x14ac:dyDescent="0.3">
      <c r="A52" s="206"/>
      <c r="B52" s="207" t="s">
        <v>163</v>
      </c>
      <c r="C52" s="206"/>
      <c r="D52" s="206"/>
      <c r="E52" s="206"/>
      <c r="F52" s="206"/>
      <c r="G52" s="216">
        <f>G61</f>
        <v>25748</v>
      </c>
      <c r="H52" s="216">
        <f>H31+H51</f>
        <v>6048</v>
      </c>
      <c r="I52" s="216">
        <f>I31+I51</f>
        <v>6311</v>
      </c>
      <c r="J52" s="216">
        <f>J31+J51</f>
        <v>6595</v>
      </c>
      <c r="K52" s="216">
        <f t="shared" ref="K52:R52" si="16">K31+K51</f>
        <v>7006</v>
      </c>
      <c r="L52" s="216">
        <f t="shared" si="16"/>
        <v>7545</v>
      </c>
      <c r="M52" s="216">
        <f t="shared" si="16"/>
        <v>9499</v>
      </c>
      <c r="N52" s="216">
        <f t="shared" si="16"/>
        <v>9499</v>
      </c>
      <c r="O52" s="216">
        <f t="shared" si="16"/>
        <v>9499</v>
      </c>
      <c r="P52" s="216">
        <f t="shared" si="16"/>
        <v>8710</v>
      </c>
      <c r="Q52" s="216">
        <f t="shared" si="16"/>
        <v>8588</v>
      </c>
      <c r="R52" s="216">
        <f t="shared" si="16"/>
        <v>7262</v>
      </c>
      <c r="S52" s="216">
        <f t="shared" ref="S52:U52" si="17">S31+S51</f>
        <v>6179</v>
      </c>
      <c r="T52" s="216">
        <f t="shared" si="17"/>
        <v>6772</v>
      </c>
      <c r="U52" s="216">
        <f t="shared" si="17"/>
        <v>47320.911542610571</v>
      </c>
      <c r="V52" s="216">
        <f>SUM(G52:R52)</f>
        <v>112310</v>
      </c>
    </row>
    <row r="53" spans="1:22" x14ac:dyDescent="0.3">
      <c r="A53" s="151"/>
      <c r="B53" s="177" t="s">
        <v>164</v>
      </c>
      <c r="C53" s="151"/>
      <c r="D53" s="151"/>
      <c r="E53" s="151"/>
      <c r="F53" s="15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</row>
    <row r="54" spans="1:22" x14ac:dyDescent="0.3">
      <c r="B54" s="347" t="s">
        <v>155</v>
      </c>
      <c r="C54" s="347"/>
      <c r="D54" s="347"/>
      <c r="E54" s="347"/>
      <c r="F54" s="347"/>
      <c r="G54" s="447">
        <f>G36</f>
        <v>250000</v>
      </c>
      <c r="H54" s="447">
        <f t="shared" ref="H54:R54" si="18">H36</f>
        <v>0</v>
      </c>
      <c r="I54" s="447">
        <f t="shared" si="18"/>
        <v>0</v>
      </c>
      <c r="J54" s="447">
        <f t="shared" si="18"/>
        <v>0</v>
      </c>
      <c r="K54" s="447">
        <f t="shared" si="18"/>
        <v>0</v>
      </c>
      <c r="L54" s="447">
        <f t="shared" si="18"/>
        <v>0</v>
      </c>
      <c r="M54" s="447">
        <f t="shared" si="18"/>
        <v>0</v>
      </c>
      <c r="N54" s="447">
        <f t="shared" si="18"/>
        <v>0</v>
      </c>
      <c r="O54" s="447">
        <f t="shared" si="18"/>
        <v>0</v>
      </c>
      <c r="P54" s="447">
        <f t="shared" si="18"/>
        <v>0</v>
      </c>
      <c r="Q54" s="447">
        <f t="shared" si="18"/>
        <v>0</v>
      </c>
      <c r="R54" s="447">
        <f t="shared" si="18"/>
        <v>0</v>
      </c>
      <c r="S54" s="447">
        <f t="shared" ref="S54:U54" si="19">S36</f>
        <v>0</v>
      </c>
      <c r="T54" s="447">
        <f t="shared" si="19"/>
        <v>0</v>
      </c>
      <c r="U54" s="448">
        <f t="shared" si="19"/>
        <v>0</v>
      </c>
      <c r="V54" s="5"/>
    </row>
    <row r="55" spans="1:22" x14ac:dyDescent="0.3">
      <c r="B55" s="340" t="s">
        <v>162</v>
      </c>
      <c r="C55" s="340"/>
      <c r="D55" s="340"/>
      <c r="E55" s="340"/>
      <c r="F55" s="340"/>
      <c r="G55" s="441">
        <f>G51</f>
        <v>-250000</v>
      </c>
      <c r="H55" s="441">
        <f t="shared" ref="H55:R55" si="20">H51</f>
        <v>-5500</v>
      </c>
      <c r="I55" s="441">
        <f t="shared" si="20"/>
        <v>-5500</v>
      </c>
      <c r="J55" s="441">
        <f t="shared" si="20"/>
        <v>-5500</v>
      </c>
      <c r="K55" s="441">
        <f t="shared" si="20"/>
        <v>-5500</v>
      </c>
      <c r="L55" s="441">
        <f t="shared" si="20"/>
        <v>-5500</v>
      </c>
      <c r="M55" s="441">
        <f t="shared" si="20"/>
        <v>-5500</v>
      </c>
      <c r="N55" s="441">
        <f t="shared" si="20"/>
        <v>-5500</v>
      </c>
      <c r="O55" s="441">
        <f t="shared" si="20"/>
        <v>-5500</v>
      </c>
      <c r="P55" s="441">
        <f t="shared" si="20"/>
        <v>-5500</v>
      </c>
      <c r="Q55" s="441">
        <f t="shared" si="20"/>
        <v>-5500</v>
      </c>
      <c r="R55" s="441">
        <f t="shared" si="20"/>
        <v>-5500</v>
      </c>
      <c r="S55" s="441">
        <f t="shared" ref="S55:U55" si="21">S51</f>
        <v>-5500</v>
      </c>
      <c r="T55" s="441">
        <f t="shared" si="21"/>
        <v>-5500</v>
      </c>
      <c r="U55" s="441">
        <f t="shared" si="21"/>
        <v>-5500</v>
      </c>
      <c r="V55" s="5"/>
    </row>
    <row r="56" spans="1:22" x14ac:dyDescent="0.3">
      <c r="B56" s="340" t="s">
        <v>37</v>
      </c>
      <c r="C56" s="340"/>
      <c r="D56" s="340"/>
      <c r="E56" s="340"/>
      <c r="F56" s="340"/>
      <c r="G56" s="442">
        <f t="shared" ref="G56:U56" si="22">G11</f>
        <v>26073</v>
      </c>
      <c r="H56" s="442">
        <f t="shared" si="22"/>
        <v>27584</v>
      </c>
      <c r="I56" s="442">
        <f t="shared" si="22"/>
        <v>28797</v>
      </c>
      <c r="J56" s="442">
        <f t="shared" si="22"/>
        <v>29336</v>
      </c>
      <c r="K56" s="442">
        <f t="shared" si="22"/>
        <v>32299</v>
      </c>
      <c r="L56" s="442">
        <f t="shared" si="22"/>
        <v>33783</v>
      </c>
      <c r="M56" s="442">
        <f t="shared" si="22"/>
        <v>35998</v>
      </c>
      <c r="N56" s="442">
        <f t="shared" si="22"/>
        <v>35921</v>
      </c>
      <c r="O56" s="442">
        <f t="shared" si="22"/>
        <v>31485</v>
      </c>
      <c r="P56" s="442">
        <f t="shared" si="22"/>
        <v>27284</v>
      </c>
      <c r="Q56" s="442">
        <f t="shared" si="22"/>
        <v>27086</v>
      </c>
      <c r="R56" s="442">
        <f t="shared" si="22"/>
        <v>25770</v>
      </c>
      <c r="S56" s="442">
        <f t="shared" si="22"/>
        <v>24687</v>
      </c>
      <c r="T56" s="442">
        <f t="shared" si="22"/>
        <v>25280</v>
      </c>
      <c r="U56" s="443">
        <f t="shared" si="22"/>
        <v>39812.911542610571</v>
      </c>
      <c r="V56" s="5"/>
    </row>
    <row r="57" spans="1:22" x14ac:dyDescent="0.3">
      <c r="B57" s="340" t="s">
        <v>38</v>
      </c>
      <c r="C57" s="340"/>
      <c r="D57" s="340"/>
      <c r="E57" s="340"/>
      <c r="F57" s="340"/>
      <c r="G57" s="441">
        <f>G26</f>
        <v>-325</v>
      </c>
      <c r="H57" s="441">
        <f t="shared" ref="H57:T57" si="23">H26</f>
        <v>-325</v>
      </c>
      <c r="I57" s="441">
        <f t="shared" si="23"/>
        <v>-325</v>
      </c>
      <c r="J57" s="441">
        <f t="shared" si="23"/>
        <v>-325</v>
      </c>
      <c r="K57" s="441">
        <f t="shared" si="23"/>
        <v>-325</v>
      </c>
      <c r="L57" s="441">
        <f t="shared" si="23"/>
        <v>-325</v>
      </c>
      <c r="M57" s="441">
        <f t="shared" si="23"/>
        <v>-325</v>
      </c>
      <c r="N57" s="441">
        <f t="shared" si="23"/>
        <v>-325</v>
      </c>
      <c r="O57" s="441">
        <f t="shared" si="23"/>
        <v>-325</v>
      </c>
      <c r="P57" s="441">
        <f t="shared" si="23"/>
        <v>-325</v>
      </c>
      <c r="Q57" s="441">
        <f t="shared" si="23"/>
        <v>-325</v>
      </c>
      <c r="R57" s="441">
        <f t="shared" si="23"/>
        <v>-325</v>
      </c>
      <c r="S57" s="441">
        <f t="shared" si="23"/>
        <v>-325</v>
      </c>
      <c r="T57" s="441">
        <f t="shared" si="23"/>
        <v>-325</v>
      </c>
      <c r="U57" s="443">
        <f t="shared" ref="G57:U57" si="24">U19</f>
        <v>0</v>
      </c>
      <c r="V57" s="5"/>
    </row>
    <row r="58" spans="1:22" x14ac:dyDescent="0.3">
      <c r="B58" s="340" t="s">
        <v>165</v>
      </c>
      <c r="C58" s="340"/>
      <c r="D58" s="340"/>
      <c r="E58" s="340"/>
      <c r="F58" s="340"/>
      <c r="G58" s="442">
        <f>SUM(G54:G57)</f>
        <v>25748</v>
      </c>
      <c r="H58" s="442">
        <f t="shared" ref="H58:R58" si="25">SUM(H54:H57)</f>
        <v>21759</v>
      </c>
      <c r="I58" s="442">
        <f t="shared" si="25"/>
        <v>22972</v>
      </c>
      <c r="J58" s="442">
        <f t="shared" si="25"/>
        <v>23511</v>
      </c>
      <c r="K58" s="442">
        <f t="shared" si="25"/>
        <v>26474</v>
      </c>
      <c r="L58" s="442">
        <f t="shared" si="25"/>
        <v>27958</v>
      </c>
      <c r="M58" s="442">
        <f t="shared" si="25"/>
        <v>30173</v>
      </c>
      <c r="N58" s="442">
        <f t="shared" si="25"/>
        <v>30096</v>
      </c>
      <c r="O58" s="442">
        <f t="shared" si="25"/>
        <v>25660</v>
      </c>
      <c r="P58" s="442">
        <f t="shared" si="25"/>
        <v>21459</v>
      </c>
      <c r="Q58" s="442">
        <f t="shared" si="25"/>
        <v>21261</v>
      </c>
      <c r="R58" s="442">
        <f t="shared" si="25"/>
        <v>19945</v>
      </c>
      <c r="S58" s="442">
        <f t="shared" ref="S58:U58" si="26">SUM(S54:S57)</f>
        <v>18862</v>
      </c>
      <c r="T58" s="442">
        <f t="shared" si="26"/>
        <v>19455</v>
      </c>
      <c r="U58" s="443">
        <f t="shared" si="26"/>
        <v>34312.911542610571</v>
      </c>
      <c r="V58" s="5"/>
    </row>
    <row r="59" spans="1:22" x14ac:dyDescent="0.3">
      <c r="B59" s="340" t="s">
        <v>148</v>
      </c>
      <c r="C59" s="340"/>
      <c r="D59" s="340"/>
      <c r="E59" s="340"/>
      <c r="F59" s="340"/>
      <c r="G59" s="441">
        <f>G27</f>
        <v>0</v>
      </c>
      <c r="H59" s="441">
        <f t="shared" ref="H59:T59" si="27">H27</f>
        <v>-12225</v>
      </c>
      <c r="I59" s="441">
        <f t="shared" si="27"/>
        <v>-11950</v>
      </c>
      <c r="J59" s="441">
        <f t="shared" si="27"/>
        <v>-11675</v>
      </c>
      <c r="K59" s="441">
        <f t="shared" si="27"/>
        <v>-11400</v>
      </c>
      <c r="L59" s="441">
        <f t="shared" si="27"/>
        <v>-11125</v>
      </c>
      <c r="M59" s="441">
        <f t="shared" si="27"/>
        <v>-10850</v>
      </c>
      <c r="N59" s="441">
        <f t="shared" si="27"/>
        <v>-10575</v>
      </c>
      <c r="O59" s="441">
        <f t="shared" si="27"/>
        <v>-10300</v>
      </c>
      <c r="P59" s="441">
        <f t="shared" si="27"/>
        <v>-10025</v>
      </c>
      <c r="Q59" s="441">
        <f t="shared" si="27"/>
        <v>-9750</v>
      </c>
      <c r="R59" s="441">
        <f t="shared" si="27"/>
        <v>-9475</v>
      </c>
      <c r="S59" s="441">
        <f t="shared" si="27"/>
        <v>-9200</v>
      </c>
      <c r="T59" s="441">
        <f t="shared" si="27"/>
        <v>-8925</v>
      </c>
      <c r="U59" s="444"/>
      <c r="V59" s="5"/>
    </row>
    <row r="60" spans="1:22" x14ac:dyDescent="0.3">
      <c r="B60" s="340" t="s">
        <v>149</v>
      </c>
      <c r="C60" s="340"/>
      <c r="D60" s="340"/>
      <c r="E60" s="340"/>
      <c r="F60" s="340"/>
      <c r="G60" s="446">
        <f>G28</f>
        <v>0</v>
      </c>
      <c r="H60" s="446">
        <f t="shared" ref="H60:T60" si="28">H28</f>
        <v>-3409.4</v>
      </c>
      <c r="I60" s="446">
        <f t="shared" si="28"/>
        <v>-3712</v>
      </c>
      <c r="J60" s="446">
        <f t="shared" si="28"/>
        <v>-3799.8</v>
      </c>
      <c r="K60" s="446">
        <f t="shared" si="28"/>
        <v>-4492.4000000000005</v>
      </c>
      <c r="L60" s="446">
        <f t="shared" si="28"/>
        <v>-4789.2</v>
      </c>
      <c r="M60" s="446">
        <f t="shared" si="28"/>
        <v>-5232.2000000000007</v>
      </c>
      <c r="N60" s="446">
        <f t="shared" si="28"/>
        <v>-5216.8</v>
      </c>
      <c r="O60" s="446">
        <f t="shared" si="28"/>
        <v>-4329.6000000000004</v>
      </c>
      <c r="P60" s="446">
        <f t="shared" si="28"/>
        <v>-3489.4</v>
      </c>
      <c r="Q60" s="446">
        <f t="shared" si="28"/>
        <v>-3449.8</v>
      </c>
      <c r="R60" s="446">
        <f t="shared" si="28"/>
        <v>-3186.6000000000004</v>
      </c>
      <c r="S60" s="446">
        <f t="shared" si="28"/>
        <v>-3506.6000000000004</v>
      </c>
      <c r="T60" s="446">
        <f t="shared" si="28"/>
        <v>-3746.4</v>
      </c>
      <c r="U60" s="446">
        <f>('IS 2023'!T24*0.2)*-1</f>
        <v>-5878</v>
      </c>
      <c r="V60" s="5"/>
    </row>
    <row r="61" spans="1:22" x14ac:dyDescent="0.3">
      <c r="B61" s="340" t="s">
        <v>163</v>
      </c>
      <c r="C61" s="340"/>
      <c r="D61" s="340"/>
      <c r="E61" s="340"/>
      <c r="F61" s="340"/>
      <c r="G61" s="442">
        <f>SUM(G58:G60)</f>
        <v>25748</v>
      </c>
      <c r="H61" s="442">
        <f>SUM(H58:H60)</f>
        <v>6124.6</v>
      </c>
      <c r="I61" s="442">
        <f t="shared" ref="I61:R61" si="29">SUM(I58:I60)</f>
        <v>7310</v>
      </c>
      <c r="J61" s="442">
        <f t="shared" si="29"/>
        <v>8036.2</v>
      </c>
      <c r="K61" s="442">
        <f t="shared" si="29"/>
        <v>10581.599999999999</v>
      </c>
      <c r="L61" s="442">
        <f t="shared" si="29"/>
        <v>12043.8</v>
      </c>
      <c r="M61" s="442">
        <f t="shared" si="29"/>
        <v>14090.8</v>
      </c>
      <c r="N61" s="442">
        <f t="shared" si="29"/>
        <v>14304.2</v>
      </c>
      <c r="O61" s="442">
        <f t="shared" si="29"/>
        <v>11030.4</v>
      </c>
      <c r="P61" s="442">
        <f t="shared" si="29"/>
        <v>7944.6</v>
      </c>
      <c r="Q61" s="442">
        <f t="shared" si="29"/>
        <v>8061.2</v>
      </c>
      <c r="R61" s="442">
        <f t="shared" si="29"/>
        <v>7283.4</v>
      </c>
      <c r="S61" s="442">
        <f t="shared" ref="S61:U61" si="30">SUM(S58:S60)</f>
        <v>6155.4</v>
      </c>
      <c r="T61" s="442">
        <f t="shared" si="30"/>
        <v>6783.6</v>
      </c>
      <c r="U61" s="443">
        <f t="shared" si="30"/>
        <v>28434.911542610571</v>
      </c>
      <c r="V61" s="5"/>
    </row>
    <row r="62" spans="1:22" x14ac:dyDescent="0.3">
      <c r="B62" s="9"/>
      <c r="C62" s="9"/>
      <c r="D62" s="9"/>
      <c r="E62" s="9"/>
      <c r="F62" s="9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5"/>
    </row>
    <row r="63" spans="1:22" x14ac:dyDescent="0.3">
      <c r="A63" s="151"/>
      <c r="B63" s="177" t="s">
        <v>166</v>
      </c>
      <c r="C63" s="151"/>
      <c r="D63" s="151"/>
      <c r="E63" s="151"/>
      <c r="F63" s="15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</row>
    <row r="64" spans="1:22" x14ac:dyDescent="0.3">
      <c r="B64" s="315" t="s">
        <v>167</v>
      </c>
      <c r="C64" s="315"/>
      <c r="D64" s="315"/>
      <c r="E64" s="315"/>
      <c r="F64" s="315"/>
      <c r="G64" s="316">
        <f>SUM(G31+G36)</f>
        <v>261443</v>
      </c>
      <c r="H64" s="316">
        <f t="shared" ref="H64:R64" si="31">SUM(H31+H36)</f>
        <v>11548</v>
      </c>
      <c r="I64" s="316">
        <f t="shared" si="31"/>
        <v>11811</v>
      </c>
      <c r="J64" s="316">
        <f t="shared" si="31"/>
        <v>12095</v>
      </c>
      <c r="K64" s="316">
        <f t="shared" si="31"/>
        <v>12506</v>
      </c>
      <c r="L64" s="316">
        <f t="shared" si="31"/>
        <v>13045</v>
      </c>
      <c r="M64" s="316">
        <f t="shared" si="31"/>
        <v>14999</v>
      </c>
      <c r="N64" s="316">
        <f t="shared" si="31"/>
        <v>14999</v>
      </c>
      <c r="O64" s="316">
        <f t="shared" si="31"/>
        <v>14999</v>
      </c>
      <c r="P64" s="316">
        <f t="shared" si="31"/>
        <v>14210</v>
      </c>
      <c r="Q64" s="316">
        <f t="shared" si="31"/>
        <v>14088</v>
      </c>
      <c r="R64" s="316">
        <f t="shared" si="31"/>
        <v>12762</v>
      </c>
      <c r="S64" s="316">
        <f t="shared" ref="S64:U64" si="32">SUM(S31+S36)</f>
        <v>11679</v>
      </c>
      <c r="T64" s="316">
        <f t="shared" si="32"/>
        <v>12272</v>
      </c>
      <c r="U64" s="316">
        <f t="shared" si="32"/>
        <v>52820.911542610571</v>
      </c>
      <c r="V64" s="5"/>
    </row>
    <row r="65" spans="2:22" x14ac:dyDescent="0.3">
      <c r="B65" s="315" t="s">
        <v>168</v>
      </c>
      <c r="C65" s="315"/>
      <c r="D65" s="315"/>
      <c r="E65" s="315"/>
      <c r="F65" s="315"/>
      <c r="G65" s="316">
        <f>G61</f>
        <v>25748</v>
      </c>
      <c r="H65" s="316">
        <f t="shared" ref="H65:R65" si="33">H61</f>
        <v>6124.6</v>
      </c>
      <c r="I65" s="316">
        <f t="shared" si="33"/>
        <v>7310</v>
      </c>
      <c r="J65" s="316">
        <f t="shared" si="33"/>
        <v>8036.2</v>
      </c>
      <c r="K65" s="316">
        <f t="shared" si="33"/>
        <v>10581.599999999999</v>
      </c>
      <c r="L65" s="316">
        <f t="shared" si="33"/>
        <v>12043.8</v>
      </c>
      <c r="M65" s="316">
        <f t="shared" si="33"/>
        <v>14090.8</v>
      </c>
      <c r="N65" s="316">
        <f t="shared" si="33"/>
        <v>14304.2</v>
      </c>
      <c r="O65" s="316">
        <f t="shared" si="33"/>
        <v>11030.4</v>
      </c>
      <c r="P65" s="316">
        <f t="shared" si="33"/>
        <v>7944.6</v>
      </c>
      <c r="Q65" s="316">
        <f t="shared" si="33"/>
        <v>8061.2</v>
      </c>
      <c r="R65" s="316">
        <f t="shared" si="33"/>
        <v>7283.4</v>
      </c>
      <c r="S65" s="316">
        <f t="shared" ref="S65:U65" si="34">S61</f>
        <v>6155.4</v>
      </c>
      <c r="T65" s="316">
        <f t="shared" si="34"/>
        <v>6783.6</v>
      </c>
      <c r="U65" s="316">
        <f t="shared" si="34"/>
        <v>28434.911542610571</v>
      </c>
      <c r="V65" s="5"/>
    </row>
    <row r="66" spans="2:22" x14ac:dyDescent="0.3">
      <c r="B66" s="315" t="s">
        <v>169</v>
      </c>
      <c r="C66" s="315"/>
      <c r="D66" s="315"/>
      <c r="E66" s="315"/>
      <c r="F66" s="315"/>
      <c r="G66" s="316">
        <f>G61</f>
        <v>25748</v>
      </c>
      <c r="H66" s="316">
        <f t="shared" ref="H66:R66" si="35">H61</f>
        <v>6124.6</v>
      </c>
      <c r="I66" s="316">
        <f t="shared" si="35"/>
        <v>7310</v>
      </c>
      <c r="J66" s="316">
        <f t="shared" si="35"/>
        <v>8036.2</v>
      </c>
      <c r="K66" s="316">
        <f t="shared" si="35"/>
        <v>10581.599999999999</v>
      </c>
      <c r="L66" s="316">
        <f t="shared" si="35"/>
        <v>12043.8</v>
      </c>
      <c r="M66" s="316">
        <f t="shared" si="35"/>
        <v>14090.8</v>
      </c>
      <c r="N66" s="316">
        <f t="shared" si="35"/>
        <v>14304.2</v>
      </c>
      <c r="O66" s="316">
        <f t="shared" si="35"/>
        <v>11030.4</v>
      </c>
      <c r="P66" s="316">
        <f t="shared" si="35"/>
        <v>7944.6</v>
      </c>
      <c r="Q66" s="316">
        <f t="shared" si="35"/>
        <v>8061.2</v>
      </c>
      <c r="R66" s="316">
        <f t="shared" si="35"/>
        <v>7283.4</v>
      </c>
      <c r="S66" s="316">
        <f t="shared" ref="S66:U66" si="36">S61</f>
        <v>6155.4</v>
      </c>
      <c r="T66" s="316">
        <f t="shared" si="36"/>
        <v>6783.6</v>
      </c>
      <c r="U66" s="316">
        <f t="shared" si="36"/>
        <v>28434.911542610571</v>
      </c>
      <c r="V66" s="5"/>
    </row>
    <row r="67" spans="2:22" x14ac:dyDescent="0.3">
      <c r="B67" s="315" t="s">
        <v>161</v>
      </c>
      <c r="C67" s="315"/>
      <c r="D67" s="315"/>
      <c r="E67" s="315"/>
      <c r="F67" s="315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5"/>
    </row>
    <row r="68" spans="2:22" x14ac:dyDescent="0.3">
      <c r="B68" s="315" t="s">
        <v>163</v>
      </c>
      <c r="C68" s="315"/>
      <c r="D68" s="315"/>
      <c r="E68" s="315"/>
      <c r="F68" s="315"/>
      <c r="G68" s="316">
        <f>G61</f>
        <v>25748</v>
      </c>
      <c r="H68" s="316">
        <f t="shared" ref="H68:R68" si="37">H61</f>
        <v>6124.6</v>
      </c>
      <c r="I68" s="316">
        <f t="shared" si="37"/>
        <v>7310</v>
      </c>
      <c r="J68" s="316">
        <f t="shared" si="37"/>
        <v>8036.2</v>
      </c>
      <c r="K68" s="316">
        <f t="shared" si="37"/>
        <v>10581.599999999999</v>
      </c>
      <c r="L68" s="316">
        <f t="shared" si="37"/>
        <v>12043.8</v>
      </c>
      <c r="M68" s="316">
        <f t="shared" si="37"/>
        <v>14090.8</v>
      </c>
      <c r="N68" s="316">
        <f t="shared" si="37"/>
        <v>14304.2</v>
      </c>
      <c r="O68" s="316">
        <f t="shared" si="37"/>
        <v>11030.4</v>
      </c>
      <c r="P68" s="316">
        <f t="shared" si="37"/>
        <v>7944.6</v>
      </c>
      <c r="Q68" s="316">
        <f t="shared" si="37"/>
        <v>8061.2</v>
      </c>
      <c r="R68" s="316">
        <f t="shared" si="37"/>
        <v>7283.4</v>
      </c>
      <c r="S68" s="316">
        <f t="shared" ref="S68:U68" si="38">S61</f>
        <v>6155.4</v>
      </c>
      <c r="T68" s="316">
        <f t="shared" si="38"/>
        <v>6783.6</v>
      </c>
      <c r="U68" s="316">
        <f t="shared" si="38"/>
        <v>28434.911542610571</v>
      </c>
      <c r="V68" s="5"/>
    </row>
  </sheetData>
  <phoneticPr fontId="7" type="noConversion"/>
  <pageMargins left="0.7" right="0.7" top="0.75" bottom="0.75" header="0.3" footer="0.3"/>
  <ignoredErrors>
    <ignoredError sqref="R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workbookViewId="0">
      <selection activeCell="L48" sqref="L48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27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171</v>
      </c>
      <c r="F2"/>
    </row>
    <row r="3" spans="1:25" x14ac:dyDescent="0.3">
      <c r="B3" t="s">
        <v>142</v>
      </c>
      <c r="F3"/>
    </row>
    <row r="4" spans="1:25" x14ac:dyDescent="0.3">
      <c r="F4"/>
    </row>
    <row r="5" spans="1:25" x14ac:dyDescent="0.3">
      <c r="A5" s="151"/>
      <c r="B5" s="177" t="s">
        <v>172</v>
      </c>
      <c r="C5" s="151"/>
      <c r="D5" s="151"/>
      <c r="E5" s="151"/>
      <c r="F5" s="205">
        <v>2023</v>
      </c>
      <c r="G5" s="205">
        <v>2023</v>
      </c>
      <c r="H5" s="205">
        <v>2023</v>
      </c>
      <c r="I5" s="205">
        <v>2023</v>
      </c>
      <c r="J5" s="205">
        <v>2023</v>
      </c>
      <c r="K5" s="205">
        <v>2023</v>
      </c>
      <c r="L5" s="205">
        <v>2023</v>
      </c>
      <c r="M5" s="205">
        <v>2023</v>
      </c>
      <c r="N5" s="205">
        <v>2023</v>
      </c>
      <c r="O5" s="205">
        <v>2023</v>
      </c>
      <c r="P5" s="205">
        <v>2023</v>
      </c>
      <c r="Q5" s="205">
        <v>2023</v>
      </c>
      <c r="R5" s="205">
        <v>2024</v>
      </c>
      <c r="S5" s="205">
        <v>2024</v>
      </c>
      <c r="T5" s="205">
        <v>2024</v>
      </c>
      <c r="U5" s="151"/>
    </row>
    <row r="6" spans="1:25" ht="15" thickBot="1" x14ac:dyDescent="0.35">
      <c r="A6" s="162"/>
      <c r="B6" s="163" t="s">
        <v>64</v>
      </c>
      <c r="C6" s="152"/>
      <c r="D6" s="152"/>
      <c r="E6" s="152"/>
      <c r="F6" s="204" t="s">
        <v>25</v>
      </c>
      <c r="G6" s="204" t="s">
        <v>26</v>
      </c>
      <c r="H6" s="204" t="s">
        <v>27</v>
      </c>
      <c r="I6" s="204" t="s">
        <v>28</v>
      </c>
      <c r="J6" s="204" t="s">
        <v>29</v>
      </c>
      <c r="K6" s="204" t="s">
        <v>30</v>
      </c>
      <c r="L6" s="204" t="s">
        <v>31</v>
      </c>
      <c r="M6" s="204" t="s">
        <v>32</v>
      </c>
      <c r="N6" s="204" t="s">
        <v>33</v>
      </c>
      <c r="O6" s="204" t="s">
        <v>34</v>
      </c>
      <c r="P6" s="204" t="s">
        <v>35</v>
      </c>
      <c r="Q6" s="204" t="s">
        <v>36</v>
      </c>
      <c r="R6" s="204" t="s">
        <v>25</v>
      </c>
      <c r="S6" s="204" t="s">
        <v>26</v>
      </c>
      <c r="T6" s="204" t="s">
        <v>27</v>
      </c>
      <c r="U6" s="201" t="s">
        <v>72</v>
      </c>
    </row>
    <row r="7" spans="1:25" s="12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2" t="s">
        <v>171</v>
      </c>
      <c r="F8"/>
    </row>
    <row r="9" spans="1:25" x14ac:dyDescent="0.3">
      <c r="C9" s="173"/>
      <c r="F9"/>
    </row>
    <row r="10" spans="1:25" x14ac:dyDescent="0.3">
      <c r="C10" s="172" t="s">
        <v>48</v>
      </c>
      <c r="F10"/>
      <c r="G10" s="174"/>
      <c r="H10" s="174"/>
      <c r="I10" s="174"/>
      <c r="J10" s="174"/>
      <c r="K10" s="174"/>
      <c r="L10" s="173"/>
      <c r="M10" s="174"/>
      <c r="N10" s="174"/>
      <c r="O10" s="174"/>
      <c r="P10" s="174"/>
      <c r="Q10" s="174"/>
      <c r="R10" s="174"/>
      <c r="S10" s="174"/>
      <c r="T10" s="174"/>
      <c r="V10" s="1"/>
    </row>
    <row r="11" spans="1:25" x14ac:dyDescent="0.3">
      <c r="C11" s="173" t="s">
        <v>174</v>
      </c>
      <c r="F11" s="174">
        <f>'CF 2023'!G52</f>
        <v>25748</v>
      </c>
      <c r="G11" s="174">
        <f>F14+'CF 2023'!H61</f>
        <v>31872.6</v>
      </c>
      <c r="H11" s="174">
        <f>G14+'CF 2023'!I61</f>
        <v>39182.6</v>
      </c>
      <c r="I11" s="174">
        <f>H14+'CF 2023'!J61</f>
        <v>47218.799999999996</v>
      </c>
      <c r="J11" s="174">
        <f>I14+'CF 2023'!K61</f>
        <v>57800.399999999994</v>
      </c>
      <c r="K11" s="174">
        <f>J14+'CF 2023'!L61</f>
        <v>69844.2</v>
      </c>
      <c r="L11" s="174">
        <f>K14+'CF 2023'!M61</f>
        <v>83935</v>
      </c>
      <c r="M11" s="174">
        <f>L14+'CF 2023'!N61</f>
        <v>98239.2</v>
      </c>
      <c r="N11" s="174">
        <f>M14+'CF 2023'!O61</f>
        <v>109269.59999999999</v>
      </c>
      <c r="O11" s="174">
        <f>N14+'CF 2023'!P61</f>
        <v>117214.2</v>
      </c>
      <c r="P11" s="174">
        <f>O14+'CF 2023'!Q61</f>
        <v>125275.4</v>
      </c>
      <c r="Q11" s="174">
        <f>P14+'CF 2023'!R61</f>
        <v>132558.79999999999</v>
      </c>
      <c r="R11" s="174">
        <f>'BS 2024'!F11</f>
        <v>141136.19999999998</v>
      </c>
      <c r="S11" s="174">
        <f>'BS 2024'!G11</f>
        <v>162185.73047034763</v>
      </c>
      <c r="T11" s="174">
        <f>'BS 2024'!H11</f>
        <v>183557.84201295819</v>
      </c>
      <c r="U11" s="1"/>
      <c r="V11" s="1"/>
    </row>
    <row r="12" spans="1:25" x14ac:dyDescent="0.3">
      <c r="C12" s="173" t="s">
        <v>175</v>
      </c>
      <c r="F12" s="174"/>
      <c r="G12" s="173"/>
      <c r="H12" s="173"/>
      <c r="I12" s="173" t="s">
        <v>192</v>
      </c>
      <c r="J12" s="173"/>
      <c r="K12" s="173" t="s">
        <v>192</v>
      </c>
      <c r="L12" s="173"/>
      <c r="M12" s="173"/>
      <c r="N12" s="173"/>
      <c r="O12" s="173"/>
      <c r="P12" s="173"/>
      <c r="Q12" s="173"/>
      <c r="R12" s="173"/>
      <c r="S12" s="173" t="s">
        <v>192</v>
      </c>
      <c r="T12" s="173" t="s">
        <v>192</v>
      </c>
      <c r="V12" s="1"/>
    </row>
    <row r="13" spans="1:25" x14ac:dyDescent="0.3">
      <c r="C13" s="173" t="s">
        <v>176</v>
      </c>
      <c r="F13"/>
      <c r="I13" s="174"/>
      <c r="K13" s="174"/>
      <c r="S13" s="174"/>
      <c r="T13" s="174"/>
      <c r="V13" s="1"/>
    </row>
    <row r="14" spans="1:25" x14ac:dyDescent="0.3">
      <c r="C14" s="173" t="s">
        <v>177</v>
      </c>
      <c r="F14" s="174">
        <f>SUM(F11:F13)</f>
        <v>25748</v>
      </c>
      <c r="G14" s="174">
        <f t="shared" ref="G14:Q14" si="0">SUM(G11:G13)</f>
        <v>31872.6</v>
      </c>
      <c r="H14" s="174">
        <f t="shared" si="0"/>
        <v>39182.6</v>
      </c>
      <c r="I14" s="174">
        <f t="shared" si="0"/>
        <v>47218.799999999996</v>
      </c>
      <c r="J14" s="174">
        <f t="shared" si="0"/>
        <v>57800.399999999994</v>
      </c>
      <c r="K14" s="174">
        <f t="shared" si="0"/>
        <v>69844.2</v>
      </c>
      <c r="L14" s="174">
        <f t="shared" si="0"/>
        <v>83935</v>
      </c>
      <c r="M14" s="174">
        <f t="shared" si="0"/>
        <v>98239.2</v>
      </c>
      <c r="N14" s="174">
        <f t="shared" si="0"/>
        <v>109269.59999999999</v>
      </c>
      <c r="O14" s="174">
        <f t="shared" si="0"/>
        <v>117214.2</v>
      </c>
      <c r="P14" s="174">
        <f t="shared" si="0"/>
        <v>125275.4</v>
      </c>
      <c r="Q14" s="174">
        <f t="shared" si="0"/>
        <v>132558.79999999999</v>
      </c>
      <c r="R14" s="174">
        <f t="shared" ref="R14" si="1">SUM(R11:R13)</f>
        <v>141136.19999999998</v>
      </c>
      <c r="S14" s="174">
        <f t="shared" ref="S14" si="2">SUM(S11:S13)</f>
        <v>162185.73047034763</v>
      </c>
      <c r="T14" s="174">
        <f t="shared" ref="T14" si="3">SUM(T11:T13)</f>
        <v>183557.84201295819</v>
      </c>
      <c r="U14" s="219">
        <f>SUM(F14:Q14)</f>
        <v>938158.8</v>
      </c>
      <c r="V14" s="1"/>
    </row>
    <row r="15" spans="1:25" x14ac:dyDescent="0.3">
      <c r="C15" s="172" t="s">
        <v>49</v>
      </c>
      <c r="F15"/>
      <c r="G15" s="173"/>
      <c r="H15" s="173"/>
      <c r="I15" s="173"/>
      <c r="J15" s="176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V15" s="1"/>
    </row>
    <row r="16" spans="1:25" x14ac:dyDescent="0.3">
      <c r="C16" s="175" t="s">
        <v>178</v>
      </c>
      <c r="F16" s="174">
        <f>ABS('CF 2023'!G54)-'IS 2023'!F67</f>
        <v>251711</v>
      </c>
      <c r="G16" s="174">
        <f>F16-'IS 2023'!G67</f>
        <v>253422</v>
      </c>
      <c r="H16" s="174">
        <f>G16-'IS 2023'!H67</f>
        <v>255133</v>
      </c>
      <c r="I16" s="174">
        <f>H16-'IS 2023'!I67</f>
        <v>256844</v>
      </c>
      <c r="J16" s="174">
        <f>I16-'IS 2023'!J67</f>
        <v>258555</v>
      </c>
      <c r="K16" s="174">
        <f>J16-'IS 2023'!K67</f>
        <v>260266</v>
      </c>
      <c r="L16" s="174">
        <f>K16-'IS 2023'!L67</f>
        <v>261977</v>
      </c>
      <c r="M16" s="174">
        <f>L16-'IS 2023'!M67</f>
        <v>263688</v>
      </c>
      <c r="N16" s="174">
        <f>M16-'IS 2023'!N67</f>
        <v>265399</v>
      </c>
      <c r="O16" s="174">
        <f>N16-'IS 2023'!O67</f>
        <v>267110</v>
      </c>
      <c r="P16" s="174">
        <f>O16-'IS 2023'!P67</f>
        <v>268821</v>
      </c>
      <c r="Q16" s="174">
        <f>P16-'IS 2023'!Q67</f>
        <v>270532</v>
      </c>
      <c r="R16" s="174">
        <f>'BS 2024'!F16</f>
        <v>271982</v>
      </c>
      <c r="S16" s="181">
        <f>R16-'IS 2024'!G68</f>
        <v>273432</v>
      </c>
      <c r="T16" s="181">
        <f>S16-'IS 2024'!H68</f>
        <v>274882</v>
      </c>
      <c r="V16" s="1"/>
    </row>
    <row r="17" spans="1:22" x14ac:dyDescent="0.3">
      <c r="C17" s="175" t="s">
        <v>179</v>
      </c>
      <c r="F17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V17" s="1"/>
    </row>
    <row r="18" spans="1:22" x14ac:dyDescent="0.3">
      <c r="C18" s="175" t="s">
        <v>180</v>
      </c>
      <c r="F18" s="181">
        <f>SUM(F16:F17)</f>
        <v>251711</v>
      </c>
      <c r="G18" s="181">
        <f t="shared" ref="G18:T18" si="4">SUM(G16:G17)</f>
        <v>253422</v>
      </c>
      <c r="H18" s="181">
        <f t="shared" si="4"/>
        <v>255133</v>
      </c>
      <c r="I18" s="181">
        <f t="shared" si="4"/>
        <v>256844</v>
      </c>
      <c r="J18" s="181">
        <f t="shared" si="4"/>
        <v>258555</v>
      </c>
      <c r="K18" s="181">
        <f t="shared" si="4"/>
        <v>260266</v>
      </c>
      <c r="L18" s="181">
        <f t="shared" si="4"/>
        <v>261977</v>
      </c>
      <c r="M18" s="181">
        <f t="shared" si="4"/>
        <v>263688</v>
      </c>
      <c r="N18" s="181">
        <f t="shared" si="4"/>
        <v>265399</v>
      </c>
      <c r="O18" s="181">
        <f t="shared" si="4"/>
        <v>267110</v>
      </c>
      <c r="P18" s="181">
        <f t="shared" si="4"/>
        <v>268821</v>
      </c>
      <c r="Q18" s="181">
        <f t="shared" si="4"/>
        <v>270532</v>
      </c>
      <c r="R18" s="181">
        <f t="shared" si="4"/>
        <v>271982</v>
      </c>
      <c r="S18" s="181">
        <f t="shared" si="4"/>
        <v>273432</v>
      </c>
      <c r="T18" s="181">
        <f t="shared" si="4"/>
        <v>274882</v>
      </c>
      <c r="V18" s="1"/>
    </row>
    <row r="19" spans="1:22" x14ac:dyDescent="0.3">
      <c r="A19" s="146"/>
      <c r="B19" s="151"/>
      <c r="C19" s="184" t="s">
        <v>181</v>
      </c>
      <c r="D19" s="151"/>
      <c r="E19" s="151"/>
      <c r="F19" s="185">
        <f>SUM(F17:F18)</f>
        <v>251711</v>
      </c>
      <c r="G19" s="185">
        <f t="shared" ref="G19:T19" si="5">SUM(G17:G18)</f>
        <v>253422</v>
      </c>
      <c r="H19" s="185">
        <f t="shared" si="5"/>
        <v>255133</v>
      </c>
      <c r="I19" s="185">
        <f t="shared" si="5"/>
        <v>256844</v>
      </c>
      <c r="J19" s="185">
        <f t="shared" si="5"/>
        <v>258555</v>
      </c>
      <c r="K19" s="185">
        <f t="shared" si="5"/>
        <v>260266</v>
      </c>
      <c r="L19" s="185">
        <f t="shared" si="5"/>
        <v>261977</v>
      </c>
      <c r="M19" s="185">
        <f t="shared" si="5"/>
        <v>263688</v>
      </c>
      <c r="N19" s="185">
        <f t="shared" si="5"/>
        <v>265399</v>
      </c>
      <c r="O19" s="185">
        <f t="shared" si="5"/>
        <v>267110</v>
      </c>
      <c r="P19" s="185">
        <f t="shared" si="5"/>
        <v>268821</v>
      </c>
      <c r="Q19" s="185">
        <f t="shared" si="5"/>
        <v>270532</v>
      </c>
      <c r="R19" s="185">
        <f t="shared" si="5"/>
        <v>271982</v>
      </c>
      <c r="S19" s="185">
        <f t="shared" si="5"/>
        <v>273432</v>
      </c>
      <c r="T19" s="185">
        <f t="shared" si="5"/>
        <v>274882</v>
      </c>
      <c r="U19" s="158">
        <f>SUM(F19:Q19)</f>
        <v>3133458</v>
      </c>
      <c r="V19" s="1"/>
    </row>
    <row r="20" spans="1:22" x14ac:dyDescent="0.3">
      <c r="A20" s="162"/>
      <c r="B20" s="152"/>
      <c r="C20" s="186" t="s">
        <v>50</v>
      </c>
      <c r="D20" s="152"/>
      <c r="E20" s="152"/>
      <c r="F20" s="187">
        <f>F14+F19</f>
        <v>277459</v>
      </c>
      <c r="G20" s="187">
        <f>G14+G19</f>
        <v>285294.59999999998</v>
      </c>
      <c r="H20" s="187">
        <f t="shared" ref="H20:T20" si="6">H14+H19</f>
        <v>294315.59999999998</v>
      </c>
      <c r="I20" s="187">
        <f t="shared" si="6"/>
        <v>304062.8</v>
      </c>
      <c r="J20" s="187">
        <f t="shared" si="6"/>
        <v>316355.40000000002</v>
      </c>
      <c r="K20" s="187">
        <f t="shared" si="6"/>
        <v>330110.2</v>
      </c>
      <c r="L20" s="187">
        <f t="shared" si="6"/>
        <v>345912</v>
      </c>
      <c r="M20" s="187">
        <f t="shared" si="6"/>
        <v>361927.2</v>
      </c>
      <c r="N20" s="187">
        <f t="shared" si="6"/>
        <v>374668.6</v>
      </c>
      <c r="O20" s="187">
        <f t="shared" si="6"/>
        <v>384324.2</v>
      </c>
      <c r="P20" s="187">
        <f t="shared" si="6"/>
        <v>394096.4</v>
      </c>
      <c r="Q20" s="187">
        <f t="shared" si="6"/>
        <v>403090.8</v>
      </c>
      <c r="R20" s="187">
        <f t="shared" si="6"/>
        <v>413118.19999999995</v>
      </c>
      <c r="S20" s="187">
        <f t="shared" si="6"/>
        <v>435617.73047034763</v>
      </c>
      <c r="T20" s="187">
        <f t="shared" si="6"/>
        <v>458439.84201295819</v>
      </c>
      <c r="U20" s="153">
        <f>SUM(F20:Q20)</f>
        <v>4071616.8</v>
      </c>
      <c r="V20" s="1"/>
    </row>
    <row r="21" spans="1:22" x14ac:dyDescent="0.3">
      <c r="C21" s="183" t="s">
        <v>51</v>
      </c>
      <c r="F21"/>
      <c r="I21" s="176"/>
      <c r="K21" s="176"/>
      <c r="S21" s="176"/>
      <c r="T21" s="176"/>
      <c r="V21" s="1"/>
    </row>
    <row r="22" spans="1:22" x14ac:dyDescent="0.3">
      <c r="C22" s="175" t="s">
        <v>182</v>
      </c>
      <c r="F22" s="176"/>
      <c r="G22" s="176"/>
      <c r="Q22" s="176"/>
      <c r="V22" s="1"/>
    </row>
    <row r="23" spans="1:22" x14ac:dyDescent="0.3">
      <c r="C23" s="175" t="s">
        <v>183</v>
      </c>
      <c r="F23"/>
      <c r="H23" s="176"/>
      <c r="J23" s="176"/>
      <c r="V23" s="1"/>
    </row>
    <row r="24" spans="1:22" x14ac:dyDescent="0.3">
      <c r="C24" s="173" t="s">
        <v>184</v>
      </c>
      <c r="F24" s="451">
        <f>'CF 2023'!G60</f>
        <v>0</v>
      </c>
      <c r="G24" s="451">
        <f>'CF 2023'!H60</f>
        <v>-3409.4</v>
      </c>
      <c r="H24" s="451">
        <f>'CF 2023'!I60</f>
        <v>-3712</v>
      </c>
      <c r="I24" s="451">
        <f>'CF 2023'!J60</f>
        <v>-3799.8</v>
      </c>
      <c r="J24" s="451">
        <f>'CF 2023'!K60</f>
        <v>-4492.4000000000005</v>
      </c>
      <c r="K24" s="451">
        <f>'CF 2023'!L60</f>
        <v>-4789.2</v>
      </c>
      <c r="L24" s="451">
        <f>'CF 2023'!M60</f>
        <v>-5232.2000000000007</v>
      </c>
      <c r="M24" s="451">
        <f>'CF 2023'!N60</f>
        <v>-5216.8</v>
      </c>
      <c r="N24" s="451">
        <f>'CF 2023'!O60</f>
        <v>-4329.6000000000004</v>
      </c>
      <c r="O24" s="451">
        <f>'CF 2023'!P60</f>
        <v>-3489.4</v>
      </c>
      <c r="P24" s="451">
        <f>'CF 2023'!Q60</f>
        <v>-3449.8</v>
      </c>
      <c r="Q24" s="451">
        <f>'CF 2023'!R60</f>
        <v>-3186.6000000000004</v>
      </c>
      <c r="R24" s="451">
        <f>'CF 2023'!S60</f>
        <v>-3506.6000000000004</v>
      </c>
      <c r="S24" s="451">
        <f>'CF 2023'!T60</f>
        <v>-3746.4</v>
      </c>
      <c r="T24" s="451">
        <f>'CF 2023'!U60</f>
        <v>-5878</v>
      </c>
      <c r="V24" s="1"/>
    </row>
    <row r="25" spans="1:22" x14ac:dyDescent="0.3">
      <c r="A25" s="151"/>
      <c r="B25" s="151"/>
      <c r="C25" s="177" t="s">
        <v>185</v>
      </c>
      <c r="D25" s="151"/>
      <c r="E25" s="151"/>
      <c r="F25" s="158">
        <f>SUM(F22:F24)</f>
        <v>0</v>
      </c>
      <c r="G25" s="158">
        <f t="shared" ref="G25:I25" si="7">SUM(G22:G24)</f>
        <v>-3409.4</v>
      </c>
      <c r="H25" s="158">
        <f t="shared" si="7"/>
        <v>-3712</v>
      </c>
      <c r="I25" s="158">
        <f t="shared" si="7"/>
        <v>-3799.8</v>
      </c>
      <c r="J25" s="158">
        <f t="shared" ref="J25" si="8">SUM(J22:J24)</f>
        <v>-4492.4000000000005</v>
      </c>
      <c r="K25" s="158">
        <f t="shared" ref="K25:L25" si="9">SUM(K22:K24)</f>
        <v>-4789.2</v>
      </c>
      <c r="L25" s="158">
        <f t="shared" si="9"/>
        <v>-5232.2000000000007</v>
      </c>
      <c r="M25" s="158">
        <f t="shared" ref="M25" si="10">SUM(M22:M24)</f>
        <v>-5216.8</v>
      </c>
      <c r="N25" s="158">
        <f t="shared" ref="N25:O25" si="11">SUM(N22:N24)</f>
        <v>-4329.6000000000004</v>
      </c>
      <c r="O25" s="158">
        <f t="shared" si="11"/>
        <v>-3489.4</v>
      </c>
      <c r="P25" s="158">
        <f t="shared" ref="P25" si="12">SUM(P22:P24)</f>
        <v>-3449.8</v>
      </c>
      <c r="Q25" s="158">
        <f t="shared" ref="Q25:R25" si="13">SUM(Q22:Q24)</f>
        <v>-3186.6000000000004</v>
      </c>
      <c r="R25" s="158">
        <f t="shared" si="13"/>
        <v>-3506.6000000000004</v>
      </c>
      <c r="S25" s="158">
        <f t="shared" ref="S25" si="14">SUM(S22:S24)</f>
        <v>-3746.4</v>
      </c>
      <c r="T25" s="158">
        <f t="shared" ref="T25" si="15">SUM(T22:T24)</f>
        <v>-5878</v>
      </c>
      <c r="U25" s="158">
        <f>SUM(F25:Q25)</f>
        <v>-45107.200000000004</v>
      </c>
      <c r="V25" s="1"/>
    </row>
    <row r="26" spans="1:22" x14ac:dyDescent="0.3">
      <c r="A26" s="152"/>
      <c r="B26" s="152"/>
      <c r="C26" s="188" t="s">
        <v>52</v>
      </c>
      <c r="D26" s="152"/>
      <c r="E26" s="152"/>
      <c r="F26" s="153"/>
      <c r="G26" s="152"/>
      <c r="H26" s="152"/>
      <c r="I26" s="153"/>
      <c r="J26" s="152"/>
      <c r="K26" s="153"/>
      <c r="L26" s="189"/>
      <c r="M26" s="189"/>
      <c r="N26" s="189"/>
      <c r="O26" s="189"/>
      <c r="P26" s="189"/>
      <c r="Q26" s="152"/>
      <c r="R26" s="189"/>
      <c r="S26" s="153"/>
      <c r="T26" s="153"/>
      <c r="U26" s="152"/>
      <c r="V26" s="1"/>
    </row>
    <row r="27" spans="1:22" x14ac:dyDescent="0.3">
      <c r="C27" s="172" t="s">
        <v>186</v>
      </c>
      <c r="F27" s="452">
        <f>'CF 2023'!G38</f>
        <v>-250000</v>
      </c>
      <c r="G27" s="452">
        <f>F27-'CF 2023'!H42</f>
        <v>-244500</v>
      </c>
      <c r="H27" s="452">
        <f>G27-'CF 2023'!I42</f>
        <v>-239000</v>
      </c>
      <c r="I27" s="452">
        <f>H27-'CF 2023'!J42</f>
        <v>-233500</v>
      </c>
      <c r="J27" s="452">
        <f>I27-'CF 2023'!K42</f>
        <v>-228000</v>
      </c>
      <c r="K27" s="452">
        <f>J27-'CF 2023'!L42</f>
        <v>-222500</v>
      </c>
      <c r="L27" s="452">
        <f>K27-'CF 2023'!M42</f>
        <v>-217000</v>
      </c>
      <c r="M27" s="452">
        <f>L27-'CF 2023'!N42</f>
        <v>-211500</v>
      </c>
      <c r="N27" s="452">
        <f>M27-'CF 2023'!O42</f>
        <v>-206000</v>
      </c>
      <c r="O27" s="452">
        <f>N27-'CF 2023'!P42</f>
        <v>-200500</v>
      </c>
      <c r="P27" s="452">
        <f>O27-'CF 2023'!Q42</f>
        <v>-195000</v>
      </c>
      <c r="Q27" s="452">
        <f>P27-'CF 2023'!R42</f>
        <v>-189500</v>
      </c>
      <c r="R27" s="452">
        <f>'BS 2024'!F27</f>
        <v>-184000</v>
      </c>
      <c r="S27" s="452">
        <f>'BS 2024'!G27</f>
        <v>-178500</v>
      </c>
      <c r="T27" s="452">
        <f>'BS 2024'!H27</f>
        <v>-173000</v>
      </c>
      <c r="U27" s="451">
        <f>SUM(F27:Q27)</f>
        <v>-2637000</v>
      </c>
      <c r="V27" s="1"/>
    </row>
    <row r="28" spans="1:22" ht="12.6" customHeight="1" x14ac:dyDescent="0.3">
      <c r="C28" s="173"/>
      <c r="F28"/>
      <c r="J28" s="174" t="s">
        <v>192</v>
      </c>
      <c r="V28" s="1"/>
    </row>
    <row r="29" spans="1:22" x14ac:dyDescent="0.3">
      <c r="C29" s="172" t="s">
        <v>187</v>
      </c>
      <c r="F29" s="174"/>
      <c r="G29" s="174"/>
      <c r="H29" s="174"/>
      <c r="Q29" s="174"/>
      <c r="V29" s="1"/>
    </row>
    <row r="30" spans="1:22" x14ac:dyDescent="0.3">
      <c r="C30" s="175" t="s">
        <v>195</v>
      </c>
      <c r="F30" s="174"/>
      <c r="G30" s="174"/>
      <c r="H30" s="174"/>
      <c r="Q30" s="174"/>
      <c r="V30" s="1"/>
    </row>
    <row r="31" spans="1:22" x14ac:dyDescent="0.3">
      <c r="C31" s="172" t="s">
        <v>188</v>
      </c>
      <c r="F31" s="181">
        <f>SUM(F27:F29)</f>
        <v>-250000</v>
      </c>
      <c r="G31" s="181">
        <f t="shared" ref="G31:T31" si="16">SUM(G27:G29)</f>
        <v>-244500</v>
      </c>
      <c r="H31" s="181">
        <f t="shared" si="16"/>
        <v>-239000</v>
      </c>
      <c r="I31" s="181">
        <f t="shared" si="16"/>
        <v>-233500</v>
      </c>
      <c r="J31" s="181">
        <f t="shared" si="16"/>
        <v>-228000</v>
      </c>
      <c r="K31" s="181">
        <f t="shared" si="16"/>
        <v>-222500</v>
      </c>
      <c r="L31" s="181">
        <f t="shared" si="16"/>
        <v>-217000</v>
      </c>
      <c r="M31" s="181">
        <f t="shared" si="16"/>
        <v>-211500</v>
      </c>
      <c r="N31" s="181">
        <f t="shared" si="16"/>
        <v>-206000</v>
      </c>
      <c r="O31" s="181">
        <f t="shared" si="16"/>
        <v>-200500</v>
      </c>
      <c r="P31" s="181">
        <f t="shared" si="16"/>
        <v>-195000</v>
      </c>
      <c r="Q31" s="181">
        <f t="shared" si="16"/>
        <v>-189500</v>
      </c>
      <c r="R31" s="181">
        <f t="shared" si="16"/>
        <v>-184000</v>
      </c>
      <c r="S31" s="181">
        <f t="shared" si="16"/>
        <v>-178500</v>
      </c>
      <c r="T31" s="181">
        <f t="shared" si="16"/>
        <v>-173000</v>
      </c>
      <c r="V31" s="1"/>
    </row>
    <row r="32" spans="1:22" x14ac:dyDescent="0.3">
      <c r="C32" s="172" t="s">
        <v>53</v>
      </c>
      <c r="F32" s="181">
        <f>F31+F24</f>
        <v>-250000</v>
      </c>
      <c r="G32" s="181">
        <f t="shared" ref="G32:I32" si="17">G31+G24</f>
        <v>-247909.4</v>
      </c>
      <c r="H32" s="181">
        <f t="shared" si="17"/>
        <v>-242712</v>
      </c>
      <c r="I32" s="181">
        <f t="shared" si="17"/>
        <v>-237299.8</v>
      </c>
      <c r="J32" s="181">
        <f t="shared" ref="J32" si="18">J31+J24</f>
        <v>-232492.4</v>
      </c>
      <c r="K32" s="181">
        <f t="shared" ref="K32:L32" si="19">K31+K24</f>
        <v>-227289.2</v>
      </c>
      <c r="L32" s="181">
        <f t="shared" si="19"/>
        <v>-222232.2</v>
      </c>
      <c r="M32" s="181">
        <f t="shared" ref="M32" si="20">M31+M24</f>
        <v>-216716.79999999999</v>
      </c>
      <c r="N32" s="181">
        <f t="shared" ref="N32:O32" si="21">N31+N24</f>
        <v>-210329.60000000001</v>
      </c>
      <c r="O32" s="181">
        <f t="shared" si="21"/>
        <v>-203989.4</v>
      </c>
      <c r="P32" s="181">
        <f t="shared" ref="P32" si="22">P31+P24</f>
        <v>-198449.8</v>
      </c>
      <c r="Q32" s="181">
        <f t="shared" ref="Q32:R32" si="23">Q31+Q24</f>
        <v>-192686.6</v>
      </c>
      <c r="R32" s="181">
        <f t="shared" si="23"/>
        <v>-187506.6</v>
      </c>
      <c r="S32" s="181">
        <f t="shared" ref="S32" si="24">S31+S24</f>
        <v>-182246.39999999999</v>
      </c>
      <c r="T32" s="181">
        <f t="shared" ref="T32" si="25">T31+T24</f>
        <v>-178878</v>
      </c>
      <c r="V32" s="1"/>
    </row>
    <row r="33" spans="3:22" x14ac:dyDescent="0.3">
      <c r="C33" s="172" t="s">
        <v>54</v>
      </c>
      <c r="F33" s="218">
        <f>F20+F32</f>
        <v>27459</v>
      </c>
      <c r="G33" s="218">
        <f t="shared" ref="G33:Q33" si="26">G20+G32</f>
        <v>37385.199999999983</v>
      </c>
      <c r="H33" s="218">
        <f t="shared" si="26"/>
        <v>51603.599999999977</v>
      </c>
      <c r="I33" s="218">
        <f t="shared" si="26"/>
        <v>66763</v>
      </c>
      <c r="J33" s="218">
        <f t="shared" si="26"/>
        <v>83863.000000000029</v>
      </c>
      <c r="K33" s="218">
        <f t="shared" si="26"/>
        <v>102821</v>
      </c>
      <c r="L33" s="218">
        <f t="shared" si="26"/>
        <v>123679.79999999999</v>
      </c>
      <c r="M33" s="218">
        <f t="shared" si="26"/>
        <v>145210.40000000002</v>
      </c>
      <c r="N33" s="218">
        <f t="shared" si="26"/>
        <v>164338.99999999997</v>
      </c>
      <c r="O33" s="218">
        <f t="shared" si="26"/>
        <v>180334.80000000002</v>
      </c>
      <c r="P33" s="218">
        <f t="shared" si="26"/>
        <v>195646.60000000003</v>
      </c>
      <c r="Q33" s="218">
        <f t="shared" si="26"/>
        <v>210404.19999999998</v>
      </c>
      <c r="R33" s="218">
        <f t="shared" ref="R33" si="27">R20+R32</f>
        <v>225611.59999999995</v>
      </c>
      <c r="S33" s="218">
        <f t="shared" ref="S33" si="28">S20+S32</f>
        <v>253371.33047034763</v>
      </c>
      <c r="T33" s="218">
        <f t="shared" ref="T33" si="29">T20+T32</f>
        <v>279561.84201295819</v>
      </c>
      <c r="U33" s="453">
        <f>SUM(F33:Q33)</f>
        <v>1389509.6</v>
      </c>
      <c r="V33" s="1"/>
    </row>
    <row r="34" spans="3:22" x14ac:dyDescent="0.3">
      <c r="C34" s="175" t="s">
        <v>56</v>
      </c>
      <c r="F34" s="173"/>
      <c r="G34" s="173"/>
      <c r="H34" s="173"/>
      <c r="I34" s="173"/>
      <c r="J34" s="174"/>
      <c r="K34" s="174"/>
      <c r="L34" s="174"/>
      <c r="M34" s="174"/>
      <c r="N34" s="174"/>
      <c r="O34" s="174"/>
      <c r="P34" s="174"/>
      <c r="Q34" s="173"/>
      <c r="R34" s="174"/>
      <c r="S34" s="174"/>
      <c r="T34" s="174"/>
      <c r="V34" s="1"/>
    </row>
    <row r="35" spans="3:22" x14ac:dyDescent="0.3">
      <c r="C35" s="175" t="s">
        <v>58</v>
      </c>
      <c r="F35" s="174">
        <f>SUM(F33:F34)</f>
        <v>27459</v>
      </c>
      <c r="G35" s="174">
        <f t="shared" ref="G35:T35" si="30">SUM(G33:G34)</f>
        <v>37385.199999999983</v>
      </c>
      <c r="H35" s="174">
        <f t="shared" si="30"/>
        <v>51603.599999999977</v>
      </c>
      <c r="I35" s="174">
        <f t="shared" si="30"/>
        <v>66763</v>
      </c>
      <c r="J35" s="174">
        <f t="shared" si="30"/>
        <v>83863.000000000029</v>
      </c>
      <c r="K35" s="174">
        <f t="shared" si="30"/>
        <v>102821</v>
      </c>
      <c r="L35" s="174">
        <f t="shared" si="30"/>
        <v>123679.79999999999</v>
      </c>
      <c r="M35" s="174">
        <f t="shared" si="30"/>
        <v>145210.40000000002</v>
      </c>
      <c r="N35" s="174">
        <f t="shared" si="30"/>
        <v>164338.99999999997</v>
      </c>
      <c r="O35" s="174">
        <f t="shared" si="30"/>
        <v>180334.80000000002</v>
      </c>
      <c r="P35" s="174">
        <f t="shared" si="30"/>
        <v>195646.60000000003</v>
      </c>
      <c r="Q35" s="174">
        <f t="shared" si="30"/>
        <v>210404.19999999998</v>
      </c>
      <c r="R35" s="174">
        <f t="shared" si="30"/>
        <v>225611.59999999995</v>
      </c>
      <c r="S35" s="174">
        <f t="shared" si="30"/>
        <v>253371.33047034763</v>
      </c>
      <c r="T35" s="174">
        <f t="shared" si="30"/>
        <v>279561.84201295819</v>
      </c>
      <c r="V35" s="1"/>
    </row>
    <row r="36" spans="3:22" x14ac:dyDescent="0.3">
      <c r="C36" s="182" t="s">
        <v>59</v>
      </c>
      <c r="F36" s="174">
        <f>F34+F35</f>
        <v>27459</v>
      </c>
      <c r="G36" s="174">
        <f t="shared" ref="G36:T36" si="31">G34+G35</f>
        <v>37385.199999999983</v>
      </c>
      <c r="H36" s="174">
        <f t="shared" si="31"/>
        <v>51603.599999999977</v>
      </c>
      <c r="I36" s="174">
        <f t="shared" si="31"/>
        <v>66763</v>
      </c>
      <c r="J36" s="174">
        <f t="shared" si="31"/>
        <v>83863.000000000029</v>
      </c>
      <c r="K36" s="174">
        <f t="shared" si="31"/>
        <v>102821</v>
      </c>
      <c r="L36" s="174">
        <f t="shared" si="31"/>
        <v>123679.79999999999</v>
      </c>
      <c r="M36" s="174">
        <f t="shared" si="31"/>
        <v>145210.40000000002</v>
      </c>
      <c r="N36" s="174">
        <f t="shared" si="31"/>
        <v>164338.99999999997</v>
      </c>
      <c r="O36" s="174">
        <f t="shared" si="31"/>
        <v>180334.80000000002</v>
      </c>
      <c r="P36" s="174">
        <f t="shared" si="31"/>
        <v>195646.60000000003</v>
      </c>
      <c r="Q36" s="174">
        <f t="shared" si="31"/>
        <v>210404.19999999998</v>
      </c>
      <c r="R36" s="174">
        <f t="shared" si="31"/>
        <v>225611.59999999995</v>
      </c>
      <c r="S36" s="174">
        <f t="shared" si="31"/>
        <v>253371.33047034763</v>
      </c>
      <c r="T36" s="174">
        <f t="shared" si="31"/>
        <v>279561.84201295819</v>
      </c>
      <c r="V36" s="1"/>
    </row>
    <row r="37" spans="3:22" x14ac:dyDescent="0.3">
      <c r="C37" s="175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V37" s="1"/>
    </row>
    <row r="38" spans="3:22" x14ac:dyDescent="0.3">
      <c r="C38" s="175" t="s">
        <v>189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V38" s="1"/>
    </row>
    <row r="39" spans="3:22" x14ac:dyDescent="0.3">
      <c r="C39" s="175" t="s">
        <v>190</v>
      </c>
      <c r="F39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V39" s="1"/>
    </row>
    <row r="40" spans="3:22" x14ac:dyDescent="0.3">
      <c r="C40" s="175" t="s">
        <v>191</v>
      </c>
      <c r="F40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V40" s="1"/>
    </row>
    <row r="41" spans="3:22" x14ac:dyDescent="0.3">
      <c r="C41" s="175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25" zoomScale="96" zoomScaleNormal="96" workbookViewId="0">
      <selection activeCell="K8" sqref="K8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77" t="s">
        <v>224</v>
      </c>
      <c r="C2" s="177"/>
      <c r="D2" s="177"/>
      <c r="E2" s="177"/>
      <c r="F2" s="151"/>
      <c r="G2" s="151"/>
      <c r="H2" s="151"/>
      <c r="I2" s="151"/>
      <c r="J2" s="151"/>
      <c r="K2" s="349" t="s">
        <v>228</v>
      </c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4" spans="2:22" x14ac:dyDescent="0.3">
      <c r="B4" s="190" t="s">
        <v>20</v>
      </c>
      <c r="C4" s="190"/>
      <c r="D4" s="190"/>
      <c r="E4" s="191">
        <v>2023</v>
      </c>
      <c r="F4" s="191">
        <v>2024</v>
      </c>
      <c r="G4" s="191">
        <v>2025</v>
      </c>
      <c r="H4" s="191">
        <v>2026</v>
      </c>
      <c r="I4" s="191">
        <v>2027</v>
      </c>
      <c r="J4" s="190"/>
      <c r="K4" s="191" t="s">
        <v>25</v>
      </c>
      <c r="L4" s="191" t="s">
        <v>26</v>
      </c>
      <c r="M4" s="191" t="s">
        <v>27</v>
      </c>
      <c r="N4" s="191" t="s">
        <v>28</v>
      </c>
      <c r="O4" s="191" t="s">
        <v>29</v>
      </c>
      <c r="P4" s="191" t="s">
        <v>30</v>
      </c>
      <c r="Q4" s="191" t="s">
        <v>31</v>
      </c>
      <c r="R4" s="191" t="s">
        <v>32</v>
      </c>
      <c r="S4" s="191" t="s">
        <v>33</v>
      </c>
      <c r="T4" s="191" t="s">
        <v>34</v>
      </c>
      <c r="U4" s="191" t="s">
        <v>35</v>
      </c>
      <c r="V4" s="191" t="s">
        <v>36</v>
      </c>
    </row>
    <row r="5" spans="2:22" x14ac:dyDescent="0.3">
      <c r="B5" t="s">
        <v>37</v>
      </c>
      <c r="E5" s="203">
        <f t="shared" ref="E5:E17" si="0">V5</f>
        <v>25770</v>
      </c>
      <c r="F5" s="203">
        <f>'Statements Summary 2024'!V5</f>
        <v>40525.656542056073</v>
      </c>
      <c r="G5" s="203">
        <f>'Statements Summary 2025'!V5</f>
        <v>40525.656542056073</v>
      </c>
      <c r="H5" s="203">
        <f>'Statements Summary 2026'!V5</f>
        <v>40525.656542056073</v>
      </c>
      <c r="I5" s="203">
        <f>'Statements Summary 2027'!V5</f>
        <v>40525.656542056073</v>
      </c>
      <c r="K5" s="203">
        <f>'CF 2023'!G11</f>
        <v>26073</v>
      </c>
      <c r="L5" s="203">
        <f>'CF 2023'!H11</f>
        <v>27584</v>
      </c>
      <c r="M5" s="203">
        <f>'CF 2023'!I11</f>
        <v>28797</v>
      </c>
      <c r="N5" s="203">
        <f>'CF 2023'!J11</f>
        <v>29336</v>
      </c>
      <c r="O5" s="203">
        <f>'CF 2023'!K11</f>
        <v>32299</v>
      </c>
      <c r="P5" s="203">
        <f>'CF 2023'!L11</f>
        <v>33783</v>
      </c>
      <c r="Q5" s="203">
        <f>'CF 2023'!M11</f>
        <v>35998</v>
      </c>
      <c r="R5" s="203">
        <f>'CF 2023'!N11</f>
        <v>35921</v>
      </c>
      <c r="S5" s="203">
        <f>'CF 2023'!O11</f>
        <v>31485</v>
      </c>
      <c r="T5" s="203">
        <f>'CF 2023'!P11</f>
        <v>27284</v>
      </c>
      <c r="U5" s="203">
        <f>'CF 2023'!Q11</f>
        <v>27086</v>
      </c>
      <c r="V5" s="203">
        <f>'CF 2023'!R11</f>
        <v>25770</v>
      </c>
    </row>
    <row r="6" spans="2:22" x14ac:dyDescent="0.3">
      <c r="B6" t="s">
        <v>38</v>
      </c>
      <c r="E6" s="203">
        <f t="shared" si="0"/>
        <v>0</v>
      </c>
      <c r="F6" s="203">
        <f>'Statements Summary 2024'!V6</f>
        <v>-325</v>
      </c>
      <c r="G6" s="203">
        <f>'Statements Summary 2025'!V6</f>
        <v>-325</v>
      </c>
      <c r="H6" s="203">
        <f>'Statements Summary 2026'!V6</f>
        <v>-325</v>
      </c>
      <c r="I6" s="203">
        <f>'Statements Summary 2027'!V6</f>
        <v>-325</v>
      </c>
      <c r="K6" s="203">
        <f>'CF 2023'!G19</f>
        <v>0</v>
      </c>
      <c r="L6" s="203">
        <f>'CF 2023'!H19</f>
        <v>0</v>
      </c>
      <c r="M6" s="203">
        <f>'CF 2023'!I19</f>
        <v>0</v>
      </c>
      <c r="N6" s="203">
        <f>'CF 2023'!J19</f>
        <v>0</v>
      </c>
      <c r="O6" s="203">
        <f>'CF 2023'!K19</f>
        <v>0</v>
      </c>
      <c r="P6" s="203">
        <f>'CF 2023'!L19</f>
        <v>0</v>
      </c>
      <c r="Q6" s="203">
        <f>'CF 2023'!M19</f>
        <v>0</v>
      </c>
      <c r="R6" s="203">
        <f>'CF 2023'!N19</f>
        <v>0</v>
      </c>
      <c r="S6" s="203">
        <f>'CF 2023'!O19</f>
        <v>0</v>
      </c>
      <c r="T6" s="203">
        <f>'CF 2023'!P19</f>
        <v>0</v>
      </c>
      <c r="U6" s="203">
        <f>'CF 2023'!Q19</f>
        <v>0</v>
      </c>
      <c r="V6" s="203">
        <f>'CF 2023'!R19</f>
        <v>0</v>
      </c>
    </row>
    <row r="7" spans="2:22" x14ac:dyDescent="0.3">
      <c r="B7" t="s">
        <v>39</v>
      </c>
      <c r="E7" s="203">
        <f t="shared" si="0"/>
        <v>-5500</v>
      </c>
      <c r="F7" s="203">
        <f>'Statements Summary 2024'!V7</f>
        <v>-5500</v>
      </c>
      <c r="G7" s="203">
        <f>'Statements Summary 2025'!V7</f>
        <v>-5500</v>
      </c>
      <c r="H7" s="203">
        <f>'Statements Summary 2026'!V7</f>
        <v>0</v>
      </c>
      <c r="I7" s="203">
        <f>'Statements Summary 2027'!V7</f>
        <v>0</v>
      </c>
      <c r="K7" s="203" t="s">
        <v>192</v>
      </c>
      <c r="L7" s="203">
        <f>'CF 2023'!H42</f>
        <v>-5500</v>
      </c>
      <c r="M7" s="203">
        <f>'CF 2023'!I42</f>
        <v>-5500</v>
      </c>
      <c r="N7" s="203">
        <f>'CF 2023'!J42</f>
        <v>-5500</v>
      </c>
      <c r="O7" s="203">
        <f>'CF 2023'!K42</f>
        <v>-5500</v>
      </c>
      <c r="P7" s="203">
        <f>'CF 2023'!L42</f>
        <v>-5500</v>
      </c>
      <c r="Q7" s="203">
        <f>'CF 2023'!M42</f>
        <v>-5500</v>
      </c>
      <c r="R7" s="203">
        <f>'CF 2023'!N42</f>
        <v>-5500</v>
      </c>
      <c r="S7" s="203">
        <f>'CF 2023'!O42</f>
        <v>-5500</v>
      </c>
      <c r="T7" s="203">
        <f>'CF 2023'!P42</f>
        <v>-5500</v>
      </c>
      <c r="U7" s="203">
        <f>'CF 2023'!Q42</f>
        <v>-5500</v>
      </c>
      <c r="V7" s="203">
        <f>'CF 2023'!R42</f>
        <v>-5500</v>
      </c>
    </row>
    <row r="8" spans="2:22" x14ac:dyDescent="0.3">
      <c r="B8" t="s">
        <v>14</v>
      </c>
      <c r="E8" s="203">
        <f t="shared" si="0"/>
        <v>12762</v>
      </c>
      <c r="F8" s="203">
        <f>'Statements Summary 2024'!V8</f>
        <v>30423.656542056073</v>
      </c>
      <c r="G8" s="203">
        <f>'Statements Summary 2025'!V8</f>
        <v>47635.656542056073</v>
      </c>
      <c r="H8" s="203">
        <f>'Statements Summary 2026'!V8</f>
        <v>33415.656542056073</v>
      </c>
      <c r="I8" s="203">
        <f>'Statements Summary 2027'!V8</f>
        <v>33415.656542056073</v>
      </c>
      <c r="K8" s="203">
        <f>'CF 2023'!G31</f>
        <v>11443</v>
      </c>
      <c r="L8" s="203">
        <f>'CF 2023'!H31</f>
        <v>11548</v>
      </c>
      <c r="M8" s="203">
        <f>'CF 2023'!I31</f>
        <v>11811</v>
      </c>
      <c r="N8" s="203">
        <f>'CF 2023'!J31</f>
        <v>12095</v>
      </c>
      <c r="O8" s="203">
        <f>'CF 2023'!K31</f>
        <v>12506</v>
      </c>
      <c r="P8" s="203">
        <f>'CF 2023'!L31</f>
        <v>13045</v>
      </c>
      <c r="Q8" s="203">
        <f>'CF 2023'!M31</f>
        <v>14999</v>
      </c>
      <c r="R8" s="203">
        <f>'CF 2023'!N31</f>
        <v>14999</v>
      </c>
      <c r="S8" s="203">
        <f>'CF 2023'!O31</f>
        <v>14999</v>
      </c>
      <c r="T8" s="203">
        <f>'CF 2023'!P31</f>
        <v>14210</v>
      </c>
      <c r="U8" s="203">
        <f>'CF 2023'!Q31</f>
        <v>14088</v>
      </c>
      <c r="V8" s="203">
        <f>'CF 2023'!R31</f>
        <v>12762</v>
      </c>
    </row>
    <row r="9" spans="2:22" x14ac:dyDescent="0.3">
      <c r="B9" t="s">
        <v>40</v>
      </c>
      <c r="E9" s="203" t="str">
        <f t="shared" si="0"/>
        <v>-</v>
      </c>
      <c r="F9" s="203" t="str">
        <f>'Statements Summary 2024'!V9</f>
        <v>-</v>
      </c>
      <c r="G9" s="203">
        <f>'Statements Summary 2025'!V9</f>
        <v>0</v>
      </c>
      <c r="H9" s="203">
        <f>'Statements Summary 2026'!V9</f>
        <v>0</v>
      </c>
      <c r="I9" s="203">
        <f>'Statements Summary 2027'!V9</f>
        <v>0</v>
      </c>
      <c r="K9" s="203">
        <f>'CF 2023'!G36</f>
        <v>250000</v>
      </c>
      <c r="L9" s="203" t="s">
        <v>192</v>
      </c>
      <c r="M9" s="203" t="s">
        <v>192</v>
      </c>
      <c r="N9" s="203" t="s">
        <v>192</v>
      </c>
      <c r="O9" s="203" t="s">
        <v>192</v>
      </c>
      <c r="P9" s="203" t="s">
        <v>192</v>
      </c>
      <c r="Q9" s="203" t="s">
        <v>192</v>
      </c>
      <c r="R9" s="203" t="s">
        <v>192</v>
      </c>
      <c r="S9" s="203" t="s">
        <v>192</v>
      </c>
      <c r="T9" s="203" t="s">
        <v>192</v>
      </c>
      <c r="U9" s="203" t="s">
        <v>192</v>
      </c>
      <c r="V9" s="203" t="s">
        <v>192</v>
      </c>
    </row>
    <row r="10" spans="2:22" x14ac:dyDescent="0.3">
      <c r="B10" t="s">
        <v>41</v>
      </c>
      <c r="E10" s="203" t="str">
        <f t="shared" si="0"/>
        <v>-</v>
      </c>
      <c r="F10" s="203" t="str">
        <f>'Statements Summary 2024'!V10</f>
        <v>-</v>
      </c>
      <c r="G10" s="203" t="str">
        <f>'Statements Summary 2025'!V10</f>
        <v>-</v>
      </c>
      <c r="H10" s="203" t="str">
        <f>'Statements Summary 2026'!V10</f>
        <v>-</v>
      </c>
      <c r="I10" s="203" t="str">
        <f>'Statements Summary 2027'!V10</f>
        <v>-</v>
      </c>
      <c r="K10" s="203" t="s">
        <v>192</v>
      </c>
      <c r="L10" s="203" t="s">
        <v>192</v>
      </c>
      <c r="M10" s="203" t="s">
        <v>192</v>
      </c>
      <c r="N10" s="203" t="s">
        <v>192</v>
      </c>
      <c r="O10" s="203" t="s">
        <v>192</v>
      </c>
      <c r="P10" s="203" t="s">
        <v>192</v>
      </c>
      <c r="Q10" s="203" t="s">
        <v>192</v>
      </c>
      <c r="R10" s="203" t="s">
        <v>192</v>
      </c>
      <c r="S10" s="203" t="s">
        <v>192</v>
      </c>
      <c r="T10" s="203" t="s">
        <v>192</v>
      </c>
      <c r="U10" s="203" t="s">
        <v>192</v>
      </c>
      <c r="V10" s="203" t="s">
        <v>192</v>
      </c>
    </row>
    <row r="11" spans="2:22" x14ac:dyDescent="0.3">
      <c r="B11" t="s">
        <v>42</v>
      </c>
      <c r="E11" s="203" t="str">
        <f t="shared" si="0"/>
        <v>-</v>
      </c>
      <c r="F11" s="203" t="str">
        <f>'Statements Summary 2024'!V11</f>
        <v>-</v>
      </c>
      <c r="G11" s="203" t="str">
        <f>'Statements Summary 2025'!V11</f>
        <v>-</v>
      </c>
      <c r="H11" s="203" t="str">
        <f>'Statements Summary 2026'!V11</f>
        <v>-</v>
      </c>
      <c r="I11" s="203" t="str">
        <f>'Statements Summary 2027'!V11</f>
        <v>-</v>
      </c>
      <c r="K11" s="203">
        <f>'CF 2023'!G36</f>
        <v>250000</v>
      </c>
      <c r="L11" s="203" t="s">
        <v>192</v>
      </c>
      <c r="M11" s="203" t="s">
        <v>192</v>
      </c>
      <c r="N11" s="203" t="s">
        <v>192</v>
      </c>
      <c r="O11" s="203" t="s">
        <v>192</v>
      </c>
      <c r="P11" s="203" t="s">
        <v>192</v>
      </c>
      <c r="Q11" s="203" t="s">
        <v>192</v>
      </c>
      <c r="R11" s="203" t="s">
        <v>192</v>
      </c>
      <c r="S11" s="203" t="s">
        <v>192</v>
      </c>
      <c r="T11" s="203" t="s">
        <v>192</v>
      </c>
      <c r="U11" s="203" t="s">
        <v>192</v>
      </c>
      <c r="V11" s="203" t="s">
        <v>192</v>
      </c>
    </row>
    <row r="12" spans="2:22" x14ac:dyDescent="0.3">
      <c r="B12" t="s">
        <v>43</v>
      </c>
      <c r="E12" s="203">
        <f t="shared" si="0"/>
        <v>-5500</v>
      </c>
      <c r="F12" s="203">
        <f>'Statements Summary 2024'!V12</f>
        <v>-5500</v>
      </c>
      <c r="G12" s="203">
        <f>'Statements Summary 2025'!V12</f>
        <v>-5500</v>
      </c>
      <c r="H12" s="203">
        <f>'Statements Summary 2026'!V12</f>
        <v>0</v>
      </c>
      <c r="I12" s="203">
        <f>'Statements Summary 2027'!V12</f>
        <v>0</v>
      </c>
      <c r="K12" s="203" t="s">
        <v>192</v>
      </c>
      <c r="L12" s="203">
        <f>'CF 2023'!H42</f>
        <v>-5500</v>
      </c>
      <c r="M12" s="203">
        <f>'CF 2023'!I42</f>
        <v>-5500</v>
      </c>
      <c r="N12" s="203">
        <f>'CF 2023'!J42</f>
        <v>-5500</v>
      </c>
      <c r="O12" s="203">
        <f>'CF 2023'!K42</f>
        <v>-5500</v>
      </c>
      <c r="P12" s="203">
        <f>'CF 2023'!L42</f>
        <v>-5500</v>
      </c>
      <c r="Q12" s="203">
        <f>'CF 2023'!M42</f>
        <v>-5500</v>
      </c>
      <c r="R12" s="203">
        <f>'CF 2023'!N42</f>
        <v>-5500</v>
      </c>
      <c r="S12" s="203">
        <f>'CF 2023'!O42</f>
        <v>-5500</v>
      </c>
      <c r="T12" s="203">
        <f>'CF 2023'!P42</f>
        <v>-5500</v>
      </c>
      <c r="U12" s="203">
        <f>'CF 2023'!Q42</f>
        <v>-5500</v>
      </c>
      <c r="V12" s="203">
        <f>'CF 2023'!R42</f>
        <v>-5500</v>
      </c>
    </row>
    <row r="13" spans="2:22" x14ac:dyDescent="0.3">
      <c r="B13" t="s">
        <v>44</v>
      </c>
      <c r="E13" s="203" t="str">
        <f t="shared" si="0"/>
        <v>-</v>
      </c>
      <c r="F13" s="203" t="str">
        <f>'Statements Summary 2024'!V13</f>
        <v>-</v>
      </c>
      <c r="G13" s="203" t="str">
        <f>'Statements Summary 2025'!V13</f>
        <v>-</v>
      </c>
      <c r="H13" s="203" t="str">
        <f>'Statements Summary 2026'!V13</f>
        <v>-</v>
      </c>
      <c r="I13" s="203" t="str">
        <f>'Statements Summary 2027'!V13</f>
        <v>-</v>
      </c>
      <c r="K13" s="203" t="s">
        <v>192</v>
      </c>
      <c r="L13" s="203" t="s">
        <v>192</v>
      </c>
      <c r="M13" s="203" t="s">
        <v>192</v>
      </c>
      <c r="N13" s="203" t="s">
        <v>192</v>
      </c>
      <c r="O13" s="203" t="s">
        <v>192</v>
      </c>
      <c r="P13" s="203" t="s">
        <v>192</v>
      </c>
      <c r="Q13" s="203" t="s">
        <v>192</v>
      </c>
      <c r="R13" s="203" t="s">
        <v>192</v>
      </c>
      <c r="S13" s="203" t="s">
        <v>192</v>
      </c>
      <c r="T13" s="203" t="s">
        <v>192</v>
      </c>
      <c r="U13" s="203" t="s">
        <v>192</v>
      </c>
      <c r="V13" s="203" t="s">
        <v>192</v>
      </c>
    </row>
    <row r="14" spans="2:22" x14ac:dyDescent="0.3">
      <c r="B14" t="s">
        <v>45</v>
      </c>
      <c r="E14" s="203" t="str">
        <f t="shared" si="0"/>
        <v>-</v>
      </c>
      <c r="F14" s="203" t="str">
        <f>'Statements Summary 2024'!V14</f>
        <v>-</v>
      </c>
      <c r="G14" s="203" t="str">
        <f>'Statements Summary 2025'!V14</f>
        <v>-</v>
      </c>
      <c r="H14" s="203" t="str">
        <f>'Statements Summary 2026'!V14</f>
        <v>-</v>
      </c>
      <c r="I14" s="203" t="str">
        <f>'Statements Summary 2027'!V14</f>
        <v>-</v>
      </c>
      <c r="K14" s="203" t="s">
        <v>192</v>
      </c>
      <c r="L14" s="203" t="s">
        <v>192</v>
      </c>
      <c r="M14" s="203" t="s">
        <v>192</v>
      </c>
      <c r="N14" s="203" t="s">
        <v>192</v>
      </c>
      <c r="O14" s="203" t="s">
        <v>192</v>
      </c>
      <c r="P14" s="203" t="s">
        <v>192</v>
      </c>
      <c r="Q14" s="203" t="s">
        <v>192</v>
      </c>
      <c r="R14" s="203" t="s">
        <v>192</v>
      </c>
      <c r="S14" s="203" t="s">
        <v>192</v>
      </c>
      <c r="T14" s="203" t="s">
        <v>192</v>
      </c>
      <c r="U14" s="203" t="s">
        <v>192</v>
      </c>
      <c r="V14" s="203" t="s">
        <v>192</v>
      </c>
    </row>
    <row r="15" spans="2:22" x14ac:dyDescent="0.3">
      <c r="B15" t="s">
        <v>46</v>
      </c>
      <c r="E15" s="203">
        <f t="shared" si="0"/>
        <v>-5500</v>
      </c>
      <c r="F15" s="203">
        <f>'Statements Summary 2024'!V15</f>
        <v>-5500</v>
      </c>
      <c r="G15" s="203">
        <f>'Statements Summary 2025'!V15</f>
        <v>-5500</v>
      </c>
      <c r="H15" s="203">
        <f>'Statements Summary 2026'!V15</f>
        <v>0</v>
      </c>
      <c r="I15" s="203">
        <f>'Statements Summary 2027'!V15</f>
        <v>0</v>
      </c>
      <c r="K15" s="203" t="s">
        <v>192</v>
      </c>
      <c r="L15" s="203">
        <f>'CF 2023'!H42</f>
        <v>-5500</v>
      </c>
      <c r="M15" s="203">
        <f>'CF 2023'!I42</f>
        <v>-5500</v>
      </c>
      <c r="N15" s="203">
        <f>'CF 2023'!J42</f>
        <v>-5500</v>
      </c>
      <c r="O15" s="203">
        <f>'CF 2023'!K42</f>
        <v>-5500</v>
      </c>
      <c r="P15" s="203">
        <f>'CF 2023'!L42</f>
        <v>-5500</v>
      </c>
      <c r="Q15" s="203">
        <f>'CF 2023'!M42</f>
        <v>-5500</v>
      </c>
      <c r="R15" s="203">
        <f>'CF 2023'!N42</f>
        <v>-5500</v>
      </c>
      <c r="S15" s="203">
        <f>'CF 2023'!O42</f>
        <v>-5500</v>
      </c>
      <c r="T15" s="203">
        <f>'CF 2023'!P42</f>
        <v>-5500</v>
      </c>
      <c r="U15" s="203">
        <f>'CF 2023'!Q42</f>
        <v>-5500</v>
      </c>
      <c r="V15" s="203">
        <f>'CF 2023'!R42</f>
        <v>-5500</v>
      </c>
    </row>
    <row r="16" spans="2:22" x14ac:dyDescent="0.3">
      <c r="B16" t="s">
        <v>197</v>
      </c>
      <c r="E16" s="203">
        <f t="shared" si="0"/>
        <v>12762</v>
      </c>
      <c r="F16" s="203">
        <f>'Statements Summary 2024'!V16</f>
        <v>30423.656542056073</v>
      </c>
      <c r="G16" s="203">
        <f>'Statements Summary 2025'!V16</f>
        <v>47635.656542056073</v>
      </c>
      <c r="H16" s="203">
        <f>'Statements Summary 2026'!V16</f>
        <v>33415.656542056073</v>
      </c>
      <c r="I16" s="203">
        <f>'Statements Summary 2027'!V16</f>
        <v>33415.656542056073</v>
      </c>
      <c r="K16" s="203">
        <f>'CF 2023'!G54</f>
        <v>250000</v>
      </c>
      <c r="L16" s="203">
        <f>'CF 2023'!H31</f>
        <v>11548</v>
      </c>
      <c r="M16" s="203">
        <f>'CF 2023'!I31</f>
        <v>11811</v>
      </c>
      <c r="N16" s="203">
        <f>'CF 2023'!J31</f>
        <v>12095</v>
      </c>
      <c r="O16" s="203">
        <f>'CF 2023'!K31</f>
        <v>12506</v>
      </c>
      <c r="P16" s="203">
        <f>'CF 2023'!L31</f>
        <v>13045</v>
      </c>
      <c r="Q16" s="203">
        <f>'CF 2023'!M31</f>
        <v>14999</v>
      </c>
      <c r="R16" s="203">
        <f>'CF 2023'!N31</f>
        <v>14999</v>
      </c>
      <c r="S16" s="203">
        <f>'CF 2023'!O31</f>
        <v>14999</v>
      </c>
      <c r="T16" s="203">
        <f>'CF 2023'!P31</f>
        <v>14210</v>
      </c>
      <c r="U16" s="203">
        <f>'CF 2023'!Q31</f>
        <v>14088</v>
      </c>
      <c r="V16" s="203">
        <f>'CF 2023'!R31</f>
        <v>12762</v>
      </c>
    </row>
    <row r="17" spans="2:22" x14ac:dyDescent="0.3">
      <c r="B17" t="s">
        <v>47</v>
      </c>
      <c r="E17" s="203">
        <f t="shared" si="0"/>
        <v>20024</v>
      </c>
      <c r="F17" s="203">
        <f>'Statements Summary 2024'!V17</f>
        <v>55347.313084112146</v>
      </c>
      <c r="G17" s="203">
        <f>'Statements Summary 2025'!V17</f>
        <v>89771.313084112146</v>
      </c>
      <c r="H17" s="203">
        <f>'Statements Summary 2026'!V17</f>
        <v>66831.313084112146</v>
      </c>
      <c r="I17" s="203">
        <f>'Statements Summary 2027'!V17</f>
        <v>66831.313084112146</v>
      </c>
      <c r="K17" s="203">
        <f>'CF 2023'!G52+'CF 2023'!G29+'CF 2023'!G30</f>
        <v>37191</v>
      </c>
      <c r="L17" s="203">
        <f>'CF 2023'!H52+'CF 2023'!H29+'CF 2023'!H30</f>
        <v>17596</v>
      </c>
      <c r="M17" s="203">
        <f>'CF 2023'!I52+'CF 2023'!I29+'CF 2023'!I30</f>
        <v>18122</v>
      </c>
      <c r="N17" s="203">
        <f>'CF 2023'!J52+'CF 2023'!J29+'CF 2023'!J30</f>
        <v>18690</v>
      </c>
      <c r="O17" s="203">
        <f>'CF 2023'!K52+'CF 2023'!K29+'CF 2023'!K30</f>
        <v>19512</v>
      </c>
      <c r="P17" s="203">
        <f>'CF 2023'!L52+'CF 2023'!L29+'CF 2023'!L30</f>
        <v>20590</v>
      </c>
      <c r="Q17" s="203">
        <f>'CF 2023'!M52+'CF 2023'!M29+'CF 2023'!M30</f>
        <v>24498</v>
      </c>
      <c r="R17" s="203">
        <f>'CF 2023'!N52+'CF 2023'!N29+'CF 2023'!N30</f>
        <v>24498</v>
      </c>
      <c r="S17" s="203">
        <f>'CF 2023'!O52+'CF 2023'!O29+'CF 2023'!O30</f>
        <v>24498</v>
      </c>
      <c r="T17" s="203">
        <f>'CF 2023'!P52+'CF 2023'!P29+'CF 2023'!P30</f>
        <v>22920</v>
      </c>
      <c r="U17" s="203">
        <f>'CF 2023'!Q52+'CF 2023'!Q29+'CF 2023'!Q30</f>
        <v>22676</v>
      </c>
      <c r="V17" s="203">
        <f>'CF 2023'!R52+'CF 2023'!R29+'CF 2023'!R30</f>
        <v>20024</v>
      </c>
    </row>
    <row r="19" spans="2:22" x14ac:dyDescent="0.3">
      <c r="B19" s="177" t="s">
        <v>224</v>
      </c>
      <c r="C19" s="151"/>
      <c r="D19" s="151"/>
      <c r="E19" s="151"/>
      <c r="F19" s="151"/>
      <c r="G19" s="151"/>
      <c r="H19" s="151"/>
      <c r="I19" s="151"/>
      <c r="K19" s="349" t="s">
        <v>228</v>
      </c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</row>
    <row r="41" spans="2:22" x14ac:dyDescent="0.3">
      <c r="B41" s="177" t="s">
        <v>225</v>
      </c>
      <c r="C41" s="177"/>
      <c r="D41" s="177"/>
      <c r="E41" s="177"/>
      <c r="F41" s="151"/>
      <c r="G41" s="151"/>
      <c r="H41" s="151"/>
      <c r="I41" s="151"/>
      <c r="J41" s="151"/>
      <c r="K41" s="349" t="s">
        <v>199</v>
      </c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</row>
    <row r="43" spans="2:22" x14ac:dyDescent="0.3">
      <c r="B43" s="190" t="s">
        <v>20</v>
      </c>
      <c r="C43" s="190"/>
      <c r="D43" s="190"/>
      <c r="E43" s="191">
        <v>2023</v>
      </c>
      <c r="F43" s="191">
        <v>2024</v>
      </c>
      <c r="G43" s="191">
        <v>2025</v>
      </c>
      <c r="H43" s="191">
        <v>2026</v>
      </c>
      <c r="I43" s="191">
        <v>2027</v>
      </c>
      <c r="J43" s="190"/>
      <c r="K43" s="191" t="s">
        <v>25</v>
      </c>
      <c r="L43" s="191" t="s">
        <v>26</v>
      </c>
      <c r="M43" s="191" t="s">
        <v>27</v>
      </c>
      <c r="N43" s="191" t="s">
        <v>28</v>
      </c>
      <c r="O43" s="191" t="s">
        <v>29</v>
      </c>
      <c r="P43" s="191" t="s">
        <v>30</v>
      </c>
      <c r="Q43" s="191" t="s">
        <v>31</v>
      </c>
      <c r="R43" s="191" t="s">
        <v>32</v>
      </c>
      <c r="S43" s="191" t="s">
        <v>33</v>
      </c>
      <c r="T43" s="191" t="s">
        <v>34</v>
      </c>
      <c r="U43" s="191" t="s">
        <v>35</v>
      </c>
      <c r="V43" s="191" t="s">
        <v>36</v>
      </c>
    </row>
    <row r="44" spans="2:22" x14ac:dyDescent="0.3">
      <c r="B44" s="14" t="s">
        <v>2</v>
      </c>
      <c r="C44" s="14"/>
      <c r="D44" s="14"/>
      <c r="E44" s="210">
        <f t="shared" ref="E44:E64" si="1">V44</f>
        <v>25770</v>
      </c>
      <c r="F44" s="210">
        <f>'Statements Summary 2024'!V45</f>
        <v>27986</v>
      </c>
      <c r="G44" s="210">
        <f>'Statements Summary 2025'!V45</f>
        <v>25770</v>
      </c>
      <c r="H44" s="210">
        <f>'Statements Summary 2026'!V45</f>
        <v>25770</v>
      </c>
      <c r="I44" s="210">
        <f>'Statements Summary 2027'!V45</f>
        <v>25770</v>
      </c>
      <c r="K44" s="210">
        <f>'IS 2023'!F24</f>
        <v>26073</v>
      </c>
      <c r="L44" s="210">
        <f>'IS 2023'!G24</f>
        <v>26884</v>
      </c>
      <c r="M44" s="210">
        <f>'IS 2023'!H24</f>
        <v>28397</v>
      </c>
      <c r="N44" s="210">
        <f>'IS 2023'!I24</f>
        <v>28836</v>
      </c>
      <c r="O44" s="210">
        <f>'IS 2023'!J24</f>
        <v>32299</v>
      </c>
      <c r="P44" s="210">
        <f>'IS 2023'!K24</f>
        <v>33783</v>
      </c>
      <c r="Q44" s="210">
        <f>'IS 2023'!L24</f>
        <v>35998</v>
      </c>
      <c r="R44" s="210">
        <f>'IS 2023'!M24</f>
        <v>35921</v>
      </c>
      <c r="S44" s="210">
        <f>'IS 2023'!N24</f>
        <v>31485</v>
      </c>
      <c r="T44" s="210">
        <f>'IS 2023'!O24</f>
        <v>27284</v>
      </c>
      <c r="U44" s="210">
        <f>'IS 2023'!P24</f>
        <v>27086</v>
      </c>
      <c r="V44" s="210">
        <f>'IS 2023'!Q24</f>
        <v>25770</v>
      </c>
    </row>
    <row r="45" spans="2:22" x14ac:dyDescent="0.3">
      <c r="B45" t="s">
        <v>21</v>
      </c>
      <c r="E45" s="203">
        <f t="shared" si="1"/>
        <v>-4.8585985379901053E-2</v>
      </c>
      <c r="F45" s="6">
        <f>'Statements Summary 2024'!V46</f>
        <v>-5.8946164968559804E-2</v>
      </c>
      <c r="G45" s="6">
        <f>'Statements Summary 2025'!V46</f>
        <v>-9.4550437440708332E-2</v>
      </c>
      <c r="H45" s="6">
        <f>'Statements Summary 2026'!V46</f>
        <v>-9.4550437440708332E-2</v>
      </c>
      <c r="I45" s="6">
        <f>'Statements Summary 2027'!V46</f>
        <v>-9.4550437440708332E-2</v>
      </c>
      <c r="K45" s="6"/>
      <c r="L45" s="6">
        <f t="shared" ref="L45" si="2">(L44-K44)/K44</f>
        <v>3.1104974494687992E-2</v>
      </c>
      <c r="M45" s="6">
        <f>(M44-L44)/L44</f>
        <v>5.6278827555423301E-2</v>
      </c>
      <c r="N45" s="6">
        <f>(N44-M44)/M44</f>
        <v>1.5459379511920274E-2</v>
      </c>
      <c r="O45" s="6">
        <f t="shared" ref="O45:T45" si="3">(O44-N44)/N44</f>
        <v>0.12009293938132889</v>
      </c>
      <c r="P45" s="6">
        <f t="shared" si="3"/>
        <v>4.5945694913155206E-2</v>
      </c>
      <c r="Q45" s="6">
        <f t="shared" si="3"/>
        <v>6.5565521120089981E-2</v>
      </c>
      <c r="R45" s="6">
        <f t="shared" si="3"/>
        <v>-2.1390077226512583E-3</v>
      </c>
      <c r="S45" s="6">
        <f t="shared" si="3"/>
        <v>-0.12349322123548899</v>
      </c>
      <c r="T45" s="6">
        <f t="shared" si="3"/>
        <v>-0.13342861680165158</v>
      </c>
      <c r="U45" s="6">
        <f>(U44-T44)/T44</f>
        <v>-7.2570004398182083E-3</v>
      </c>
      <c r="V45" s="6">
        <f t="shared" ref="V45" si="4">(V44-U44)/U44</f>
        <v>-4.8585985379901053E-2</v>
      </c>
    </row>
    <row r="46" spans="2:22" x14ac:dyDescent="0.3">
      <c r="B46" t="s">
        <v>3</v>
      </c>
      <c r="E46" s="203">
        <f t="shared" si="1"/>
        <v>-2045</v>
      </c>
      <c r="F46" s="203">
        <f>'Statements Summary 2024'!V47</f>
        <v>-2045</v>
      </c>
      <c r="G46" s="203">
        <f>'Statements Summary 2025'!V47</f>
        <v>-2045</v>
      </c>
      <c r="H46" s="203">
        <f>'Statements Summary 2026'!V47</f>
        <v>-2045</v>
      </c>
      <c r="I46" s="203">
        <f>'Statements Summary 2027'!V47</f>
        <v>-2045</v>
      </c>
      <c r="K46" s="203">
        <f>'IS 2023'!F25</f>
        <v>-2045</v>
      </c>
      <c r="L46" s="203">
        <f>'IS 2023'!G25</f>
        <v>-2045</v>
      </c>
      <c r="M46" s="203">
        <f>'IS 2023'!H25</f>
        <v>-2045</v>
      </c>
      <c r="N46" s="203">
        <f>'IS 2023'!I25</f>
        <v>-2045</v>
      </c>
      <c r="O46" s="203">
        <f>'IS 2023'!J25</f>
        <v>-2045</v>
      </c>
      <c r="P46" s="203">
        <f>'IS 2023'!K25</f>
        <v>-2045</v>
      </c>
      <c r="Q46" s="203">
        <f>'IS 2023'!L25</f>
        <v>-2045</v>
      </c>
      <c r="R46" s="203">
        <f>'IS 2023'!M25</f>
        <v>-2045</v>
      </c>
      <c r="S46" s="203">
        <f>'IS 2023'!N25</f>
        <v>-2045</v>
      </c>
      <c r="T46" s="203">
        <f>'IS 2023'!O25</f>
        <v>-2045</v>
      </c>
      <c r="U46" s="203">
        <f>'IS 2023'!P25</f>
        <v>-2045</v>
      </c>
      <c r="V46" s="203">
        <f>'IS 2023'!Q25</f>
        <v>-2045</v>
      </c>
    </row>
    <row r="47" spans="2:22" x14ac:dyDescent="0.3">
      <c r="B47" t="s">
        <v>22</v>
      </c>
      <c r="E47" s="6">
        <f t="shared" si="1"/>
        <v>-7.9355840124175403E-2</v>
      </c>
      <c r="F47" s="6">
        <f>'Statements Summary 2024'!V48</f>
        <v>-7.3072250410919748E-2</v>
      </c>
      <c r="G47" s="6">
        <f>'Statements Summary 2025'!V48</f>
        <v>-7.9355840124175403E-2</v>
      </c>
      <c r="H47" s="6">
        <f>'Statements Summary 2026'!V48</f>
        <v>-7.9355840124175403E-2</v>
      </c>
      <c r="I47" s="6">
        <f>'Statements Summary 2027'!V48</f>
        <v>-7.9355840124175403E-2</v>
      </c>
      <c r="K47" s="6">
        <f>K46/K44</f>
        <v>-7.8433628657998702E-2</v>
      </c>
      <c r="L47" s="6">
        <f t="shared" ref="L47:V47" si="5">L46/L44</f>
        <v>-7.6067549471804788E-2</v>
      </c>
      <c r="M47" s="6">
        <f t="shared" si="5"/>
        <v>-7.2014649434799446E-2</v>
      </c>
      <c r="N47" s="6">
        <f t="shared" si="5"/>
        <v>-7.091829657372728E-2</v>
      </c>
      <c r="O47" s="6">
        <f t="shared" si="5"/>
        <v>-6.3314653704449053E-2</v>
      </c>
      <c r="P47" s="6">
        <f t="shared" si="5"/>
        <v>-6.0533404374981496E-2</v>
      </c>
      <c r="Q47" s="6">
        <f t="shared" si="5"/>
        <v>-5.6808711595088615E-2</v>
      </c>
      <c r="R47" s="6">
        <f t="shared" si="5"/>
        <v>-5.693048634503494E-2</v>
      </c>
      <c r="S47" s="6">
        <f t="shared" si="5"/>
        <v>-6.4951564236938222E-2</v>
      </c>
      <c r="T47" s="6">
        <f t="shared" si="5"/>
        <v>-7.4952353027415333E-2</v>
      </c>
      <c r="U47" s="6">
        <f t="shared" si="5"/>
        <v>-7.5500258436092441E-2</v>
      </c>
      <c r="V47" s="6">
        <f t="shared" si="5"/>
        <v>-7.9355840124175403E-2</v>
      </c>
    </row>
    <row r="48" spans="2:22" x14ac:dyDescent="0.3">
      <c r="B48" t="s">
        <v>4</v>
      </c>
      <c r="E48" s="203">
        <f t="shared" si="1"/>
        <v>23725</v>
      </c>
      <c r="F48" s="203">
        <f>'Statements Summary 2024'!V49</f>
        <v>25941</v>
      </c>
      <c r="G48" s="203">
        <f>'Statements Summary 2025'!V49</f>
        <v>23725</v>
      </c>
      <c r="H48" s="203">
        <f>'Statements Summary 2026'!V49</f>
        <v>23725</v>
      </c>
      <c r="I48" s="203">
        <f>'Statements Summary 2027'!V49</f>
        <v>23725</v>
      </c>
      <c r="K48" s="203">
        <f>'IS 2023'!F33</f>
        <v>24028</v>
      </c>
      <c r="L48" s="203">
        <f>'IS 2023'!G33</f>
        <v>24839</v>
      </c>
      <c r="M48" s="203">
        <f>'IS 2023'!H33</f>
        <v>26352</v>
      </c>
      <c r="N48" s="203">
        <f>'IS 2023'!I33</f>
        <v>26791</v>
      </c>
      <c r="O48" s="203">
        <f>'IS 2023'!J33</f>
        <v>30254</v>
      </c>
      <c r="P48" s="203">
        <f>'IS 2023'!K33</f>
        <v>31738</v>
      </c>
      <c r="Q48" s="203">
        <f>'IS 2023'!L33</f>
        <v>33953</v>
      </c>
      <c r="R48" s="203">
        <f>'IS 2023'!M33</f>
        <v>33876</v>
      </c>
      <c r="S48" s="203">
        <f>'IS 2023'!N33</f>
        <v>29440</v>
      </c>
      <c r="T48" s="203">
        <f>'IS 2023'!O33</f>
        <v>25239</v>
      </c>
      <c r="U48" s="203">
        <f>'IS 2023'!P33</f>
        <v>25041</v>
      </c>
      <c r="V48" s="203">
        <f>'IS 2023'!Q33</f>
        <v>23725</v>
      </c>
    </row>
    <row r="49" spans="2:22" x14ac:dyDescent="0.3">
      <c r="B49" t="s">
        <v>23</v>
      </c>
      <c r="E49" s="6">
        <f t="shared" si="1"/>
        <v>0.9206441598758246</v>
      </c>
      <c r="F49" s="6">
        <f>'Statements Summary 2024'!V50</f>
        <v>0.92692774958908031</v>
      </c>
      <c r="G49" s="6">
        <f>'Statements Summary 2025'!V50</f>
        <v>0.9206441598758246</v>
      </c>
      <c r="H49" s="6">
        <f>'Statements Summary 2026'!V50</f>
        <v>0.9206441598758246</v>
      </c>
      <c r="I49" s="6">
        <f>'Statements Summary 2027'!V50</f>
        <v>0.9206441598758246</v>
      </c>
      <c r="K49" s="6">
        <f>K48/K44</f>
        <v>0.92156637134200126</v>
      </c>
      <c r="L49" s="6">
        <f t="shared" ref="L49:V49" si="6">L48/L44</f>
        <v>0.92393245052819517</v>
      </c>
      <c r="M49" s="6">
        <f t="shared" si="6"/>
        <v>0.9279853505652006</v>
      </c>
      <c r="N49" s="6">
        <f t="shared" si="6"/>
        <v>0.92908170342627272</v>
      </c>
      <c r="O49" s="6">
        <f t="shared" si="6"/>
        <v>0.93668534629555089</v>
      </c>
      <c r="P49" s="6">
        <f t="shared" si="6"/>
        <v>0.93946659562501855</v>
      </c>
      <c r="Q49" s="6">
        <f t="shared" si="6"/>
        <v>0.9431912884049114</v>
      </c>
      <c r="R49" s="6">
        <f t="shared" si="6"/>
        <v>0.94306951365496505</v>
      </c>
      <c r="S49" s="6">
        <f t="shared" si="6"/>
        <v>0.93504843576306174</v>
      </c>
      <c r="T49" s="6">
        <f t="shared" si="6"/>
        <v>0.92504764697258468</v>
      </c>
      <c r="U49" s="6">
        <f t="shared" si="6"/>
        <v>0.92449974156390757</v>
      </c>
      <c r="V49" s="6">
        <f t="shared" si="6"/>
        <v>0.9206441598758246</v>
      </c>
    </row>
    <row r="50" spans="2:22" x14ac:dyDescent="0.3">
      <c r="B50" t="s">
        <v>5</v>
      </c>
      <c r="E50" s="203">
        <f t="shared" si="1"/>
        <v>-3031</v>
      </c>
      <c r="F50" s="203">
        <f>'Statements Summary 2024'!V51</f>
        <v>-3031</v>
      </c>
      <c r="G50" s="203">
        <f>'Statements Summary 2025'!V51</f>
        <v>-3031</v>
      </c>
      <c r="H50" s="203">
        <f>'Statements Summary 2026'!V51</f>
        <v>-3031</v>
      </c>
      <c r="I50" s="203">
        <f>'Statements Summary 2027'!V51</f>
        <v>-3031</v>
      </c>
      <c r="K50" s="203">
        <f>'IS 2023'!F45</f>
        <v>-3031</v>
      </c>
      <c r="L50" s="203">
        <f>'IS 2023'!G45</f>
        <v>-3031</v>
      </c>
      <c r="M50" s="203">
        <f>'IS 2023'!H45</f>
        <v>-3031</v>
      </c>
      <c r="N50" s="203">
        <f>'IS 2023'!I45</f>
        <v>-3031</v>
      </c>
      <c r="O50" s="203">
        <f>'IS 2023'!J45</f>
        <v>-3031</v>
      </c>
      <c r="P50" s="203">
        <f>'IS 2023'!K45</f>
        <v>-3031</v>
      </c>
      <c r="Q50" s="203">
        <f>'IS 2023'!L45</f>
        <v>-3031</v>
      </c>
      <c r="R50" s="203">
        <f>'IS 2023'!M45</f>
        <v>-3031</v>
      </c>
      <c r="S50" s="203">
        <f>'IS 2023'!N45</f>
        <v>-3031</v>
      </c>
      <c r="T50" s="203">
        <f>'IS 2023'!O45</f>
        <v>-3031</v>
      </c>
      <c r="U50" s="203">
        <f>'IS 2023'!P45</f>
        <v>-3031</v>
      </c>
      <c r="V50" s="203">
        <f>'IS 2023'!Q45</f>
        <v>-3031</v>
      </c>
    </row>
    <row r="51" spans="2:22" x14ac:dyDescent="0.3">
      <c r="B51" t="s">
        <v>22</v>
      </c>
      <c r="E51" s="6">
        <f t="shared" si="1"/>
        <v>-0.11761738455568491</v>
      </c>
      <c r="F51" s="6">
        <f>'Statements Summary 2024'!V52</f>
        <v>-0.10830415207603802</v>
      </c>
      <c r="G51" s="6">
        <f>'Statements Summary 2025'!V52</f>
        <v>-0.11761738455568491</v>
      </c>
      <c r="H51" s="6">
        <f>'Statements Summary 2026'!V52</f>
        <v>-0.11761738455568491</v>
      </c>
      <c r="I51" s="6">
        <f>'Statements Summary 2027'!V52</f>
        <v>-0.11761738455568491</v>
      </c>
      <c r="K51" s="6">
        <f>K50/K44</f>
        <v>-0.11625052736547387</v>
      </c>
      <c r="L51" s="6">
        <f t="shared" ref="L51:V51" si="7">L50/L44</f>
        <v>-0.11274363933938401</v>
      </c>
      <c r="M51" s="6">
        <f t="shared" si="7"/>
        <v>-0.10673662710849738</v>
      </c>
      <c r="N51" s="6">
        <f t="shared" si="7"/>
        <v>-0.1051116659730892</v>
      </c>
      <c r="O51" s="6">
        <f t="shared" si="7"/>
        <v>-9.3841914610359456E-2</v>
      </c>
      <c r="P51" s="6">
        <f t="shared" si="7"/>
        <v>-8.971968149661072E-2</v>
      </c>
      <c r="Q51" s="6">
        <f t="shared" si="7"/>
        <v>-8.4199122173454086E-2</v>
      </c>
      <c r="R51" s="6">
        <f t="shared" si="7"/>
        <v>-8.4379610812616579E-2</v>
      </c>
      <c r="S51" s="6">
        <f t="shared" si="7"/>
        <v>-9.6268064157535332E-2</v>
      </c>
      <c r="T51" s="6">
        <f t="shared" si="7"/>
        <v>-0.1110907491570151</v>
      </c>
      <c r="U51" s="6">
        <f t="shared" si="7"/>
        <v>-0.1119028280292402</v>
      </c>
      <c r="V51" s="6">
        <f t="shared" si="7"/>
        <v>-0.11761738455568491</v>
      </c>
    </row>
    <row r="52" spans="2:22" x14ac:dyDescent="0.3">
      <c r="B52" t="s">
        <v>193</v>
      </c>
      <c r="E52" s="203">
        <f t="shared" si="1"/>
        <v>-3000</v>
      </c>
      <c r="F52" s="203">
        <f>'Statements Summary 2024'!V53</f>
        <v>-3000</v>
      </c>
      <c r="G52" s="203">
        <f>'Statements Summary 2025'!V53</f>
        <v>-3000</v>
      </c>
      <c r="H52" s="203">
        <f>'Statements Summary 2026'!V53</f>
        <v>-3000</v>
      </c>
      <c r="I52" s="203">
        <f>'Statements Summary 2027'!V53</f>
        <v>-3000</v>
      </c>
      <c r="K52" s="203">
        <f>'IS 2023'!F46</f>
        <v>-3000</v>
      </c>
      <c r="L52" s="203">
        <f>'IS 2023'!G46</f>
        <v>-3000</v>
      </c>
      <c r="M52" s="203">
        <f>'IS 2023'!H46</f>
        <v>-3000</v>
      </c>
      <c r="N52" s="203">
        <f>'IS 2023'!I46</f>
        <v>-3000</v>
      </c>
      <c r="O52" s="203">
        <f>'IS 2023'!J46</f>
        <v>-3000</v>
      </c>
      <c r="P52" s="203">
        <f>'IS 2023'!K46</f>
        <v>-3000</v>
      </c>
      <c r="Q52" s="203">
        <f>'IS 2023'!L46</f>
        <v>-3000</v>
      </c>
      <c r="R52" s="203">
        <f>'IS 2023'!M46</f>
        <v>-3000</v>
      </c>
      <c r="S52" s="203">
        <f>'IS 2023'!N46</f>
        <v>-3000</v>
      </c>
      <c r="T52" s="203">
        <f>'IS 2023'!O46</f>
        <v>-3000</v>
      </c>
      <c r="U52" s="203">
        <f>'IS 2023'!P46</f>
        <v>-3000</v>
      </c>
      <c r="V52" s="203">
        <f>'IS 2023'!Q46</f>
        <v>-3000</v>
      </c>
    </row>
    <row r="53" spans="2:22" x14ac:dyDescent="0.3">
      <c r="B53" t="s">
        <v>22</v>
      </c>
      <c r="E53" s="6">
        <f t="shared" si="1"/>
        <v>-0.11641443538998836</v>
      </c>
      <c r="F53" s="6">
        <f>'Statements Summary 2024'!V54</f>
        <v>-0.10719645537054241</v>
      </c>
      <c r="G53" s="6">
        <f>'Statements Summary 2025'!V54</f>
        <v>-0.11641443538998836</v>
      </c>
      <c r="H53" s="6">
        <f>'Statements Summary 2026'!V54</f>
        <v>-0.11641443538998836</v>
      </c>
      <c r="I53" s="6">
        <f>'Statements Summary 2027'!V54</f>
        <v>-0.11641443538998836</v>
      </c>
      <c r="K53" s="6">
        <f>K52/K44</f>
        <v>-0.11506155793349442</v>
      </c>
      <c r="L53" s="6">
        <f t="shared" ref="L53:V53" si="8">L52/L44</f>
        <v>-0.11159053712245201</v>
      </c>
      <c r="M53" s="6">
        <f t="shared" si="8"/>
        <v>-0.10564496249603832</v>
      </c>
      <c r="N53" s="6">
        <f t="shared" si="8"/>
        <v>-0.10403662089055347</v>
      </c>
      <c r="O53" s="6">
        <f t="shared" si="8"/>
        <v>-9.288213257376389E-2</v>
      </c>
      <c r="P53" s="6">
        <f t="shared" si="8"/>
        <v>-8.8802060207796824E-2</v>
      </c>
      <c r="Q53" s="6">
        <f t="shared" si="8"/>
        <v>-8.3337963220178904E-2</v>
      </c>
      <c r="R53" s="6">
        <f t="shared" si="8"/>
        <v>-8.3516605885136833E-2</v>
      </c>
      <c r="S53" s="6">
        <f t="shared" si="8"/>
        <v>-9.5283468318246786E-2</v>
      </c>
      <c r="T53" s="6">
        <f t="shared" si="8"/>
        <v>-0.1099545521184577</v>
      </c>
      <c r="U53" s="6">
        <f t="shared" si="8"/>
        <v>-0.11075832533412094</v>
      </c>
      <c r="V53" s="6">
        <f t="shared" si="8"/>
        <v>-0.11641443538998836</v>
      </c>
    </row>
    <row r="54" spans="2:22" x14ac:dyDescent="0.3">
      <c r="B54" t="s">
        <v>24</v>
      </c>
      <c r="E54" s="203">
        <f t="shared" si="1"/>
        <v>-3050</v>
      </c>
      <c r="F54" s="203">
        <f>'Statements Summary 2024'!V55</f>
        <v>-3050</v>
      </c>
      <c r="G54" s="203">
        <f>'Statements Summary 2025'!V55</f>
        <v>-3050</v>
      </c>
      <c r="H54" s="203">
        <f>'Statements Summary 2026'!V55</f>
        <v>-3050</v>
      </c>
      <c r="I54" s="203">
        <f>'Statements Summary 2027'!V55</f>
        <v>-3050</v>
      </c>
      <c r="K54" s="203">
        <f>'IS 2023'!F65</f>
        <v>-3050</v>
      </c>
      <c r="L54" s="203">
        <f>'IS 2023'!G65</f>
        <v>-3050</v>
      </c>
      <c r="M54" s="203">
        <f>'IS 2023'!H65</f>
        <v>-3050</v>
      </c>
      <c r="N54" s="203">
        <f>'IS 2023'!I65</f>
        <v>-3050</v>
      </c>
      <c r="O54" s="203">
        <f>'IS 2023'!J65</f>
        <v>-3050</v>
      </c>
      <c r="P54" s="203">
        <f>'IS 2023'!K65</f>
        <v>-3050</v>
      </c>
      <c r="Q54" s="203">
        <f>'IS 2023'!L65</f>
        <v>-3050</v>
      </c>
      <c r="R54" s="203">
        <f>'IS 2023'!M65</f>
        <v>-3050</v>
      </c>
      <c r="S54" s="203">
        <f>'IS 2023'!N65</f>
        <v>-3050</v>
      </c>
      <c r="T54" s="203">
        <f>'IS 2023'!O65</f>
        <v>-3050</v>
      </c>
      <c r="U54" s="203">
        <f>'IS 2023'!P65</f>
        <v>-3050</v>
      </c>
      <c r="V54" s="203">
        <f>'IS 2023'!Q65</f>
        <v>-3050</v>
      </c>
    </row>
    <row r="55" spans="2:22" x14ac:dyDescent="0.3">
      <c r="B55" t="s">
        <v>22</v>
      </c>
      <c r="E55" s="6">
        <f t="shared" si="1"/>
        <v>-0.11835467597982149</v>
      </c>
      <c r="F55" s="6">
        <f>'Statements Summary 2024'!V56</f>
        <v>-0.10898306296005146</v>
      </c>
      <c r="G55" s="6">
        <f>'Statements Summary 2025'!V56</f>
        <v>-0.11835467597982149</v>
      </c>
      <c r="H55" s="6">
        <f>'Statements Summary 2026'!V56</f>
        <v>-0.11835467597982149</v>
      </c>
      <c r="I55" s="6">
        <f>'Statements Summary 2027'!V56</f>
        <v>-0.11835467597982149</v>
      </c>
      <c r="K55" s="6">
        <f>K54/K44</f>
        <v>-0.11697925056571933</v>
      </c>
      <c r="L55" s="6">
        <f t="shared" ref="L55:V55" si="9">L54/L44</f>
        <v>-0.11345037940782622</v>
      </c>
      <c r="M55" s="6">
        <f t="shared" si="9"/>
        <v>-0.10740571187097228</v>
      </c>
      <c r="N55" s="6">
        <f t="shared" si="9"/>
        <v>-0.1057705645720627</v>
      </c>
      <c r="O55" s="6">
        <f t="shared" si="9"/>
        <v>-9.4430168116659954E-2</v>
      </c>
      <c r="P55" s="6">
        <f t="shared" si="9"/>
        <v>-9.0282094544593433E-2</v>
      </c>
      <c r="Q55" s="6">
        <f t="shared" si="9"/>
        <v>-8.4726929273848547E-2</v>
      </c>
      <c r="R55" s="6">
        <f t="shared" si="9"/>
        <v>-8.4908549316555781E-2</v>
      </c>
      <c r="S55" s="6">
        <f t="shared" si="9"/>
        <v>-9.6871526123550891E-2</v>
      </c>
      <c r="T55" s="6">
        <f t="shared" si="9"/>
        <v>-0.11178712798709867</v>
      </c>
      <c r="U55" s="6">
        <f t="shared" si="9"/>
        <v>-0.11260429742302297</v>
      </c>
      <c r="V55" s="6">
        <f t="shared" si="9"/>
        <v>-0.11835467597982149</v>
      </c>
    </row>
    <row r="56" spans="2:22" x14ac:dyDescent="0.3">
      <c r="B56" s="14" t="s">
        <v>6</v>
      </c>
      <c r="C56" s="14"/>
      <c r="D56" s="14"/>
      <c r="E56" s="210">
        <f t="shared" si="1"/>
        <v>17644</v>
      </c>
      <c r="F56" s="210">
        <f>'Statements Summary 2024'!V57</f>
        <v>19860</v>
      </c>
      <c r="G56" s="210">
        <f>'Statements Summary 2025'!V57</f>
        <v>17644</v>
      </c>
      <c r="H56" s="210">
        <f>'Statements Summary 2026'!V57</f>
        <v>17644</v>
      </c>
      <c r="I56" s="210">
        <f>'Statements Summary 2027'!V57</f>
        <v>17644</v>
      </c>
      <c r="K56" s="210">
        <f>'IS 2023'!F66</f>
        <v>17947</v>
      </c>
      <c r="L56" s="210">
        <f>'IS 2023'!G66</f>
        <v>18758</v>
      </c>
      <c r="M56" s="210">
        <f>'IS 2023'!H66</f>
        <v>20271</v>
      </c>
      <c r="N56" s="210">
        <f>'IS 2023'!I66</f>
        <v>20710</v>
      </c>
      <c r="O56" s="210">
        <f>'IS 2023'!J66</f>
        <v>24173</v>
      </c>
      <c r="P56" s="210">
        <f>'IS 2023'!K66</f>
        <v>25657</v>
      </c>
      <c r="Q56" s="210">
        <f>'IS 2023'!L66</f>
        <v>27872</v>
      </c>
      <c r="R56" s="210">
        <f>'IS 2023'!M66</f>
        <v>27795</v>
      </c>
      <c r="S56" s="210">
        <f>'IS 2023'!N66</f>
        <v>23359</v>
      </c>
      <c r="T56" s="210">
        <f>'IS 2023'!O66</f>
        <v>19158</v>
      </c>
      <c r="U56" s="210">
        <f>'IS 2023'!P66</f>
        <v>18960</v>
      </c>
      <c r="V56" s="210">
        <f>'IS 2023'!Q66</f>
        <v>17644</v>
      </c>
    </row>
    <row r="57" spans="2:22" x14ac:dyDescent="0.3">
      <c r="B57" t="s">
        <v>15</v>
      </c>
      <c r="E57" s="6">
        <f t="shared" si="1"/>
        <v>0.68467209934031825</v>
      </c>
      <c r="F57" s="6">
        <f>'Statements Summary 2024'!V58</f>
        <v>0.70964053455299081</v>
      </c>
      <c r="G57" s="6">
        <f>'Statements Summary 2025'!V58</f>
        <v>0.68467209934031825</v>
      </c>
      <c r="H57" s="6">
        <f>'Statements Summary 2026'!V58</f>
        <v>0.68467209934031825</v>
      </c>
      <c r="I57" s="6">
        <f>'Statements Summary 2027'!V58</f>
        <v>0.68467209934031825</v>
      </c>
      <c r="K57" s="6">
        <f>K56/K44</f>
        <v>0.68833659341080811</v>
      </c>
      <c r="L57" s="6">
        <f t="shared" ref="L57:V57" si="10">L56/L44</f>
        <v>0.69773843178098494</v>
      </c>
      <c r="M57" s="6">
        <f t="shared" si="10"/>
        <v>0.71384301158573094</v>
      </c>
      <c r="N57" s="6">
        <f t="shared" si="10"/>
        <v>0.71819947288112085</v>
      </c>
      <c r="O57" s="6">
        <f t="shared" si="10"/>
        <v>0.74841326356853155</v>
      </c>
      <c r="P57" s="6">
        <f t="shared" si="10"/>
        <v>0.7594648195838144</v>
      </c>
      <c r="Q57" s="6">
        <f t="shared" si="10"/>
        <v>0.77426523695760874</v>
      </c>
      <c r="R57" s="6">
        <f t="shared" si="10"/>
        <v>0.77378135352579269</v>
      </c>
      <c r="S57" s="6">
        <f t="shared" si="10"/>
        <v>0.74190884548197555</v>
      </c>
      <c r="T57" s="6">
        <f t="shared" si="10"/>
        <v>0.7021697698284709</v>
      </c>
      <c r="U57" s="6">
        <f t="shared" si="10"/>
        <v>0.69999261611164443</v>
      </c>
      <c r="V57" s="6">
        <f t="shared" si="10"/>
        <v>0.68467209934031825</v>
      </c>
    </row>
    <row r="58" spans="2:22" x14ac:dyDescent="0.3">
      <c r="B58" t="s">
        <v>7</v>
      </c>
      <c r="E58" s="203">
        <f t="shared" si="1"/>
        <v>-1711</v>
      </c>
      <c r="F58" s="203">
        <f>'Statements Summary 2024'!V59</f>
        <v>-1850</v>
      </c>
      <c r="G58" s="203">
        <f>'Statements Summary 2025'!V59</f>
        <v>-1911</v>
      </c>
      <c r="H58" s="203">
        <f>'Statements Summary 2026'!V59</f>
        <v>-1756</v>
      </c>
      <c r="I58" s="203">
        <f>'Statements Summary 2027'!V59</f>
        <v>-1800</v>
      </c>
      <c r="K58" s="5">
        <f>'IS 2023'!F67</f>
        <v>-1711</v>
      </c>
      <c r="L58" s="5">
        <f>'IS 2023'!G67</f>
        <v>-1711</v>
      </c>
      <c r="M58" s="5">
        <f>'IS 2023'!H67</f>
        <v>-1711</v>
      </c>
      <c r="N58" s="5">
        <f>'IS 2023'!I67</f>
        <v>-1711</v>
      </c>
      <c r="O58" s="5">
        <f>'IS 2023'!J67</f>
        <v>-1711</v>
      </c>
      <c r="P58" s="5">
        <f>'IS 2023'!K67</f>
        <v>-1711</v>
      </c>
      <c r="Q58" s="5">
        <f>'IS 2023'!L67</f>
        <v>-1711</v>
      </c>
      <c r="R58" s="5">
        <f>'IS 2023'!M67</f>
        <v>-1711</v>
      </c>
      <c r="S58" s="5">
        <f>'IS 2023'!N67</f>
        <v>-1711</v>
      </c>
      <c r="T58" s="5">
        <f>'IS 2023'!O67</f>
        <v>-1711</v>
      </c>
      <c r="U58" s="5">
        <f>'IS 2023'!P67</f>
        <v>-1711</v>
      </c>
      <c r="V58" s="5">
        <f>'IS 2023'!Q67</f>
        <v>-1711</v>
      </c>
    </row>
    <row r="59" spans="2:22" x14ac:dyDescent="0.3">
      <c r="B59" t="s">
        <v>8</v>
      </c>
      <c r="E59" s="203">
        <f t="shared" si="1"/>
        <v>15933</v>
      </c>
      <c r="F59" s="203">
        <f>'Statements Summary 2024'!V60</f>
        <v>18010</v>
      </c>
      <c r="G59" s="203">
        <f>'Statements Summary 2025'!V60</f>
        <v>19555</v>
      </c>
      <c r="H59" s="203">
        <f>'Statements Summary 2026'!V60</f>
        <v>15888</v>
      </c>
      <c r="I59" s="203">
        <f>'Statements Summary 2027'!V60</f>
        <v>15844</v>
      </c>
      <c r="K59" s="203">
        <f>'IS 2023'!F68</f>
        <v>16236</v>
      </c>
      <c r="L59" s="203">
        <f>'IS 2023'!G68</f>
        <v>17047</v>
      </c>
      <c r="M59" s="203">
        <f>'IS 2023'!H68</f>
        <v>18560</v>
      </c>
      <c r="N59" s="203">
        <f>'IS 2023'!I68</f>
        <v>18999</v>
      </c>
      <c r="O59" s="203">
        <f>'IS 2023'!J68</f>
        <v>22462</v>
      </c>
      <c r="P59" s="203">
        <f>'IS 2023'!K68</f>
        <v>23946</v>
      </c>
      <c r="Q59" s="203">
        <f>'IS 2023'!L68</f>
        <v>26161</v>
      </c>
      <c r="R59" s="203">
        <f>'IS 2023'!M68</f>
        <v>26084</v>
      </c>
      <c r="S59" s="203">
        <f>'IS 2023'!N68</f>
        <v>21648</v>
      </c>
      <c r="T59" s="203">
        <f>'IS 2023'!O68</f>
        <v>17447</v>
      </c>
      <c r="U59" s="203">
        <f>'IS 2023'!P68</f>
        <v>17249</v>
      </c>
      <c r="V59" s="203">
        <f>'IS 2023'!Q68</f>
        <v>15933</v>
      </c>
    </row>
    <row r="60" spans="2:22" x14ac:dyDescent="0.3">
      <c r="B60" t="s">
        <v>9</v>
      </c>
      <c r="E60" s="203">
        <f t="shared" si="1"/>
        <v>-9475</v>
      </c>
      <c r="F60" s="203">
        <f>'Statements Summary 2024'!V61</f>
        <v>-6175</v>
      </c>
      <c r="G60" s="203">
        <f>'Statements Summary 2025'!V61</f>
        <v>-2875</v>
      </c>
      <c r="H60" s="203">
        <f>'Statements Summary 2026'!V61</f>
        <v>0</v>
      </c>
      <c r="I60" s="203">
        <f>'Statements Summary 2027'!V61</f>
        <v>0</v>
      </c>
      <c r="K60" s="217">
        <f>'IS 2023'!F69</f>
        <v>0</v>
      </c>
      <c r="L60" s="217">
        <f>'IS 2023'!G69</f>
        <v>-12225</v>
      </c>
      <c r="M60" s="217">
        <f>'IS 2023'!H69</f>
        <v>-11950</v>
      </c>
      <c r="N60" s="217">
        <f>'IS 2023'!I69</f>
        <v>-11675</v>
      </c>
      <c r="O60" s="217">
        <f>'IS 2023'!J69</f>
        <v>-11400</v>
      </c>
      <c r="P60" s="217">
        <f>'IS 2023'!K69</f>
        <v>-11125</v>
      </c>
      <c r="Q60" s="217">
        <f>'IS 2023'!L69</f>
        <v>-10850</v>
      </c>
      <c r="R60" s="217">
        <f>'IS 2023'!M69</f>
        <v>-10575</v>
      </c>
      <c r="S60" s="217">
        <f>'IS 2023'!N69</f>
        <v>-10300</v>
      </c>
      <c r="T60" s="217">
        <f>'IS 2023'!O69</f>
        <v>-10025</v>
      </c>
      <c r="U60" s="217">
        <f>'IS 2023'!P69</f>
        <v>-9750</v>
      </c>
      <c r="V60" s="217">
        <f>'IS 2023'!Q69</f>
        <v>-9475</v>
      </c>
    </row>
    <row r="61" spans="2:22" x14ac:dyDescent="0.3">
      <c r="B61" t="s">
        <v>10</v>
      </c>
      <c r="E61" s="203">
        <f t="shared" si="1"/>
        <v>17644</v>
      </c>
      <c r="F61" s="203">
        <f>'Statements Summary 2024'!V62</f>
        <v>19860</v>
      </c>
      <c r="G61" s="203">
        <f>'Statements Summary 2025'!V62</f>
        <v>17644</v>
      </c>
      <c r="H61" s="203">
        <f>'Statements Summary 2026'!V62</f>
        <v>17644</v>
      </c>
      <c r="I61" s="203">
        <f>'Statements Summary 2027'!V62</f>
        <v>17644</v>
      </c>
      <c r="K61" s="203">
        <f>'IS 2023'!F70</f>
        <v>17947</v>
      </c>
      <c r="L61" s="203">
        <f>'IS 2023'!G70</f>
        <v>18758</v>
      </c>
      <c r="M61" s="203">
        <f>'IS 2023'!H70</f>
        <v>20271</v>
      </c>
      <c r="N61" s="203">
        <f>'IS 2023'!I70</f>
        <v>20710</v>
      </c>
      <c r="O61" s="203">
        <f>'IS 2023'!J70</f>
        <v>24173</v>
      </c>
      <c r="P61" s="203">
        <f>'IS 2023'!K70</f>
        <v>25657</v>
      </c>
      <c r="Q61" s="203">
        <f>'IS 2023'!L70</f>
        <v>27872</v>
      </c>
      <c r="R61" s="203">
        <f>'IS 2023'!M70</f>
        <v>27795</v>
      </c>
      <c r="S61" s="203">
        <f>'IS 2023'!N70</f>
        <v>23359</v>
      </c>
      <c r="T61" s="203">
        <f>'IS 2023'!O70</f>
        <v>19158</v>
      </c>
      <c r="U61" s="203">
        <f>'IS 2023'!P70</f>
        <v>18960</v>
      </c>
      <c r="V61" s="203">
        <f>'IS 2023'!Q70</f>
        <v>17644</v>
      </c>
    </row>
    <row r="62" spans="2:22" x14ac:dyDescent="0.3">
      <c r="B62" t="s">
        <v>11</v>
      </c>
      <c r="E62" s="203">
        <f t="shared" si="1"/>
        <v>-3186.6000000000004</v>
      </c>
      <c r="F62" s="203">
        <f>'Statements Summary 2024'!V63</f>
        <v>-3602</v>
      </c>
      <c r="G62" s="203">
        <f>'Statements Summary 2025'!V63</f>
        <v>-3910</v>
      </c>
      <c r="H62" s="203">
        <f>'Statements Summary 2026'!V63</f>
        <v>-3177.6000000000004</v>
      </c>
      <c r="I62" s="203">
        <f>'Statements Summary 2027'!V63</f>
        <v>-3168.8</v>
      </c>
      <c r="K62" s="203">
        <f>'IS 2023'!F71</f>
        <v>0</v>
      </c>
      <c r="L62" s="203">
        <f>'IS 2023'!G71</f>
        <v>-3409.4</v>
      </c>
      <c r="M62" s="203">
        <f>'IS 2023'!H71</f>
        <v>-3712</v>
      </c>
      <c r="N62" s="203">
        <f>'IS 2023'!I71</f>
        <v>-3799.8</v>
      </c>
      <c r="O62" s="203">
        <f>'IS 2023'!J71</f>
        <v>-4492.4000000000005</v>
      </c>
      <c r="P62" s="203">
        <f>'IS 2023'!K71</f>
        <v>-4789.2</v>
      </c>
      <c r="Q62" s="203">
        <f>'IS 2023'!L71</f>
        <v>-5232.2000000000007</v>
      </c>
      <c r="R62" s="203">
        <f>'IS 2023'!M71</f>
        <v>-5216.8</v>
      </c>
      <c r="S62" s="203">
        <f>'IS 2023'!N71</f>
        <v>-4329.6000000000004</v>
      </c>
      <c r="T62" s="203">
        <f>'IS 2023'!O71</f>
        <v>-3489.4</v>
      </c>
      <c r="U62" s="203">
        <f>'IS 2023'!P71</f>
        <v>-3449.8</v>
      </c>
      <c r="V62" s="203">
        <f>'IS 2023'!Q71</f>
        <v>-3186.6000000000004</v>
      </c>
    </row>
    <row r="63" spans="2:22" x14ac:dyDescent="0.3">
      <c r="B63" s="14" t="s">
        <v>12</v>
      </c>
      <c r="C63" s="14"/>
      <c r="D63" s="14"/>
      <c r="E63" s="210">
        <f t="shared" si="1"/>
        <v>14457.4</v>
      </c>
      <c r="F63" s="210">
        <f>'Statements Summary 2024'!V64</f>
        <v>16258</v>
      </c>
      <c r="G63" s="210">
        <f>'Statements Summary 2025'!V64</f>
        <v>13734</v>
      </c>
      <c r="H63" s="210">
        <f>'Statements Summary 2026'!V64</f>
        <v>14466.4</v>
      </c>
      <c r="I63" s="210">
        <f>'Statements Summary 2027'!V64</f>
        <v>14475.2</v>
      </c>
      <c r="K63" s="210">
        <f>'IS 2023'!F72</f>
        <v>17947</v>
      </c>
      <c r="L63" s="210">
        <f>'IS 2023'!G72</f>
        <v>15348.6</v>
      </c>
      <c r="M63" s="210">
        <f>'IS 2023'!H72</f>
        <v>16559</v>
      </c>
      <c r="N63" s="210">
        <f>'IS 2023'!I72</f>
        <v>16910.2</v>
      </c>
      <c r="O63" s="210">
        <f>'IS 2023'!J72</f>
        <v>19680.599999999999</v>
      </c>
      <c r="P63" s="210">
        <f>'IS 2023'!K72</f>
        <v>20867.8</v>
      </c>
      <c r="Q63" s="210">
        <f>'IS 2023'!L72</f>
        <v>22639.8</v>
      </c>
      <c r="R63" s="210">
        <f>'IS 2023'!M72</f>
        <v>22578.2</v>
      </c>
      <c r="S63" s="210">
        <f>'IS 2023'!N72</f>
        <v>19029.400000000001</v>
      </c>
      <c r="T63" s="210">
        <f>'IS 2023'!O72</f>
        <v>15668.6</v>
      </c>
      <c r="U63" s="210">
        <f>'IS 2023'!P72</f>
        <v>15510.2</v>
      </c>
      <c r="V63" s="210">
        <f>'IS 2023'!Q72</f>
        <v>14457.4</v>
      </c>
    </row>
    <row r="64" spans="2:22" x14ac:dyDescent="0.3">
      <c r="B64" t="s">
        <v>13</v>
      </c>
      <c r="E64" s="6">
        <f t="shared" si="1"/>
        <v>0.56101668606907251</v>
      </c>
      <c r="F64" s="6">
        <f>'Statements Summary 2024'!V65</f>
        <v>0.58093332380475948</v>
      </c>
      <c r="G64" s="6">
        <f>'Statements Summary 2025'!V65</f>
        <v>0.53294528521536666</v>
      </c>
      <c r="H64" s="6">
        <f>'Statements Summary 2026'!V65</f>
        <v>0.56136592937524254</v>
      </c>
      <c r="I64" s="6">
        <f>'Statements Summary 2027'!V65</f>
        <v>0.56170741171905314</v>
      </c>
      <c r="K64" s="6">
        <f>K63/K44</f>
        <v>0.68833659341080811</v>
      </c>
      <c r="L64" s="6">
        <f t="shared" ref="L64:V64" si="11">L63/L44</f>
        <v>0.57091950602588903</v>
      </c>
      <c r="M64" s="6">
        <f t="shared" si="11"/>
        <v>0.58312497799063279</v>
      </c>
      <c r="N64" s="6">
        <f t="shared" si="11"/>
        <v>0.5864266888611458</v>
      </c>
      <c r="O64" s="6">
        <f t="shared" si="11"/>
        <v>0.60932536611040589</v>
      </c>
      <c r="P64" s="6">
        <f t="shared" si="11"/>
        <v>0.61770121066808747</v>
      </c>
      <c r="Q64" s="6">
        <f t="shared" si="11"/>
        <v>0.62891827323740201</v>
      </c>
      <c r="R64" s="6">
        <f t="shared" si="11"/>
        <v>0.62855154366526544</v>
      </c>
      <c r="S64" s="6">
        <f t="shared" si="11"/>
        <v>0.60439574400508178</v>
      </c>
      <c r="T64" s="6">
        <f t="shared" si="11"/>
        <v>0.57427796510775553</v>
      </c>
      <c r="U64" s="6">
        <f t="shared" si="11"/>
        <v>0.57262792586576095</v>
      </c>
      <c r="V64" s="6">
        <f t="shared" si="11"/>
        <v>0.56101668606907251</v>
      </c>
    </row>
    <row r="66" spans="2:22" x14ac:dyDescent="0.3">
      <c r="B66" s="177" t="s">
        <v>225</v>
      </c>
      <c r="C66" s="151"/>
      <c r="D66" s="151"/>
      <c r="E66" s="151"/>
      <c r="F66" s="151"/>
      <c r="G66" s="151"/>
      <c r="H66" s="151"/>
      <c r="I66" s="151"/>
      <c r="K66" s="349" t="s">
        <v>199</v>
      </c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</row>
    <row r="83" spans="2:22" x14ac:dyDescent="0.3">
      <c r="B83" s="177" t="s">
        <v>226</v>
      </c>
      <c r="C83" s="177"/>
      <c r="D83" s="177"/>
      <c r="E83" s="177"/>
      <c r="F83" s="151"/>
      <c r="G83" s="151"/>
      <c r="H83" s="151"/>
      <c r="I83" s="151"/>
      <c r="J83" s="151"/>
      <c r="K83" s="349" t="s">
        <v>91</v>
      </c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</row>
    <row r="85" spans="2:22" x14ac:dyDescent="0.3">
      <c r="B85" s="190" t="s">
        <v>20</v>
      </c>
      <c r="C85" s="190"/>
      <c r="D85" s="190"/>
      <c r="E85" s="191">
        <v>2023</v>
      </c>
      <c r="F85" s="191">
        <v>2024</v>
      </c>
      <c r="G85" s="191">
        <v>2025</v>
      </c>
      <c r="H85" s="191">
        <v>2026</v>
      </c>
      <c r="I85" s="191">
        <v>2027</v>
      </c>
      <c r="J85" s="190"/>
      <c r="K85" s="191" t="s">
        <v>25</v>
      </c>
      <c r="L85" s="191" t="s">
        <v>26</v>
      </c>
      <c r="M85" s="191" t="s">
        <v>27</v>
      </c>
      <c r="N85" s="191" t="s">
        <v>28</v>
      </c>
      <c r="O85" s="191" t="s">
        <v>29</v>
      </c>
      <c r="P85" s="191" t="s">
        <v>30</v>
      </c>
      <c r="Q85" s="191" t="s">
        <v>31</v>
      </c>
      <c r="R85" s="191" t="s">
        <v>32</v>
      </c>
      <c r="S85" s="191" t="s">
        <v>33</v>
      </c>
      <c r="T85" s="191" t="s">
        <v>34</v>
      </c>
      <c r="U85" s="191" t="s">
        <v>35</v>
      </c>
      <c r="V85" s="191" t="s">
        <v>36</v>
      </c>
    </row>
    <row r="86" spans="2:22" x14ac:dyDescent="0.3">
      <c r="B86" t="s">
        <v>48</v>
      </c>
      <c r="E86" s="203">
        <f t="shared" ref="E86:E97" si="12">V86</f>
        <v>132558.79999999999</v>
      </c>
      <c r="F86" s="203">
        <f>'Statements Summary 2024'!V88</f>
        <v>405541.71787996864</v>
      </c>
      <c r="G86" s="203">
        <f>'Statements Summary 2025'!V88</f>
        <v>711191.8304843161</v>
      </c>
      <c r="H86" s="203">
        <f>'Statements Summary 2026'!V88</f>
        <v>1023265.343088664</v>
      </c>
      <c r="I86" s="203">
        <f>'Statements Summary 2027'!V88</f>
        <v>1399460.2556930115</v>
      </c>
      <c r="K86" s="203">
        <f>'BS 2023'!F14</f>
        <v>25748</v>
      </c>
      <c r="L86" s="203">
        <f>'BS 2023'!G14</f>
        <v>31872.6</v>
      </c>
      <c r="M86" s="203">
        <f>'BS 2023'!H14</f>
        <v>39182.6</v>
      </c>
      <c r="N86" s="203">
        <f>'BS 2023'!I14</f>
        <v>47218.799999999996</v>
      </c>
      <c r="O86" s="203">
        <f>'BS 2023'!J14</f>
        <v>57800.399999999994</v>
      </c>
      <c r="P86" s="203">
        <f>'BS 2023'!K14</f>
        <v>69844.2</v>
      </c>
      <c r="Q86" s="203">
        <f>'BS 2023'!L14</f>
        <v>83935</v>
      </c>
      <c r="R86" s="203">
        <f>'BS 2023'!M14</f>
        <v>98239.2</v>
      </c>
      <c r="S86" s="203">
        <f>'BS 2023'!N14</f>
        <v>109269.59999999999</v>
      </c>
      <c r="T86" s="203">
        <f>'BS 2023'!O14</f>
        <v>117214.2</v>
      </c>
      <c r="U86" s="203">
        <f>'BS 2023'!P14</f>
        <v>125275.4</v>
      </c>
      <c r="V86" s="203">
        <f>'BS 2023'!Q14</f>
        <v>132558.79999999999</v>
      </c>
    </row>
    <row r="87" spans="2:22" x14ac:dyDescent="0.3">
      <c r="B87" t="s">
        <v>49</v>
      </c>
      <c r="E87" s="203">
        <f t="shared" si="12"/>
        <v>270532</v>
      </c>
      <c r="F87" s="203">
        <f>'Statements Summary 2024'!V89</f>
        <v>288332</v>
      </c>
      <c r="G87" s="203">
        <f>'Statements Summary 2025'!V89</f>
        <v>309481</v>
      </c>
      <c r="H87" s="203">
        <f>'Statements Summary 2026'!V89</f>
        <v>331018</v>
      </c>
      <c r="I87" s="203">
        <f>'Statements Summary 2027'!V89</f>
        <v>352400</v>
      </c>
      <c r="K87" s="203">
        <f>'BS 2023'!F19</f>
        <v>251711</v>
      </c>
      <c r="L87" s="203">
        <f>'BS 2023'!G19</f>
        <v>253422</v>
      </c>
      <c r="M87" s="203">
        <f>'BS 2023'!H19</f>
        <v>255133</v>
      </c>
      <c r="N87" s="203">
        <f>'BS 2023'!I19</f>
        <v>256844</v>
      </c>
      <c r="O87" s="203">
        <f>'BS 2023'!J19</f>
        <v>258555</v>
      </c>
      <c r="P87" s="203">
        <f>'BS 2023'!K19</f>
        <v>260266</v>
      </c>
      <c r="Q87" s="203">
        <f>'BS 2023'!L19</f>
        <v>261977</v>
      </c>
      <c r="R87" s="203">
        <f>'BS 2023'!M19</f>
        <v>263688</v>
      </c>
      <c r="S87" s="203">
        <f>'BS 2023'!N19</f>
        <v>265399</v>
      </c>
      <c r="T87" s="203">
        <f>'BS 2023'!O19</f>
        <v>267110</v>
      </c>
      <c r="U87" s="203">
        <f>'BS 2023'!P19</f>
        <v>268821</v>
      </c>
      <c r="V87" s="203">
        <f>'BS 2023'!Q19</f>
        <v>270532</v>
      </c>
    </row>
    <row r="88" spans="2:22" x14ac:dyDescent="0.3">
      <c r="B88" t="s">
        <v>50</v>
      </c>
      <c r="E88" s="203">
        <f t="shared" si="12"/>
        <v>403090.8</v>
      </c>
      <c r="F88" s="203">
        <f>'Statements Summary 2024'!V90</f>
        <v>693873.7178799687</v>
      </c>
      <c r="G88" s="203">
        <f>'Statements Summary 2025'!V90</f>
        <v>1020672.8304843161</v>
      </c>
      <c r="H88" s="203">
        <f>'Statements Summary 2026'!V90</f>
        <v>1354283.3430886641</v>
      </c>
      <c r="I88" s="203">
        <f>'Statements Summary 2027'!V90</f>
        <v>1751860.2556930115</v>
      </c>
      <c r="K88" s="203">
        <f>'BS 2023'!F20</f>
        <v>277459</v>
      </c>
      <c r="L88" s="203">
        <f>'BS 2023'!G20</f>
        <v>285294.59999999998</v>
      </c>
      <c r="M88" s="203">
        <f>'BS 2023'!H20</f>
        <v>294315.59999999998</v>
      </c>
      <c r="N88" s="203">
        <f>'BS 2023'!I20</f>
        <v>304062.8</v>
      </c>
      <c r="O88" s="203">
        <f>'BS 2023'!J20</f>
        <v>316355.40000000002</v>
      </c>
      <c r="P88" s="203">
        <f>'BS 2023'!K20</f>
        <v>330110.2</v>
      </c>
      <c r="Q88" s="203">
        <f>'BS 2023'!L20</f>
        <v>345912</v>
      </c>
      <c r="R88" s="203">
        <f>'BS 2023'!M20</f>
        <v>361927.2</v>
      </c>
      <c r="S88" s="203">
        <f>'BS 2023'!N20</f>
        <v>374668.6</v>
      </c>
      <c r="T88" s="203">
        <f>'BS 2023'!O20</f>
        <v>384324.2</v>
      </c>
      <c r="U88" s="203">
        <f>'BS 2023'!P20</f>
        <v>394096.4</v>
      </c>
      <c r="V88" s="203">
        <f>'BS 2023'!Q20</f>
        <v>403090.8</v>
      </c>
    </row>
    <row r="89" spans="2:22" x14ac:dyDescent="0.3">
      <c r="B89" t="s">
        <v>51</v>
      </c>
      <c r="E89" s="203">
        <f t="shared" si="12"/>
        <v>-3186.6000000000004</v>
      </c>
      <c r="F89" s="203">
        <f>'Statements Summary 2024'!V91</f>
        <v>-3602</v>
      </c>
      <c r="G89" s="203">
        <f>'Statements Summary 2025'!V91</f>
        <v>-3910</v>
      </c>
      <c r="H89" s="203">
        <f>'Statements Summary 2026'!V91</f>
        <v>-3177.6000000000004</v>
      </c>
      <c r="I89" s="203">
        <f>'Statements Summary 2027'!V91</f>
        <v>-3168.8</v>
      </c>
      <c r="K89" s="203"/>
      <c r="L89" s="203">
        <f>'BS 2023'!G25</f>
        <v>-3409.4</v>
      </c>
      <c r="M89" s="203">
        <f>'BS 2023'!H25</f>
        <v>-3712</v>
      </c>
      <c r="N89" s="203">
        <f>'BS 2023'!I25</f>
        <v>-3799.8</v>
      </c>
      <c r="O89" s="203">
        <f>'BS 2023'!J25</f>
        <v>-4492.4000000000005</v>
      </c>
      <c r="P89" s="203">
        <f>'BS 2023'!K25</f>
        <v>-4789.2</v>
      </c>
      <c r="Q89" s="203">
        <f>'BS 2023'!L25</f>
        <v>-5232.2000000000007</v>
      </c>
      <c r="R89" s="203">
        <f>'BS 2023'!M25</f>
        <v>-5216.8</v>
      </c>
      <c r="S89" s="203">
        <f>'BS 2023'!N25</f>
        <v>-4329.6000000000004</v>
      </c>
      <c r="T89" s="203">
        <f>'BS 2023'!O25</f>
        <v>-3489.4</v>
      </c>
      <c r="U89" s="203">
        <f>'BS 2023'!P25</f>
        <v>-3449.8</v>
      </c>
      <c r="V89" s="203">
        <f>'BS 2023'!Q25</f>
        <v>-3186.6000000000004</v>
      </c>
    </row>
    <row r="90" spans="2:22" x14ac:dyDescent="0.3">
      <c r="B90" t="s">
        <v>198</v>
      </c>
      <c r="E90" s="203">
        <f t="shared" si="12"/>
        <v>-189500</v>
      </c>
      <c r="F90" s="203">
        <f>'Statements Summary 2024'!V92</f>
        <v>-123500</v>
      </c>
      <c r="G90" s="203">
        <f>'Statements Summary 2025'!V92</f>
        <v>-57500</v>
      </c>
      <c r="H90" s="203">
        <f>'Statements Summary 2026'!V92</f>
        <v>0</v>
      </c>
      <c r="I90" s="203">
        <f>'Statements Summary 2027'!V92</f>
        <v>0</v>
      </c>
      <c r="K90" s="203">
        <f>'BS 2023'!F27</f>
        <v>-250000</v>
      </c>
      <c r="L90" s="203">
        <f>'BS 2023'!G27</f>
        <v>-244500</v>
      </c>
      <c r="M90" s="203">
        <f>'BS 2023'!H27</f>
        <v>-239000</v>
      </c>
      <c r="N90" s="203">
        <f>'BS 2023'!I27</f>
        <v>-233500</v>
      </c>
      <c r="O90" s="203">
        <f>'BS 2023'!J27</f>
        <v>-228000</v>
      </c>
      <c r="P90" s="203">
        <f>'BS 2023'!K27</f>
        <v>-222500</v>
      </c>
      <c r="Q90" s="203">
        <f>'BS 2023'!L27</f>
        <v>-217000</v>
      </c>
      <c r="R90" s="203">
        <f>'BS 2023'!M27</f>
        <v>-211500</v>
      </c>
      <c r="S90" s="203">
        <f>'BS 2023'!N27</f>
        <v>-206000</v>
      </c>
      <c r="T90" s="203">
        <f>'BS 2023'!O27</f>
        <v>-200500</v>
      </c>
      <c r="U90" s="203">
        <f>'BS 2023'!P27</f>
        <v>-195000</v>
      </c>
      <c r="V90" s="203">
        <f>'BS 2023'!Q27</f>
        <v>-189500</v>
      </c>
    </row>
    <row r="91" spans="2:22" x14ac:dyDescent="0.3">
      <c r="B91" t="s">
        <v>53</v>
      </c>
      <c r="E91" s="203">
        <f t="shared" si="12"/>
        <v>-192686.6</v>
      </c>
      <c r="F91" s="203">
        <f>'Statements Summary 2024'!V93</f>
        <v>-127102</v>
      </c>
      <c r="G91" s="203">
        <f>'Statements Summary 2025'!V93</f>
        <v>-61410</v>
      </c>
      <c r="H91" s="203">
        <f>'Statements Summary 2026'!V93</f>
        <v>-3177.6000000000004</v>
      </c>
      <c r="I91" s="203">
        <f>'Statements Summary 2027'!V93</f>
        <v>-3168.8</v>
      </c>
      <c r="K91" s="203">
        <f>'BS 2023'!F32</f>
        <v>-250000</v>
      </c>
      <c r="L91" s="203">
        <f>'BS 2023'!G32</f>
        <v>-247909.4</v>
      </c>
      <c r="M91" s="203">
        <f>'BS 2023'!H32</f>
        <v>-242712</v>
      </c>
      <c r="N91" s="203">
        <f>'BS 2023'!I32</f>
        <v>-237299.8</v>
      </c>
      <c r="O91" s="203">
        <f>'BS 2023'!J32</f>
        <v>-232492.4</v>
      </c>
      <c r="P91" s="203">
        <f>'BS 2023'!K32</f>
        <v>-227289.2</v>
      </c>
      <c r="Q91" s="203">
        <f>'BS 2023'!L32</f>
        <v>-222232.2</v>
      </c>
      <c r="R91" s="203">
        <f>'BS 2023'!M32</f>
        <v>-216716.79999999999</v>
      </c>
      <c r="S91" s="203">
        <f>'BS 2023'!N32</f>
        <v>-210329.60000000001</v>
      </c>
      <c r="T91" s="203">
        <f>'BS 2023'!O32</f>
        <v>-203989.4</v>
      </c>
      <c r="U91" s="203">
        <f>'BS 2023'!P32</f>
        <v>-198449.8</v>
      </c>
      <c r="V91" s="203">
        <f>'BS 2023'!Q32</f>
        <v>-192686.6</v>
      </c>
    </row>
    <row r="92" spans="2:22" x14ac:dyDescent="0.3">
      <c r="B92" t="s">
        <v>54</v>
      </c>
      <c r="E92" s="203">
        <f t="shared" si="12"/>
        <v>210404.19999999998</v>
      </c>
      <c r="F92" s="203">
        <f>'Statements Summary 2024'!V94</f>
        <v>566771.7178799687</v>
      </c>
      <c r="G92" s="203">
        <f>'Statements Summary 2025'!V94</f>
        <v>901762.8304843161</v>
      </c>
      <c r="H92" s="203">
        <f>'Statements Summary 2026'!V94</f>
        <v>1351105.743088664</v>
      </c>
      <c r="I92" s="203">
        <f>'Statements Summary 2027'!V94</f>
        <v>1748691.4556930114</v>
      </c>
      <c r="K92" s="203">
        <f>'BS 2023'!F33</f>
        <v>27459</v>
      </c>
      <c r="L92" s="203">
        <f>'BS 2023'!G33</f>
        <v>37385.199999999983</v>
      </c>
      <c r="M92" s="203">
        <f>'BS 2023'!H33</f>
        <v>51603.599999999977</v>
      </c>
      <c r="N92" s="203">
        <f>'BS 2023'!I33</f>
        <v>66763</v>
      </c>
      <c r="O92" s="203">
        <f>'BS 2023'!J33</f>
        <v>83863.000000000029</v>
      </c>
      <c r="P92" s="203">
        <f>'BS 2023'!K33</f>
        <v>102821</v>
      </c>
      <c r="Q92" s="203">
        <f>'BS 2023'!L33</f>
        <v>123679.79999999999</v>
      </c>
      <c r="R92" s="203">
        <f>'BS 2023'!M33</f>
        <v>145210.40000000002</v>
      </c>
      <c r="S92" s="203">
        <f>'BS 2023'!N33</f>
        <v>164338.99999999997</v>
      </c>
      <c r="T92" s="203">
        <f>'BS 2023'!O33</f>
        <v>180334.80000000002</v>
      </c>
      <c r="U92" s="203">
        <f>'BS 2023'!P33</f>
        <v>195646.60000000003</v>
      </c>
      <c r="V92" s="203">
        <f>'BS 2023'!Q33</f>
        <v>210404.19999999998</v>
      </c>
    </row>
    <row r="93" spans="2:22" x14ac:dyDescent="0.3">
      <c r="B93" t="s">
        <v>55</v>
      </c>
      <c r="E93" s="203">
        <f t="shared" si="12"/>
        <v>132558.79999999999</v>
      </c>
      <c r="F93" s="203">
        <f>'Statements Summary 2024'!V95</f>
        <v>405541.71787996864</v>
      </c>
      <c r="G93" s="203">
        <f>'Statements Summary 2025'!V95</f>
        <v>711191.8304843161</v>
      </c>
      <c r="H93" s="203">
        <f>'Statements Summary 2026'!V95</f>
        <v>1023265.343088664</v>
      </c>
      <c r="I93" s="203">
        <f>'Statements Summary 2027'!V95</f>
        <v>1399460.2556930115</v>
      </c>
      <c r="K93" s="203">
        <f>'BS 2023'!F14</f>
        <v>25748</v>
      </c>
      <c r="L93" s="203">
        <f>'BS 2023'!G14</f>
        <v>31872.6</v>
      </c>
      <c r="M93" s="203">
        <f>'BS 2023'!H14</f>
        <v>39182.6</v>
      </c>
      <c r="N93" s="203">
        <f>'BS 2023'!I14</f>
        <v>47218.799999999996</v>
      </c>
      <c r="O93" s="203">
        <f>'BS 2023'!J14</f>
        <v>57800.399999999994</v>
      </c>
      <c r="P93" s="203">
        <f>'BS 2023'!K14</f>
        <v>69844.2</v>
      </c>
      <c r="Q93" s="203">
        <f>'BS 2023'!L14</f>
        <v>83935</v>
      </c>
      <c r="R93" s="203">
        <f>'BS 2023'!M14</f>
        <v>98239.2</v>
      </c>
      <c r="S93" s="203">
        <f>'BS 2023'!N14</f>
        <v>109269.59999999999</v>
      </c>
      <c r="T93" s="203">
        <f>'BS 2023'!O14</f>
        <v>117214.2</v>
      </c>
      <c r="U93" s="203">
        <f>'BS 2023'!P14</f>
        <v>125275.4</v>
      </c>
      <c r="V93" s="203">
        <f>'BS 2023'!Q14</f>
        <v>132558.79999999999</v>
      </c>
    </row>
    <row r="94" spans="2:22" x14ac:dyDescent="0.3">
      <c r="B94" t="s">
        <v>56</v>
      </c>
      <c r="E94" s="203" t="str">
        <f t="shared" si="12"/>
        <v>-</v>
      </c>
      <c r="F94" s="203" t="str">
        <f>'Statements Summary 2024'!V96</f>
        <v>-</v>
      </c>
      <c r="G94" s="203" t="str">
        <f>'Statements Summary 2025'!V96</f>
        <v>-</v>
      </c>
      <c r="H94" s="203" t="str">
        <f>'Statements Summary 2026'!V96</f>
        <v>-</v>
      </c>
      <c r="I94" s="203" t="str">
        <f>'Statements Summary 2027'!V96</f>
        <v>-</v>
      </c>
      <c r="K94" s="203" t="s">
        <v>192</v>
      </c>
      <c r="L94" s="203" t="s">
        <v>192</v>
      </c>
      <c r="M94" s="203" t="s">
        <v>192</v>
      </c>
      <c r="N94" s="203" t="s">
        <v>192</v>
      </c>
      <c r="O94" s="203" t="s">
        <v>192</v>
      </c>
      <c r="P94" s="203" t="s">
        <v>192</v>
      </c>
      <c r="Q94" s="203" t="s">
        <v>192</v>
      </c>
      <c r="R94" s="203" t="s">
        <v>192</v>
      </c>
      <c r="S94" s="203" t="s">
        <v>192</v>
      </c>
      <c r="T94" s="203" t="s">
        <v>192</v>
      </c>
      <c r="U94" s="203" t="s">
        <v>192</v>
      </c>
      <c r="V94" s="203" t="s">
        <v>192</v>
      </c>
    </row>
    <row r="95" spans="2:22" x14ac:dyDescent="0.3">
      <c r="B95" t="s">
        <v>57</v>
      </c>
      <c r="E95" s="203">
        <f t="shared" si="12"/>
        <v>0</v>
      </c>
      <c r="F95" s="203">
        <f>'Statements Summary 2024'!V97</f>
        <v>0</v>
      </c>
      <c r="G95" s="203">
        <f>'Statements Summary 2025'!V97</f>
        <v>0</v>
      </c>
      <c r="H95" s="203">
        <f>'Statements Summary 2026'!V97</f>
        <v>0</v>
      </c>
      <c r="I95" s="203">
        <f>'Statements Summary 2027'!V97</f>
        <v>0</v>
      </c>
      <c r="K95" s="203" t="s">
        <v>192</v>
      </c>
      <c r="L95" s="203" t="s">
        <v>192</v>
      </c>
      <c r="M95" s="203" t="s">
        <v>192</v>
      </c>
      <c r="N95" s="203" t="s">
        <v>192</v>
      </c>
      <c r="O95" s="203" t="s">
        <v>192</v>
      </c>
      <c r="P95" s="203" t="s">
        <v>192</v>
      </c>
      <c r="Q95" s="203" t="s">
        <v>192</v>
      </c>
      <c r="R95" s="203" t="s">
        <v>192</v>
      </c>
      <c r="S95" s="203" t="s">
        <v>192</v>
      </c>
      <c r="T95" s="203" t="s">
        <v>192</v>
      </c>
      <c r="U95" s="203" t="s">
        <v>192</v>
      </c>
      <c r="V95" s="203"/>
    </row>
    <row r="96" spans="2:22" x14ac:dyDescent="0.3">
      <c r="B96" t="s">
        <v>58</v>
      </c>
      <c r="E96" s="203">
        <f t="shared" si="12"/>
        <v>210404.19999999998</v>
      </c>
      <c r="F96" s="203">
        <f>'Statements Summary 2024'!V98</f>
        <v>566771.7178799687</v>
      </c>
      <c r="G96" s="203">
        <f>'Statements Summary 2025'!V98</f>
        <v>901762.8304843161</v>
      </c>
      <c r="H96" s="203">
        <f>'Statements Summary 2026'!V98</f>
        <v>1351105.743088664</v>
      </c>
      <c r="I96" s="203">
        <f>'Statements Summary 2027'!V98</f>
        <v>1748691.4556930114</v>
      </c>
      <c r="K96" s="203">
        <f>K92</f>
        <v>27459</v>
      </c>
      <c r="L96" s="203">
        <f t="shared" ref="L96:V96" si="13">L92</f>
        <v>37385.199999999983</v>
      </c>
      <c r="M96" s="203">
        <f t="shared" si="13"/>
        <v>51603.599999999977</v>
      </c>
      <c r="N96" s="203">
        <f t="shared" si="13"/>
        <v>66763</v>
      </c>
      <c r="O96" s="203">
        <f t="shared" si="13"/>
        <v>83863.000000000029</v>
      </c>
      <c r="P96" s="203">
        <f t="shared" si="13"/>
        <v>102821</v>
      </c>
      <c r="Q96" s="203">
        <f t="shared" si="13"/>
        <v>123679.79999999999</v>
      </c>
      <c r="R96" s="203">
        <f t="shared" si="13"/>
        <v>145210.40000000002</v>
      </c>
      <c r="S96" s="203">
        <f t="shared" si="13"/>
        <v>164338.99999999997</v>
      </c>
      <c r="T96" s="203">
        <f t="shared" si="13"/>
        <v>180334.80000000002</v>
      </c>
      <c r="U96" s="203">
        <f t="shared" si="13"/>
        <v>195646.60000000003</v>
      </c>
      <c r="V96" s="203">
        <f t="shared" si="13"/>
        <v>210404.19999999998</v>
      </c>
    </row>
    <row r="97" spans="2:22" x14ac:dyDescent="0.3">
      <c r="B97" t="s">
        <v>59</v>
      </c>
      <c r="E97" s="203">
        <f t="shared" si="12"/>
        <v>210404.19999999998</v>
      </c>
      <c r="F97" s="203">
        <f>'Statements Summary 2024'!V99</f>
        <v>566771.7178799687</v>
      </c>
      <c r="G97" s="203">
        <f>'Statements Summary 2025'!V99</f>
        <v>901762.8304843161</v>
      </c>
      <c r="H97" s="203">
        <f>'Statements Summary 2026'!V99</f>
        <v>1351105.743088664</v>
      </c>
      <c r="I97" s="203">
        <f>'Statements Summary 2027'!V99</f>
        <v>1748691.4556930114</v>
      </c>
      <c r="K97" s="203">
        <f>K96</f>
        <v>27459</v>
      </c>
      <c r="L97" s="203">
        <f t="shared" ref="L97:V97" si="14">L96</f>
        <v>37385.199999999983</v>
      </c>
      <c r="M97" s="203">
        <f t="shared" si="14"/>
        <v>51603.599999999977</v>
      </c>
      <c r="N97" s="203">
        <f t="shared" si="14"/>
        <v>66763</v>
      </c>
      <c r="O97" s="203">
        <f t="shared" si="14"/>
        <v>83863.000000000029</v>
      </c>
      <c r="P97" s="203">
        <f t="shared" si="14"/>
        <v>102821</v>
      </c>
      <c r="Q97" s="203">
        <f t="shared" si="14"/>
        <v>123679.79999999999</v>
      </c>
      <c r="R97" s="203">
        <f t="shared" si="14"/>
        <v>145210.40000000002</v>
      </c>
      <c r="S97" s="203">
        <f t="shared" si="14"/>
        <v>164338.99999999997</v>
      </c>
      <c r="T97" s="203">
        <f t="shared" si="14"/>
        <v>180334.80000000002</v>
      </c>
      <c r="U97" s="203">
        <f t="shared" si="14"/>
        <v>195646.60000000003</v>
      </c>
      <c r="V97" s="203">
        <f t="shared" si="14"/>
        <v>210404.19999999998</v>
      </c>
    </row>
    <row r="99" spans="2:22" x14ac:dyDescent="0.3">
      <c r="B99" s="177" t="s">
        <v>226</v>
      </c>
      <c r="C99" s="151"/>
      <c r="D99" s="151"/>
      <c r="E99" s="151"/>
      <c r="F99" s="151"/>
      <c r="G99" s="151"/>
      <c r="H99" s="151"/>
      <c r="I99" s="151"/>
      <c r="K99" s="349" t="s">
        <v>91</v>
      </c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91"/>
  <sheetViews>
    <sheetView showGridLines="0" topLeftCell="A49" workbookViewId="0">
      <selection activeCell="F66" sqref="F66"/>
    </sheetView>
  </sheetViews>
  <sheetFormatPr defaultRowHeight="14.4" x14ac:dyDescent="0.3"/>
  <cols>
    <col min="1" max="1" width="5" customWidth="1"/>
    <col min="2" max="2" width="3.88671875" customWidth="1"/>
    <col min="5" max="5" width="13.77734375" customWidth="1"/>
    <col min="6" max="6" width="10" style="127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7" t="s">
        <v>140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7"/>
      <c r="B5" s="150" t="s">
        <v>172</v>
      </c>
      <c r="C5" s="147"/>
      <c r="D5" s="147"/>
      <c r="E5" s="147"/>
      <c r="F5" s="200">
        <v>2024</v>
      </c>
      <c r="G5" s="200">
        <v>2024</v>
      </c>
      <c r="H5" s="200">
        <v>2024</v>
      </c>
      <c r="I5" s="200">
        <v>2024</v>
      </c>
      <c r="J5" s="200">
        <v>2024</v>
      </c>
      <c r="K5" s="200">
        <v>2024</v>
      </c>
      <c r="L5" s="200">
        <v>2024</v>
      </c>
      <c r="M5" s="200">
        <v>2024</v>
      </c>
      <c r="N5" s="200">
        <v>2024</v>
      </c>
      <c r="O5" s="200">
        <v>2024</v>
      </c>
      <c r="P5" s="200">
        <v>2024</v>
      </c>
      <c r="Q5" s="200">
        <v>2024</v>
      </c>
      <c r="R5" s="200">
        <v>2025</v>
      </c>
      <c r="S5" s="200">
        <v>2025</v>
      </c>
      <c r="T5" s="200">
        <v>2025</v>
      </c>
      <c r="U5" s="151" t="s">
        <v>72</v>
      </c>
    </row>
    <row r="6" spans="1:42" ht="15" thickBot="1" x14ac:dyDescent="0.35">
      <c r="A6" s="149"/>
      <c r="B6" s="156" t="s">
        <v>64</v>
      </c>
      <c r="C6" s="149"/>
      <c r="D6" s="149"/>
      <c r="E6" s="149"/>
      <c r="F6" s="199" t="s">
        <v>25</v>
      </c>
      <c r="G6" s="199" t="s">
        <v>26</v>
      </c>
      <c r="H6" s="199" t="s">
        <v>27</v>
      </c>
      <c r="I6" s="199" t="s">
        <v>28</v>
      </c>
      <c r="J6" s="199" t="s">
        <v>29</v>
      </c>
      <c r="K6" s="199" t="s">
        <v>30</v>
      </c>
      <c r="L6" s="199" t="s">
        <v>31</v>
      </c>
      <c r="M6" s="199" t="s">
        <v>32</v>
      </c>
      <c r="N6" s="199" t="s">
        <v>33</v>
      </c>
      <c r="O6" s="199" t="s">
        <v>34</v>
      </c>
      <c r="P6" s="199" t="s">
        <v>35</v>
      </c>
      <c r="Q6" s="199" t="s">
        <v>36</v>
      </c>
      <c r="R6" s="199" t="s">
        <v>25</v>
      </c>
      <c r="S6" s="199" t="s">
        <v>26</v>
      </c>
      <c r="T6" s="199" t="s">
        <v>27</v>
      </c>
      <c r="U6" s="162"/>
    </row>
    <row r="7" spans="1:42" s="12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30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9" t="s">
        <v>141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39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0.199999999999999" customHeight="1" x14ac:dyDescent="0.3">
      <c r="A10" s="9"/>
      <c r="B10" s="9"/>
      <c r="C10" s="139" t="s">
        <v>281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x14ac:dyDescent="0.3">
      <c r="A11" s="9"/>
      <c r="B11" s="9"/>
      <c r="C11" s="140" t="s">
        <v>273</v>
      </c>
      <c r="D11" s="9"/>
      <c r="E11" s="9"/>
      <c r="F11" s="328">
        <v>5322</v>
      </c>
      <c r="G11" s="328">
        <v>5915</v>
      </c>
      <c r="H11" s="328">
        <v>5915</v>
      </c>
      <c r="I11" s="328">
        <v>5915</v>
      </c>
      <c r="J11" s="328">
        <v>5915</v>
      </c>
      <c r="K11" s="328">
        <v>5915</v>
      </c>
      <c r="L11" s="328">
        <v>6029</v>
      </c>
      <c r="M11" s="328">
        <v>6226</v>
      </c>
      <c r="N11" s="328">
        <v>6430</v>
      </c>
      <c r="O11" s="328">
        <v>6799</v>
      </c>
      <c r="P11" s="328">
        <v>6964</v>
      </c>
      <c r="Q11" s="328">
        <v>6201</v>
      </c>
      <c r="R11" s="328">
        <f>'IS 2025'!F11</f>
        <v>5086</v>
      </c>
      <c r="S11" s="328">
        <f>'IS 2025'!G11</f>
        <v>5191</v>
      </c>
      <c r="T11" s="328">
        <f>'IS 2025'!H11</f>
        <v>5322</v>
      </c>
      <c r="U11" s="9"/>
    </row>
    <row r="12" spans="1:42" x14ac:dyDescent="0.3">
      <c r="A12" s="9"/>
      <c r="B12" s="9"/>
      <c r="C12" s="140" t="s">
        <v>274</v>
      </c>
      <c r="D12" s="9"/>
      <c r="E12" s="9"/>
      <c r="F12" s="328">
        <v>6357</v>
      </c>
      <c r="G12" s="328">
        <v>6357</v>
      </c>
      <c r="H12" s="328">
        <v>6489</v>
      </c>
      <c r="I12" s="328">
        <v>6653</v>
      </c>
      <c r="J12" s="328">
        <v>6802</v>
      </c>
      <c r="K12" s="328">
        <v>7130</v>
      </c>
      <c r="L12" s="328">
        <v>7393</v>
      </c>
      <c r="M12" s="328">
        <v>7537</v>
      </c>
      <c r="N12" s="328">
        <v>7782</v>
      </c>
      <c r="O12" s="328">
        <v>8037</v>
      </c>
      <c r="P12" s="328">
        <v>8499</v>
      </c>
      <c r="Q12" s="328">
        <v>7704</v>
      </c>
      <c r="R12" s="328">
        <f>'IS 2025'!F12</f>
        <v>6357</v>
      </c>
      <c r="S12" s="328">
        <f>'IS 2025'!G12</f>
        <v>6357</v>
      </c>
      <c r="T12" s="328">
        <f>'IS 2025'!H12</f>
        <v>6489</v>
      </c>
      <c r="U12" s="9"/>
    </row>
    <row r="13" spans="1:42" x14ac:dyDescent="0.3">
      <c r="A13" s="9"/>
      <c r="B13" s="9"/>
      <c r="C13" s="140" t="s">
        <v>276</v>
      </c>
      <c r="D13" s="9"/>
      <c r="E13" s="9"/>
      <c r="F13" s="328">
        <f>SUM(F11:F12)</f>
        <v>11679</v>
      </c>
      <c r="G13" s="328">
        <f t="shared" ref="G13:P13" si="0">SUM(G11:G12)</f>
        <v>12272</v>
      </c>
      <c r="H13" s="328">
        <f t="shared" si="0"/>
        <v>12404</v>
      </c>
      <c r="I13" s="328">
        <f t="shared" si="0"/>
        <v>12568</v>
      </c>
      <c r="J13" s="328">
        <f t="shared" si="0"/>
        <v>12717</v>
      </c>
      <c r="K13" s="328">
        <f t="shared" si="0"/>
        <v>13045</v>
      </c>
      <c r="L13" s="328">
        <f t="shared" si="0"/>
        <v>13422</v>
      </c>
      <c r="M13" s="328">
        <f t="shared" si="0"/>
        <v>13763</v>
      </c>
      <c r="N13" s="328">
        <f t="shared" si="0"/>
        <v>14212</v>
      </c>
      <c r="O13" s="328">
        <f t="shared" si="0"/>
        <v>14836</v>
      </c>
      <c r="P13" s="328">
        <f t="shared" si="0"/>
        <v>15463</v>
      </c>
      <c r="Q13" s="328">
        <f>SUM(Q11:Q12)</f>
        <v>13905</v>
      </c>
      <c r="R13" s="328">
        <f t="shared" ref="R13:T13" si="1">SUM(R11:R12)</f>
        <v>11443</v>
      </c>
      <c r="S13" s="328">
        <f t="shared" si="1"/>
        <v>11548</v>
      </c>
      <c r="T13" s="328">
        <f t="shared" si="1"/>
        <v>11811</v>
      </c>
      <c r="U13" s="9"/>
    </row>
    <row r="14" spans="1:42" x14ac:dyDescent="0.3">
      <c r="A14" s="9"/>
      <c r="B14" s="9"/>
      <c r="C14" s="140" t="s">
        <v>277</v>
      </c>
      <c r="D14" s="9"/>
      <c r="E14" s="9"/>
      <c r="F14" s="330">
        <v>15000</v>
      </c>
      <c r="G14" s="330">
        <v>15000</v>
      </c>
      <c r="H14" s="330">
        <v>15000</v>
      </c>
      <c r="I14" s="330">
        <v>15000</v>
      </c>
      <c r="J14" s="330">
        <v>15000</v>
      </c>
      <c r="K14" s="330">
        <v>15000</v>
      </c>
      <c r="L14" s="330">
        <v>15000</v>
      </c>
      <c r="M14" s="330">
        <v>15000</v>
      </c>
      <c r="N14" s="330">
        <v>15000</v>
      </c>
      <c r="O14" s="330">
        <v>15000</v>
      </c>
      <c r="P14" s="330">
        <v>15000</v>
      </c>
      <c r="Q14" s="330">
        <v>15000</v>
      </c>
      <c r="R14" s="330">
        <v>15001</v>
      </c>
      <c r="S14" s="330">
        <v>15002</v>
      </c>
      <c r="T14" s="330">
        <v>15003</v>
      </c>
      <c r="U14" s="9"/>
    </row>
    <row r="15" spans="1:42" x14ac:dyDescent="0.3">
      <c r="A15" s="9"/>
      <c r="B15" s="9"/>
      <c r="C15" s="140" t="s">
        <v>275</v>
      </c>
      <c r="D15" s="9"/>
      <c r="E15" s="9"/>
      <c r="F15" s="329">
        <f>F13/F$14</f>
        <v>0.77859999999999996</v>
      </c>
      <c r="G15" s="329">
        <f t="shared" ref="G15:T15" si="2">G13/G$14</f>
        <v>0.81813333333333338</v>
      </c>
      <c r="H15" s="329">
        <f t="shared" si="2"/>
        <v>0.8269333333333333</v>
      </c>
      <c r="I15" s="329">
        <f t="shared" si="2"/>
        <v>0.83786666666666665</v>
      </c>
      <c r="J15" s="329">
        <f t="shared" si="2"/>
        <v>0.8478</v>
      </c>
      <c r="K15" s="329">
        <f t="shared" si="2"/>
        <v>0.8696666666666667</v>
      </c>
      <c r="L15" s="329">
        <f t="shared" si="2"/>
        <v>0.89480000000000004</v>
      </c>
      <c r="M15" s="329">
        <f t="shared" si="2"/>
        <v>0.91753333333333331</v>
      </c>
      <c r="N15" s="329">
        <f t="shared" si="2"/>
        <v>0.94746666666666668</v>
      </c>
      <c r="O15" s="329">
        <f t="shared" si="2"/>
        <v>0.98906666666666665</v>
      </c>
      <c r="P15" s="329">
        <f t="shared" si="2"/>
        <v>1.0308666666666666</v>
      </c>
      <c r="Q15" s="329">
        <f t="shared" si="2"/>
        <v>0.92700000000000005</v>
      </c>
      <c r="R15" s="329">
        <f t="shared" si="2"/>
        <v>0.76281581227918138</v>
      </c>
      <c r="S15" s="329">
        <f t="shared" si="2"/>
        <v>0.76976403146247163</v>
      </c>
      <c r="T15" s="329">
        <f t="shared" si="2"/>
        <v>0.78724255148970201</v>
      </c>
      <c r="U15" s="9"/>
    </row>
    <row r="16" spans="1:42" x14ac:dyDescent="0.3">
      <c r="A16" s="9"/>
      <c r="B16" s="9"/>
      <c r="C16" s="140"/>
      <c r="D16" s="9"/>
      <c r="E16" s="9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9"/>
    </row>
    <row r="17" spans="1:21" x14ac:dyDescent="0.3">
      <c r="A17" s="9"/>
      <c r="B17" s="9"/>
      <c r="C17" s="139" t="s">
        <v>280</v>
      </c>
      <c r="D17" s="9"/>
      <c r="E17" s="9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9"/>
    </row>
    <row r="18" spans="1:21" x14ac:dyDescent="0.3">
      <c r="A18" s="9"/>
      <c r="B18" s="9"/>
      <c r="C18" s="140" t="s">
        <v>278</v>
      </c>
      <c r="D18" s="9"/>
      <c r="E18" s="9"/>
      <c r="F18" s="328">
        <v>7393</v>
      </c>
      <c r="G18" s="328">
        <v>7537</v>
      </c>
      <c r="H18" s="328">
        <v>7782</v>
      </c>
      <c r="I18" s="328">
        <v>8037</v>
      </c>
      <c r="J18" s="328">
        <v>8499</v>
      </c>
      <c r="K18" s="328">
        <v>8704</v>
      </c>
      <c r="L18" s="328">
        <v>8877</v>
      </c>
      <c r="M18" s="328">
        <v>8800</v>
      </c>
      <c r="N18" s="328">
        <v>7782</v>
      </c>
      <c r="O18" s="328">
        <v>7782</v>
      </c>
      <c r="P18" s="328">
        <v>6777</v>
      </c>
      <c r="Q18" s="328">
        <v>6777</v>
      </c>
      <c r="R18" s="328">
        <f>'IS 2025'!F18</f>
        <v>7393</v>
      </c>
      <c r="S18" s="328">
        <f>'IS 2025'!G18</f>
        <v>7537</v>
      </c>
      <c r="T18" s="328">
        <f>'IS 2025'!H18</f>
        <v>7782</v>
      </c>
      <c r="U18" s="9"/>
    </row>
    <row r="19" spans="1:21" x14ac:dyDescent="0.3">
      <c r="A19" s="9"/>
      <c r="B19" s="9"/>
      <c r="C19" s="140" t="s">
        <v>279</v>
      </c>
      <c r="D19" s="9"/>
      <c r="E19" s="9"/>
      <c r="F19" s="328">
        <v>8037</v>
      </c>
      <c r="G19" s="328">
        <v>8499</v>
      </c>
      <c r="H19" s="328">
        <v>9204</v>
      </c>
      <c r="I19" s="328">
        <v>9204</v>
      </c>
      <c r="J19" s="328">
        <v>11294</v>
      </c>
      <c r="K19" s="328">
        <v>12034</v>
      </c>
      <c r="L19" s="328">
        <v>12122</v>
      </c>
      <c r="M19" s="328">
        <v>12122</v>
      </c>
      <c r="N19" s="328">
        <v>8704</v>
      </c>
      <c r="O19" s="328">
        <v>7037</v>
      </c>
      <c r="P19" s="328">
        <v>7499</v>
      </c>
      <c r="Q19" s="328">
        <v>7304</v>
      </c>
      <c r="R19" s="328">
        <f>'IS 2025'!F19</f>
        <v>8037</v>
      </c>
      <c r="S19" s="328">
        <f>'IS 2025'!G19</f>
        <v>8499</v>
      </c>
      <c r="T19" s="328">
        <f>'IS 2025'!H19</f>
        <v>9204</v>
      </c>
      <c r="U19" s="9"/>
    </row>
    <row r="20" spans="1:21" x14ac:dyDescent="0.3">
      <c r="A20" s="9"/>
      <c r="B20" s="9"/>
      <c r="C20" s="140" t="s">
        <v>276</v>
      </c>
      <c r="D20" s="9"/>
      <c r="E20" s="9"/>
      <c r="F20" s="328">
        <f>SUM(F18:F19)</f>
        <v>15430</v>
      </c>
      <c r="G20" s="328">
        <f t="shared" ref="G20:T20" si="3">SUM(G18:G19)</f>
        <v>16036</v>
      </c>
      <c r="H20" s="328">
        <f t="shared" si="3"/>
        <v>16986</v>
      </c>
      <c r="I20" s="328">
        <f t="shared" si="3"/>
        <v>17241</v>
      </c>
      <c r="J20" s="328">
        <f t="shared" si="3"/>
        <v>19793</v>
      </c>
      <c r="K20" s="328">
        <f t="shared" si="3"/>
        <v>20738</v>
      </c>
      <c r="L20" s="328">
        <f t="shared" si="3"/>
        <v>20999</v>
      </c>
      <c r="M20" s="328">
        <f t="shared" si="3"/>
        <v>20922</v>
      </c>
      <c r="N20" s="328">
        <f t="shared" si="3"/>
        <v>16486</v>
      </c>
      <c r="O20" s="328">
        <f t="shared" si="3"/>
        <v>14819</v>
      </c>
      <c r="P20" s="328">
        <f t="shared" si="3"/>
        <v>14276</v>
      </c>
      <c r="Q20" s="328">
        <f t="shared" si="3"/>
        <v>14081</v>
      </c>
      <c r="R20" s="328">
        <f t="shared" si="3"/>
        <v>15430</v>
      </c>
      <c r="S20" s="328">
        <f t="shared" si="3"/>
        <v>16036</v>
      </c>
      <c r="T20" s="328">
        <f t="shared" si="3"/>
        <v>16986</v>
      </c>
      <c r="U20" s="9"/>
    </row>
    <row r="21" spans="1:21" x14ac:dyDescent="0.3">
      <c r="A21" s="9"/>
      <c r="B21" s="9"/>
      <c r="C21" s="140" t="s">
        <v>277</v>
      </c>
      <c r="D21" s="9"/>
      <c r="E21" s="9"/>
      <c r="F21" s="327">
        <v>21000</v>
      </c>
      <c r="G21" s="327">
        <v>21000</v>
      </c>
      <c r="H21" s="327">
        <v>21000</v>
      </c>
      <c r="I21" s="327">
        <v>21000</v>
      </c>
      <c r="J21" s="327">
        <v>21000</v>
      </c>
      <c r="K21" s="327">
        <v>21000</v>
      </c>
      <c r="L21" s="327">
        <v>21000</v>
      </c>
      <c r="M21" s="327">
        <v>21000</v>
      </c>
      <c r="N21" s="327">
        <v>21000</v>
      </c>
      <c r="O21" s="327">
        <v>21000</v>
      </c>
      <c r="P21" s="327">
        <v>21000</v>
      </c>
      <c r="Q21" s="327">
        <v>21000</v>
      </c>
      <c r="R21" s="327">
        <v>21001</v>
      </c>
      <c r="S21" s="327">
        <v>21002</v>
      </c>
      <c r="T21" s="327">
        <v>21003</v>
      </c>
      <c r="U21" s="9"/>
    </row>
    <row r="22" spans="1:21" x14ac:dyDescent="0.3">
      <c r="A22" s="9"/>
      <c r="B22" s="9"/>
      <c r="C22" s="140" t="s">
        <v>275</v>
      </c>
      <c r="D22" s="9"/>
      <c r="E22" s="9"/>
      <c r="F22" s="329">
        <f>F20/F$21</f>
        <v>0.73476190476190473</v>
      </c>
      <c r="G22" s="329">
        <f t="shared" ref="G22:T22" si="4">G20/G$21</f>
        <v>0.76361904761904764</v>
      </c>
      <c r="H22" s="329">
        <f t="shared" si="4"/>
        <v>0.80885714285714283</v>
      </c>
      <c r="I22" s="329">
        <f t="shared" si="4"/>
        <v>0.82099999999999995</v>
      </c>
      <c r="J22" s="329">
        <f t="shared" si="4"/>
        <v>0.94252380952380954</v>
      </c>
      <c r="K22" s="329">
        <f t="shared" si="4"/>
        <v>0.98752380952380947</v>
      </c>
      <c r="L22" s="329">
        <f t="shared" si="4"/>
        <v>0.99995238095238093</v>
      </c>
      <c r="M22" s="329">
        <f t="shared" si="4"/>
        <v>0.99628571428571433</v>
      </c>
      <c r="N22" s="329">
        <f t="shared" si="4"/>
        <v>0.78504761904761899</v>
      </c>
      <c r="O22" s="329">
        <f t="shared" si="4"/>
        <v>0.70566666666666666</v>
      </c>
      <c r="P22" s="329">
        <f t="shared" si="4"/>
        <v>0.67980952380952386</v>
      </c>
      <c r="Q22" s="329">
        <f t="shared" si="4"/>
        <v>0.67052380952380952</v>
      </c>
      <c r="R22" s="329">
        <f t="shared" si="4"/>
        <v>0.73472691776582066</v>
      </c>
      <c r="S22" s="329">
        <f t="shared" si="4"/>
        <v>0.76354632892105512</v>
      </c>
      <c r="T22" s="329">
        <f t="shared" si="4"/>
        <v>0.80874160834166553</v>
      </c>
      <c r="U22" s="9"/>
    </row>
    <row r="23" spans="1:21" x14ac:dyDescent="0.3">
      <c r="A23" s="9"/>
      <c r="B23" s="9"/>
      <c r="C23" s="140"/>
      <c r="D23" s="9"/>
      <c r="E23" s="9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9"/>
    </row>
    <row r="24" spans="1:21" x14ac:dyDescent="0.3">
      <c r="A24" s="147"/>
      <c r="B24" s="147"/>
      <c r="C24" s="150" t="s">
        <v>115</v>
      </c>
      <c r="D24" s="147"/>
      <c r="E24" s="147"/>
      <c r="F24" s="148">
        <f>SUM(F13+F20)</f>
        <v>27109</v>
      </c>
      <c r="G24" s="148">
        <f t="shared" ref="G24:T24" si="5">SUM(G13+G20)</f>
        <v>28308</v>
      </c>
      <c r="H24" s="148">
        <f t="shared" si="5"/>
        <v>29390</v>
      </c>
      <c r="I24" s="148">
        <f t="shared" si="5"/>
        <v>29809</v>
      </c>
      <c r="J24" s="148">
        <f t="shared" si="5"/>
        <v>32510</v>
      </c>
      <c r="K24" s="148">
        <f t="shared" si="5"/>
        <v>33783</v>
      </c>
      <c r="L24" s="148">
        <f t="shared" si="5"/>
        <v>34421</v>
      </c>
      <c r="M24" s="148">
        <f t="shared" si="5"/>
        <v>34685</v>
      </c>
      <c r="N24" s="148">
        <f t="shared" si="5"/>
        <v>30698</v>
      </c>
      <c r="O24" s="148">
        <f t="shared" si="5"/>
        <v>29655</v>
      </c>
      <c r="P24" s="148">
        <f t="shared" si="5"/>
        <v>29739</v>
      </c>
      <c r="Q24" s="148">
        <f t="shared" si="5"/>
        <v>27986</v>
      </c>
      <c r="R24" s="148">
        <f t="shared" si="5"/>
        <v>26873</v>
      </c>
      <c r="S24" s="148">
        <f t="shared" si="5"/>
        <v>27584</v>
      </c>
      <c r="T24" s="148">
        <f t="shared" si="5"/>
        <v>28797</v>
      </c>
      <c r="U24" s="158">
        <f>SUM(F24:Q24)</f>
        <v>368093</v>
      </c>
    </row>
    <row r="25" spans="1:21" x14ac:dyDescent="0.3">
      <c r="A25" s="149"/>
      <c r="B25" s="149"/>
      <c r="C25" s="156" t="s">
        <v>116</v>
      </c>
      <c r="D25" s="149"/>
      <c r="E25" s="149"/>
      <c r="F25" s="157">
        <f t="shared" ref="F25:H25" si="6">SUM(F26:F31)</f>
        <v>-2045</v>
      </c>
      <c r="G25" s="157">
        <f t="shared" si="6"/>
        <v>-2045</v>
      </c>
      <c r="H25" s="157">
        <f t="shared" si="6"/>
        <v>-2045</v>
      </c>
      <c r="I25" s="157">
        <f t="shared" ref="I25:T25" si="7">SUM(I26:I31)</f>
        <v>-2045</v>
      </c>
      <c r="J25" s="157">
        <f t="shared" si="7"/>
        <v>-2045</v>
      </c>
      <c r="K25" s="157">
        <f t="shared" si="7"/>
        <v>-2045</v>
      </c>
      <c r="L25" s="157">
        <f t="shared" si="7"/>
        <v>-2045</v>
      </c>
      <c r="M25" s="157">
        <f t="shared" si="7"/>
        <v>-2045</v>
      </c>
      <c r="N25" s="157">
        <f t="shared" si="7"/>
        <v>-2045</v>
      </c>
      <c r="O25" s="157">
        <f t="shared" si="7"/>
        <v>-2045</v>
      </c>
      <c r="P25" s="157">
        <f t="shared" si="7"/>
        <v>-2045</v>
      </c>
      <c r="Q25" s="157">
        <f t="shared" si="7"/>
        <v>-2045</v>
      </c>
      <c r="R25" s="157">
        <f t="shared" si="7"/>
        <v>-2045</v>
      </c>
      <c r="S25" s="157">
        <f t="shared" si="7"/>
        <v>-2045</v>
      </c>
      <c r="T25" s="157">
        <f t="shared" si="7"/>
        <v>-2045</v>
      </c>
      <c r="U25" s="153">
        <f>SUM(F25:Q25)</f>
        <v>-24540</v>
      </c>
    </row>
    <row r="26" spans="1:21" x14ac:dyDescent="0.3">
      <c r="A26" s="9"/>
      <c r="B26" s="9"/>
      <c r="C26" s="140" t="s">
        <v>203</v>
      </c>
      <c r="D26" s="9"/>
      <c r="E26" s="9"/>
      <c r="F26" s="432">
        <v>-1655</v>
      </c>
      <c r="G26" s="432">
        <v>-1655</v>
      </c>
      <c r="H26" s="432">
        <v>-1655</v>
      </c>
      <c r="I26" s="432">
        <v>-1655</v>
      </c>
      <c r="J26" s="432">
        <v>-1655</v>
      </c>
      <c r="K26" s="432">
        <v>-1655</v>
      </c>
      <c r="L26" s="432">
        <v>-1655</v>
      </c>
      <c r="M26" s="432">
        <v>-1655</v>
      </c>
      <c r="N26" s="432">
        <v>-1655</v>
      </c>
      <c r="O26" s="432">
        <v>-1655</v>
      </c>
      <c r="P26" s="432">
        <v>-1655</v>
      </c>
      <c r="Q26" s="432">
        <v>-1655</v>
      </c>
      <c r="R26" s="432">
        <v>-1655</v>
      </c>
      <c r="S26" s="432">
        <v>-1655</v>
      </c>
      <c r="T26" s="432">
        <v>-1655</v>
      </c>
      <c r="U26" s="432">
        <f t="shared" ref="U26:U32" si="8">SUM(F26:Q26)</f>
        <v>-19860</v>
      </c>
    </row>
    <row r="27" spans="1:21" x14ac:dyDescent="0.3">
      <c r="A27" s="9"/>
      <c r="B27" s="9"/>
      <c r="C27" s="140" t="s">
        <v>271</v>
      </c>
      <c r="D27" s="9"/>
      <c r="E27" s="9"/>
      <c r="F27" s="434">
        <v>-200</v>
      </c>
      <c r="G27" s="434">
        <v>-200</v>
      </c>
      <c r="H27" s="434">
        <v>-200</v>
      </c>
      <c r="I27" s="434">
        <v>-200</v>
      </c>
      <c r="J27" s="434">
        <v>-200</v>
      </c>
      <c r="K27" s="434">
        <v>-200</v>
      </c>
      <c r="L27" s="434">
        <v>-200</v>
      </c>
      <c r="M27" s="434">
        <v>-200</v>
      </c>
      <c r="N27" s="434">
        <v>-200</v>
      </c>
      <c r="O27" s="434">
        <v>-200</v>
      </c>
      <c r="P27" s="434">
        <v>-200</v>
      </c>
      <c r="Q27" s="434">
        <v>-200</v>
      </c>
      <c r="R27" s="434">
        <v>-200</v>
      </c>
      <c r="S27" s="434">
        <v>-200</v>
      </c>
      <c r="T27" s="434">
        <v>-200</v>
      </c>
      <c r="U27" s="432">
        <f t="shared" si="8"/>
        <v>-2400</v>
      </c>
    </row>
    <row r="28" spans="1:21" x14ac:dyDescent="0.3">
      <c r="A28" s="9"/>
      <c r="B28" s="9"/>
      <c r="C28" s="140" t="s">
        <v>126</v>
      </c>
      <c r="D28" s="9"/>
      <c r="E28" s="9"/>
      <c r="F28" s="434">
        <v>-125</v>
      </c>
      <c r="G28" s="434">
        <v>-125</v>
      </c>
      <c r="H28" s="434">
        <v>-125</v>
      </c>
      <c r="I28" s="434">
        <v>-125</v>
      </c>
      <c r="J28" s="434">
        <v>-125</v>
      </c>
      <c r="K28" s="434">
        <v>-125</v>
      </c>
      <c r="L28" s="434">
        <v>-125</v>
      </c>
      <c r="M28" s="434">
        <v>-125</v>
      </c>
      <c r="N28" s="434">
        <v>-125</v>
      </c>
      <c r="O28" s="434">
        <v>-125</v>
      </c>
      <c r="P28" s="434">
        <v>-125</v>
      </c>
      <c r="Q28" s="434">
        <v>-125</v>
      </c>
      <c r="R28" s="434">
        <v>-125</v>
      </c>
      <c r="S28" s="434">
        <v>-125</v>
      </c>
      <c r="T28" s="434">
        <v>-125</v>
      </c>
      <c r="U28" s="432">
        <f t="shared" si="8"/>
        <v>-1500</v>
      </c>
    </row>
    <row r="29" spans="1:21" x14ac:dyDescent="0.3">
      <c r="A29" s="9"/>
      <c r="B29" s="9"/>
      <c r="C29" s="140" t="s">
        <v>270</v>
      </c>
      <c r="D29" s="9"/>
      <c r="E29" s="9"/>
      <c r="F29" s="434">
        <v>-65</v>
      </c>
      <c r="G29" s="434">
        <v>-65</v>
      </c>
      <c r="H29" s="434">
        <v>-65</v>
      </c>
      <c r="I29" s="434">
        <v>-65</v>
      </c>
      <c r="J29" s="434">
        <v>-65</v>
      </c>
      <c r="K29" s="434">
        <v>-65</v>
      </c>
      <c r="L29" s="434">
        <v>-65</v>
      </c>
      <c r="M29" s="434">
        <v>-65</v>
      </c>
      <c r="N29" s="434">
        <v>-65</v>
      </c>
      <c r="O29" s="434">
        <v>-65</v>
      </c>
      <c r="P29" s="434">
        <v>-65</v>
      </c>
      <c r="Q29" s="434">
        <v>-65</v>
      </c>
      <c r="R29" s="434">
        <v>-65</v>
      </c>
      <c r="S29" s="434">
        <v>-65</v>
      </c>
      <c r="T29" s="434">
        <v>-65</v>
      </c>
      <c r="U29" s="432">
        <f t="shared" si="8"/>
        <v>-780</v>
      </c>
    </row>
    <row r="30" spans="1:21" x14ac:dyDescent="0.3">
      <c r="A30" s="9"/>
      <c r="B30" s="9"/>
      <c r="C30" s="140" t="s">
        <v>61</v>
      </c>
      <c r="D30" s="9"/>
      <c r="E30" s="9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2"/>
    </row>
    <row r="31" spans="1:21" x14ac:dyDescent="0.3">
      <c r="A31" s="9"/>
      <c r="B31" s="9"/>
      <c r="C31" s="140" t="s">
        <v>208</v>
      </c>
      <c r="D31" s="9"/>
      <c r="E31" s="9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2"/>
    </row>
    <row r="32" spans="1:21" x14ac:dyDescent="0.3">
      <c r="A32" s="9"/>
      <c r="B32" s="9"/>
      <c r="C32" s="140" t="s">
        <v>209</v>
      </c>
      <c r="D32" s="9"/>
      <c r="E32" s="9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2"/>
    </row>
    <row r="33" spans="1:21" x14ac:dyDescent="0.3">
      <c r="A33" s="9"/>
      <c r="B33" s="9"/>
      <c r="C33" s="138"/>
      <c r="D33" s="9"/>
      <c r="E33" s="9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2"/>
    </row>
    <row r="34" spans="1:21" x14ac:dyDescent="0.3">
      <c r="A34" s="159"/>
      <c r="B34" s="159"/>
      <c r="C34" s="160" t="s">
        <v>4</v>
      </c>
      <c r="D34" s="159"/>
      <c r="E34" s="159"/>
      <c r="F34" s="161">
        <f>SUM(F24+F25)</f>
        <v>25064</v>
      </c>
      <c r="G34" s="161">
        <f t="shared" ref="G34:T34" si="9">SUM(G24+G25)</f>
        <v>26263</v>
      </c>
      <c r="H34" s="161">
        <f t="shared" si="9"/>
        <v>27345</v>
      </c>
      <c r="I34" s="161">
        <f t="shared" si="9"/>
        <v>27764</v>
      </c>
      <c r="J34" s="161">
        <f t="shared" si="9"/>
        <v>30465</v>
      </c>
      <c r="K34" s="161">
        <f t="shared" si="9"/>
        <v>31738</v>
      </c>
      <c r="L34" s="161">
        <f t="shared" si="9"/>
        <v>32376</v>
      </c>
      <c r="M34" s="161">
        <f t="shared" si="9"/>
        <v>32640</v>
      </c>
      <c r="N34" s="161">
        <f t="shared" si="9"/>
        <v>28653</v>
      </c>
      <c r="O34" s="161">
        <f t="shared" si="9"/>
        <v>27610</v>
      </c>
      <c r="P34" s="161">
        <f t="shared" si="9"/>
        <v>27694</v>
      </c>
      <c r="Q34" s="161">
        <f t="shared" si="9"/>
        <v>25941</v>
      </c>
      <c r="R34" s="161">
        <f t="shared" si="9"/>
        <v>24828</v>
      </c>
      <c r="S34" s="161">
        <f t="shared" si="9"/>
        <v>25539</v>
      </c>
      <c r="T34" s="161">
        <f t="shared" si="9"/>
        <v>26752</v>
      </c>
      <c r="U34" s="302">
        <f t="shared" ref="U34:U73" si="10">SUM(F34:Q34)</f>
        <v>343553</v>
      </c>
    </row>
    <row r="35" spans="1:21" x14ac:dyDescent="0.3">
      <c r="A35" s="9"/>
      <c r="B35" s="9"/>
      <c r="C35" s="138"/>
      <c r="D35" s="9"/>
      <c r="E35" s="9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2"/>
    </row>
    <row r="36" spans="1:21" x14ac:dyDescent="0.3">
      <c r="A36" s="9"/>
      <c r="B36" s="9"/>
      <c r="C36" s="139" t="s">
        <v>5</v>
      </c>
      <c r="D36" s="9"/>
      <c r="E36" s="9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2"/>
    </row>
    <row r="37" spans="1:21" x14ac:dyDescent="0.3">
      <c r="A37" s="9"/>
      <c r="B37" s="9"/>
      <c r="C37" s="140" t="s">
        <v>269</v>
      </c>
      <c r="D37" s="9"/>
      <c r="E37" s="9"/>
      <c r="F37" s="432">
        <v>-975</v>
      </c>
      <c r="G37" s="432">
        <v>-975</v>
      </c>
      <c r="H37" s="432">
        <v>-975</v>
      </c>
      <c r="I37" s="432">
        <v>-975</v>
      </c>
      <c r="J37" s="432">
        <v>-975</v>
      </c>
      <c r="K37" s="432">
        <v>-975</v>
      </c>
      <c r="L37" s="432">
        <v>-975</v>
      </c>
      <c r="M37" s="432">
        <v>-975</v>
      </c>
      <c r="N37" s="432">
        <v>-975</v>
      </c>
      <c r="O37" s="432">
        <v>-975</v>
      </c>
      <c r="P37" s="432">
        <v>-975</v>
      </c>
      <c r="Q37" s="432">
        <v>-975</v>
      </c>
      <c r="R37" s="432">
        <v>-975</v>
      </c>
      <c r="S37" s="432">
        <v>-975</v>
      </c>
      <c r="T37" s="432">
        <v>-975</v>
      </c>
      <c r="U37" s="432">
        <f t="shared" si="10"/>
        <v>-11700</v>
      </c>
    </row>
    <row r="38" spans="1:21" x14ac:dyDescent="0.3">
      <c r="A38" s="9"/>
      <c r="B38" s="9"/>
      <c r="C38" s="140" t="s">
        <v>268</v>
      </c>
      <c r="D38" s="9"/>
      <c r="E38" s="9"/>
      <c r="F38" s="432">
        <v>-493</v>
      </c>
      <c r="G38" s="432">
        <v>-493</v>
      </c>
      <c r="H38" s="432">
        <v>-493</v>
      </c>
      <c r="I38" s="432">
        <v>-493</v>
      </c>
      <c r="J38" s="432">
        <v>-493</v>
      </c>
      <c r="K38" s="432">
        <v>-493</v>
      </c>
      <c r="L38" s="432">
        <v>-493</v>
      </c>
      <c r="M38" s="432">
        <v>-493</v>
      </c>
      <c r="N38" s="432">
        <v>-493</v>
      </c>
      <c r="O38" s="432">
        <v>-493</v>
      </c>
      <c r="P38" s="432">
        <v>-493</v>
      </c>
      <c r="Q38" s="432">
        <v>-493</v>
      </c>
      <c r="R38" s="432">
        <v>-493</v>
      </c>
      <c r="S38" s="432">
        <v>-493</v>
      </c>
      <c r="T38" s="432">
        <v>-493</v>
      </c>
      <c r="U38" s="432">
        <f t="shared" si="10"/>
        <v>-5916</v>
      </c>
    </row>
    <row r="39" spans="1:21" x14ac:dyDescent="0.3">
      <c r="A39" s="9"/>
      <c r="B39" s="9"/>
      <c r="C39" s="140" t="s">
        <v>283</v>
      </c>
      <c r="D39" s="9"/>
      <c r="E39" s="9"/>
      <c r="F39" s="432">
        <v>-493</v>
      </c>
      <c r="G39" s="432">
        <v>-493</v>
      </c>
      <c r="H39" s="432">
        <v>-493</v>
      </c>
      <c r="I39" s="432">
        <v>-493</v>
      </c>
      <c r="J39" s="432">
        <v>-493</v>
      </c>
      <c r="K39" s="432">
        <v>-493</v>
      </c>
      <c r="L39" s="432">
        <v>-493</v>
      </c>
      <c r="M39" s="432">
        <v>-493</v>
      </c>
      <c r="N39" s="432">
        <v>-493</v>
      </c>
      <c r="O39" s="432">
        <v>-493</v>
      </c>
      <c r="P39" s="432">
        <v>-493</v>
      </c>
      <c r="Q39" s="432">
        <v>-493</v>
      </c>
      <c r="R39" s="432">
        <v>-493</v>
      </c>
      <c r="S39" s="432">
        <v>-493</v>
      </c>
      <c r="T39" s="432">
        <v>-493</v>
      </c>
      <c r="U39" s="432">
        <f t="shared" si="10"/>
        <v>-5916</v>
      </c>
    </row>
    <row r="40" spans="1:21" x14ac:dyDescent="0.3">
      <c r="A40" s="9"/>
      <c r="B40" s="9"/>
      <c r="C40" s="140" t="s">
        <v>282</v>
      </c>
      <c r="D40" s="9"/>
      <c r="E40" s="9"/>
      <c r="F40" s="433">
        <v>-1070</v>
      </c>
      <c r="G40" s="433">
        <v>-1070</v>
      </c>
      <c r="H40" s="433">
        <v>-1070</v>
      </c>
      <c r="I40" s="433">
        <v>-1070</v>
      </c>
      <c r="J40" s="433">
        <v>-1070</v>
      </c>
      <c r="K40" s="433">
        <v>-1070</v>
      </c>
      <c r="L40" s="433">
        <v>-1070</v>
      </c>
      <c r="M40" s="433">
        <v>-1070</v>
      </c>
      <c r="N40" s="433">
        <v>-1070</v>
      </c>
      <c r="O40" s="433">
        <v>-1070</v>
      </c>
      <c r="P40" s="433">
        <v>-1070</v>
      </c>
      <c r="Q40" s="433">
        <v>-1070</v>
      </c>
      <c r="R40" s="433">
        <v>-1070</v>
      </c>
      <c r="S40" s="433">
        <v>-1070</v>
      </c>
      <c r="T40" s="433">
        <v>-1070</v>
      </c>
      <c r="U40" s="432">
        <f t="shared" si="10"/>
        <v>-12840</v>
      </c>
    </row>
    <row r="41" spans="1:21" x14ac:dyDescent="0.3">
      <c r="A41" s="9"/>
      <c r="B41" s="9"/>
      <c r="C41" s="140" t="s">
        <v>120</v>
      </c>
      <c r="D41" s="9"/>
      <c r="E41" s="9"/>
      <c r="F41" s="155" t="s">
        <v>143</v>
      </c>
      <c r="G41" s="155" t="s">
        <v>143</v>
      </c>
      <c r="H41" s="155" t="s">
        <v>143</v>
      </c>
      <c r="I41" s="155" t="s">
        <v>143</v>
      </c>
      <c r="J41" s="155" t="s">
        <v>143</v>
      </c>
      <c r="K41" s="155" t="s">
        <v>143</v>
      </c>
      <c r="L41" s="155" t="s">
        <v>143</v>
      </c>
      <c r="M41" s="155" t="s">
        <v>143</v>
      </c>
      <c r="N41" s="155" t="s">
        <v>143</v>
      </c>
      <c r="O41" s="155" t="s">
        <v>143</v>
      </c>
      <c r="P41" s="155" t="s">
        <v>143</v>
      </c>
      <c r="Q41" s="155" t="s">
        <v>143</v>
      </c>
      <c r="R41" s="155" t="s">
        <v>143</v>
      </c>
      <c r="S41" s="155" t="s">
        <v>143</v>
      </c>
      <c r="T41" s="155" t="s">
        <v>143</v>
      </c>
      <c r="U41" s="132"/>
    </row>
    <row r="42" spans="1:21" x14ac:dyDescent="0.3">
      <c r="A42" s="9"/>
      <c r="B42" s="9"/>
      <c r="C42" s="140" t="s">
        <v>121</v>
      </c>
      <c r="D42" s="9"/>
      <c r="E42" s="9"/>
      <c r="F42" s="301" t="s">
        <v>143</v>
      </c>
      <c r="G42" s="301" t="s">
        <v>143</v>
      </c>
      <c r="H42" s="301" t="s">
        <v>143</v>
      </c>
      <c r="I42" s="301" t="s">
        <v>143</v>
      </c>
      <c r="J42" s="301" t="s">
        <v>143</v>
      </c>
      <c r="K42" s="301" t="s">
        <v>143</v>
      </c>
      <c r="L42" s="301" t="s">
        <v>143</v>
      </c>
      <c r="M42" s="301" t="s">
        <v>143</v>
      </c>
      <c r="N42" s="301" t="s">
        <v>143</v>
      </c>
      <c r="O42" s="301" t="s">
        <v>143</v>
      </c>
      <c r="P42" s="301" t="s">
        <v>143</v>
      </c>
      <c r="Q42" s="301" t="s">
        <v>143</v>
      </c>
      <c r="R42" s="301" t="s">
        <v>143</v>
      </c>
      <c r="S42" s="301" t="s">
        <v>143</v>
      </c>
      <c r="T42" s="301" t="s">
        <v>143</v>
      </c>
      <c r="U42" s="132"/>
    </row>
    <row r="43" spans="1:21" x14ac:dyDescent="0.3">
      <c r="A43" s="9"/>
      <c r="B43" s="9"/>
      <c r="C43" s="140" t="s">
        <v>122</v>
      </c>
      <c r="D43" s="9"/>
      <c r="E43" s="9"/>
      <c r="F43" s="301" t="s">
        <v>143</v>
      </c>
      <c r="G43" s="301" t="s">
        <v>143</v>
      </c>
      <c r="H43" s="301" t="s">
        <v>143</v>
      </c>
      <c r="I43" s="301" t="s">
        <v>143</v>
      </c>
      <c r="J43" s="301" t="s">
        <v>143</v>
      </c>
      <c r="K43" s="301" t="s">
        <v>143</v>
      </c>
      <c r="L43" s="301" t="s">
        <v>143</v>
      </c>
      <c r="M43" s="301" t="s">
        <v>143</v>
      </c>
      <c r="N43" s="301" t="s">
        <v>143</v>
      </c>
      <c r="O43" s="301" t="s">
        <v>143</v>
      </c>
      <c r="P43" s="301" t="s">
        <v>143</v>
      </c>
      <c r="Q43" s="301" t="s">
        <v>143</v>
      </c>
      <c r="R43" s="301" t="s">
        <v>143</v>
      </c>
      <c r="S43" s="301" t="s">
        <v>143</v>
      </c>
      <c r="T43" s="301" t="s">
        <v>143</v>
      </c>
      <c r="U43" s="132"/>
    </row>
    <row r="44" spans="1:21" x14ac:dyDescent="0.3">
      <c r="A44" s="9"/>
      <c r="B44" s="9"/>
      <c r="C44" s="140" t="s">
        <v>123</v>
      </c>
      <c r="D44" s="9"/>
      <c r="E44" s="9"/>
      <c r="F44" s="301" t="s">
        <v>143</v>
      </c>
      <c r="G44" s="301" t="s">
        <v>143</v>
      </c>
      <c r="H44" s="301" t="s">
        <v>143</v>
      </c>
      <c r="I44" s="301" t="s">
        <v>143</v>
      </c>
      <c r="J44" s="301" t="s">
        <v>143</v>
      </c>
      <c r="K44" s="301" t="s">
        <v>143</v>
      </c>
      <c r="L44" s="301" t="s">
        <v>143</v>
      </c>
      <c r="M44" s="301" t="s">
        <v>143</v>
      </c>
      <c r="N44" s="301" t="s">
        <v>143</v>
      </c>
      <c r="O44" s="301" t="s">
        <v>143</v>
      </c>
      <c r="P44" s="301" t="s">
        <v>143</v>
      </c>
      <c r="Q44" s="301" t="s">
        <v>143</v>
      </c>
      <c r="R44" s="301" t="s">
        <v>143</v>
      </c>
      <c r="S44" s="301" t="s">
        <v>143</v>
      </c>
      <c r="T44" s="301" t="s">
        <v>143</v>
      </c>
      <c r="U44" s="132"/>
    </row>
    <row r="45" spans="1:21" x14ac:dyDescent="0.3">
      <c r="A45" s="9"/>
      <c r="B45" s="9"/>
      <c r="C45" s="140"/>
      <c r="D45" s="9"/>
      <c r="E45" s="9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32"/>
    </row>
    <row r="46" spans="1:21" x14ac:dyDescent="0.3">
      <c r="A46" s="151"/>
      <c r="B46" s="151"/>
      <c r="C46" s="177" t="s">
        <v>124</v>
      </c>
      <c r="D46" s="151"/>
      <c r="E46" s="151"/>
      <c r="F46" s="158">
        <f>SUM(F37:F44)</f>
        <v>-3031</v>
      </c>
      <c r="G46" s="158">
        <f t="shared" ref="G46:T46" si="11">SUM(G37:G44)</f>
        <v>-3031</v>
      </c>
      <c r="H46" s="158">
        <f t="shared" si="11"/>
        <v>-3031</v>
      </c>
      <c r="I46" s="158">
        <f t="shared" si="11"/>
        <v>-3031</v>
      </c>
      <c r="J46" s="158">
        <f t="shared" si="11"/>
        <v>-3031</v>
      </c>
      <c r="K46" s="158">
        <f t="shared" si="11"/>
        <v>-3031</v>
      </c>
      <c r="L46" s="158">
        <f t="shared" si="11"/>
        <v>-3031</v>
      </c>
      <c r="M46" s="158">
        <f t="shared" si="11"/>
        <v>-3031</v>
      </c>
      <c r="N46" s="158">
        <f t="shared" si="11"/>
        <v>-3031</v>
      </c>
      <c r="O46" s="158">
        <f t="shared" si="11"/>
        <v>-3031</v>
      </c>
      <c r="P46" s="158">
        <f t="shared" si="11"/>
        <v>-3031</v>
      </c>
      <c r="Q46" s="158">
        <f t="shared" si="11"/>
        <v>-3031</v>
      </c>
      <c r="R46" s="158">
        <f t="shared" si="11"/>
        <v>-3031</v>
      </c>
      <c r="S46" s="158">
        <f t="shared" si="11"/>
        <v>-3031</v>
      </c>
      <c r="T46" s="158">
        <f t="shared" si="11"/>
        <v>-3031</v>
      </c>
      <c r="U46" s="158">
        <f t="shared" si="10"/>
        <v>-36372</v>
      </c>
    </row>
    <row r="47" spans="1:21" x14ac:dyDescent="0.3">
      <c r="A47" s="152"/>
      <c r="B47" s="152"/>
      <c r="C47" s="188" t="s">
        <v>125</v>
      </c>
      <c r="D47" s="152"/>
      <c r="E47" s="152"/>
      <c r="F47" s="153">
        <v>-3000</v>
      </c>
      <c r="G47" s="153">
        <v>-3000</v>
      </c>
      <c r="H47" s="153">
        <v>-3000</v>
      </c>
      <c r="I47" s="153">
        <v>-3000</v>
      </c>
      <c r="J47" s="153">
        <v>-3000</v>
      </c>
      <c r="K47" s="153">
        <v>-3000</v>
      </c>
      <c r="L47" s="153">
        <v>-3000</v>
      </c>
      <c r="M47" s="153">
        <v>-3000</v>
      </c>
      <c r="N47" s="153">
        <v>-3000</v>
      </c>
      <c r="O47" s="153">
        <v>-3000</v>
      </c>
      <c r="P47" s="153">
        <v>-3000</v>
      </c>
      <c r="Q47" s="153">
        <v>-3000</v>
      </c>
      <c r="R47" s="153">
        <v>-3000</v>
      </c>
      <c r="S47" s="153">
        <v>-3000</v>
      </c>
      <c r="T47" s="153">
        <v>-3000</v>
      </c>
      <c r="U47" s="153">
        <f t="shared" si="10"/>
        <v>-36000</v>
      </c>
    </row>
    <row r="48" spans="1:21" x14ac:dyDescent="0.3">
      <c r="A48" s="9"/>
      <c r="B48" s="9"/>
      <c r="C48" s="138"/>
      <c r="D48" s="9"/>
      <c r="E48" s="9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2"/>
    </row>
    <row r="49" spans="1:21" x14ac:dyDescent="0.3">
      <c r="A49" s="9"/>
      <c r="B49" s="9"/>
      <c r="C49" s="139" t="s">
        <v>24</v>
      </c>
      <c r="D49" s="9"/>
      <c r="E49" s="9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2"/>
    </row>
    <row r="50" spans="1:21" x14ac:dyDescent="0.3">
      <c r="A50" s="9"/>
      <c r="B50" s="9"/>
      <c r="C50" s="138" t="s">
        <v>284</v>
      </c>
      <c r="D50" s="9"/>
      <c r="E50" s="9"/>
      <c r="F50" s="432">
        <v>-350</v>
      </c>
      <c r="G50" s="432">
        <v>-350</v>
      </c>
      <c r="H50" s="432">
        <v>-350</v>
      </c>
      <c r="I50" s="432">
        <v>-350</v>
      </c>
      <c r="J50" s="432">
        <v>-350</v>
      </c>
      <c r="K50" s="432">
        <v>-350</v>
      </c>
      <c r="L50" s="432">
        <v>-350</v>
      </c>
      <c r="M50" s="432">
        <v>-350</v>
      </c>
      <c r="N50" s="432">
        <v>-350</v>
      </c>
      <c r="O50" s="432">
        <v>-350</v>
      </c>
      <c r="P50" s="432">
        <v>-350</v>
      </c>
      <c r="Q50" s="432">
        <v>-350</v>
      </c>
      <c r="R50" s="432">
        <v>-350</v>
      </c>
      <c r="S50" s="432">
        <v>-350</v>
      </c>
      <c r="T50" s="432">
        <v>-350</v>
      </c>
      <c r="U50" s="432">
        <f t="shared" si="10"/>
        <v>-4200</v>
      </c>
    </row>
    <row r="51" spans="1:21" x14ac:dyDescent="0.3">
      <c r="A51" s="9"/>
      <c r="B51" s="9"/>
      <c r="C51" s="138" t="s">
        <v>255</v>
      </c>
      <c r="D51" s="9"/>
      <c r="E51" s="9"/>
      <c r="F51" s="432">
        <v>-550</v>
      </c>
      <c r="G51" s="432">
        <v>-550</v>
      </c>
      <c r="H51" s="432">
        <v>-550</v>
      </c>
      <c r="I51" s="432">
        <v>-550</v>
      </c>
      <c r="J51" s="432">
        <v>-550</v>
      </c>
      <c r="K51" s="432">
        <v>-550</v>
      </c>
      <c r="L51" s="432">
        <v>-550</v>
      </c>
      <c r="M51" s="432">
        <v>-550</v>
      </c>
      <c r="N51" s="432">
        <v>-550</v>
      </c>
      <c r="O51" s="432">
        <v>-550</v>
      </c>
      <c r="P51" s="432">
        <v>-550</v>
      </c>
      <c r="Q51" s="432">
        <v>-550</v>
      </c>
      <c r="R51" s="432">
        <v>-550</v>
      </c>
      <c r="S51" s="432">
        <v>-550</v>
      </c>
      <c r="T51" s="432">
        <v>-550</v>
      </c>
      <c r="U51" s="432">
        <f t="shared" si="10"/>
        <v>-6600</v>
      </c>
    </row>
    <row r="52" spans="1:21" x14ac:dyDescent="0.3">
      <c r="A52" s="9"/>
      <c r="B52" s="9"/>
      <c r="C52" s="138" t="s">
        <v>126</v>
      </c>
      <c r="D52" s="9"/>
      <c r="E52" s="9"/>
      <c r="F52" s="432">
        <v>-700</v>
      </c>
      <c r="G52" s="432">
        <v>-700</v>
      </c>
      <c r="H52" s="432">
        <v>-700</v>
      </c>
      <c r="I52" s="432">
        <v>-700</v>
      </c>
      <c r="J52" s="432">
        <v>-700</v>
      </c>
      <c r="K52" s="432">
        <v>-700</v>
      </c>
      <c r="L52" s="432">
        <v>-700</v>
      </c>
      <c r="M52" s="432">
        <v>-700</v>
      </c>
      <c r="N52" s="432">
        <v>-700</v>
      </c>
      <c r="O52" s="432">
        <v>-700</v>
      </c>
      <c r="P52" s="432">
        <v>-700</v>
      </c>
      <c r="Q52" s="432">
        <v>-700</v>
      </c>
      <c r="R52" s="432">
        <v>-700</v>
      </c>
      <c r="S52" s="432">
        <v>-700</v>
      </c>
      <c r="T52" s="432">
        <v>-700</v>
      </c>
      <c r="U52" s="432">
        <f t="shared" si="10"/>
        <v>-8400</v>
      </c>
    </row>
    <row r="53" spans="1:21" x14ac:dyDescent="0.3">
      <c r="A53" s="9"/>
      <c r="B53" s="9"/>
      <c r="C53" s="138" t="s">
        <v>223</v>
      </c>
      <c r="D53" s="9"/>
      <c r="E53" s="9"/>
      <c r="F53" s="432">
        <v>-550</v>
      </c>
      <c r="G53" s="432">
        <v>-550</v>
      </c>
      <c r="H53" s="432">
        <v>-550</v>
      </c>
      <c r="I53" s="432">
        <v>-550</v>
      </c>
      <c r="J53" s="432">
        <v>-550</v>
      </c>
      <c r="K53" s="432">
        <v>-550</v>
      </c>
      <c r="L53" s="432">
        <v>-550</v>
      </c>
      <c r="M53" s="432">
        <v>-550</v>
      </c>
      <c r="N53" s="432">
        <v>-550</v>
      </c>
      <c r="O53" s="432">
        <v>-550</v>
      </c>
      <c r="P53" s="432">
        <v>-550</v>
      </c>
      <c r="Q53" s="432">
        <v>-550</v>
      </c>
      <c r="R53" s="432">
        <v>-550</v>
      </c>
      <c r="S53" s="432">
        <v>-550</v>
      </c>
      <c r="T53" s="432">
        <v>-550</v>
      </c>
      <c r="U53" s="432">
        <f t="shared" si="10"/>
        <v>-6600</v>
      </c>
    </row>
    <row r="54" spans="1:21" x14ac:dyDescent="0.3">
      <c r="A54" s="9"/>
      <c r="B54" s="9"/>
      <c r="C54" s="138" t="s">
        <v>270</v>
      </c>
      <c r="D54" s="9"/>
      <c r="E54" s="9"/>
      <c r="F54" s="432">
        <v>-900</v>
      </c>
      <c r="G54" s="432">
        <v>-900</v>
      </c>
      <c r="H54" s="432">
        <v>-900</v>
      </c>
      <c r="I54" s="432">
        <v>-900</v>
      </c>
      <c r="J54" s="432">
        <v>-900</v>
      </c>
      <c r="K54" s="432">
        <v>-900</v>
      </c>
      <c r="L54" s="432">
        <v>-900</v>
      </c>
      <c r="M54" s="432">
        <v>-900</v>
      </c>
      <c r="N54" s="432">
        <v>-900</v>
      </c>
      <c r="O54" s="432">
        <v>-900</v>
      </c>
      <c r="P54" s="432">
        <v>-900</v>
      </c>
      <c r="Q54" s="432">
        <v>-900</v>
      </c>
      <c r="R54" s="432">
        <v>-900</v>
      </c>
      <c r="S54" s="432">
        <v>-900</v>
      </c>
      <c r="T54" s="432">
        <v>-900</v>
      </c>
      <c r="U54" s="432">
        <f t="shared" si="10"/>
        <v>-10800</v>
      </c>
    </row>
    <row r="55" spans="1:21" x14ac:dyDescent="0.3">
      <c r="A55" s="9"/>
      <c r="B55" s="9"/>
      <c r="C55" s="138" t="s">
        <v>127</v>
      </c>
      <c r="D55" s="9"/>
      <c r="E55" s="9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2"/>
    </row>
    <row r="56" spans="1:21" x14ac:dyDescent="0.3">
      <c r="A56" s="9"/>
      <c r="B56" s="9"/>
      <c r="C56" s="140" t="s">
        <v>128</v>
      </c>
      <c r="D56" s="9"/>
      <c r="E56" s="9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2"/>
    </row>
    <row r="57" spans="1:21" x14ac:dyDescent="0.3">
      <c r="A57" s="9"/>
      <c r="B57" s="9"/>
      <c r="C57" s="140" t="s">
        <v>129</v>
      </c>
      <c r="D57" s="9"/>
      <c r="E57" s="9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2"/>
    </row>
    <row r="58" spans="1:21" x14ac:dyDescent="0.3">
      <c r="A58" s="9"/>
      <c r="B58" s="9"/>
      <c r="C58" s="140" t="s">
        <v>130</v>
      </c>
      <c r="D58" s="9"/>
      <c r="E58" s="9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2"/>
    </row>
    <row r="59" spans="1:21" x14ac:dyDescent="0.3">
      <c r="A59" s="9"/>
      <c r="B59" s="9"/>
      <c r="C59" s="140" t="s">
        <v>131</v>
      </c>
      <c r="D59" s="9"/>
      <c r="E59" s="9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2"/>
    </row>
    <row r="60" spans="1:21" x14ac:dyDescent="0.3">
      <c r="A60" s="9"/>
      <c r="B60" s="9"/>
      <c r="C60" s="140" t="s">
        <v>132</v>
      </c>
      <c r="D60" s="9"/>
      <c r="E60" s="9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2"/>
    </row>
    <row r="61" spans="1:21" x14ac:dyDescent="0.3">
      <c r="A61" s="9"/>
      <c r="B61" s="9"/>
      <c r="C61" s="140" t="s">
        <v>133</v>
      </c>
      <c r="D61" s="9"/>
      <c r="E61" s="9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2"/>
    </row>
    <row r="62" spans="1:21" x14ac:dyDescent="0.3">
      <c r="A62" s="9"/>
      <c r="B62" s="9"/>
      <c r="C62" s="140" t="s">
        <v>134</v>
      </c>
      <c r="D62" s="9"/>
      <c r="E62" s="9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2"/>
    </row>
    <row r="63" spans="1:21" x14ac:dyDescent="0.3">
      <c r="A63" s="9"/>
      <c r="B63" s="9"/>
      <c r="C63" s="140" t="s">
        <v>135</v>
      </c>
      <c r="D63" s="9"/>
      <c r="E63" s="9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2"/>
    </row>
    <row r="64" spans="1:21" x14ac:dyDescent="0.3">
      <c r="A64" s="9"/>
      <c r="B64" s="9"/>
      <c r="C64" s="140" t="s">
        <v>136</v>
      </c>
      <c r="D64" s="9"/>
      <c r="E64" s="9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2"/>
    </row>
    <row r="65" spans="1:21" x14ac:dyDescent="0.3">
      <c r="A65" s="9"/>
      <c r="B65" s="9"/>
      <c r="C65" s="140"/>
      <c r="D65" s="9"/>
      <c r="E65" s="9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2"/>
    </row>
    <row r="66" spans="1:21" s="110" customFormat="1" ht="14.4" customHeight="1" x14ac:dyDescent="0.3">
      <c r="A66" s="164"/>
      <c r="B66" s="164"/>
      <c r="C66" s="165" t="s">
        <v>137</v>
      </c>
      <c r="D66" s="164"/>
      <c r="E66" s="164"/>
      <c r="F66" s="166">
        <f>SUM(F50:F64)</f>
        <v>-3050</v>
      </c>
      <c r="G66" s="166">
        <f>SUM(G50:G64)</f>
        <v>-3050</v>
      </c>
      <c r="H66" s="166">
        <f t="shared" ref="H66:T66" si="12">SUM(H50:H64)</f>
        <v>-3050</v>
      </c>
      <c r="I66" s="166">
        <f t="shared" si="12"/>
        <v>-3050</v>
      </c>
      <c r="J66" s="166">
        <f t="shared" si="12"/>
        <v>-3050</v>
      </c>
      <c r="K66" s="166">
        <f t="shared" si="12"/>
        <v>-3050</v>
      </c>
      <c r="L66" s="166">
        <f t="shared" si="12"/>
        <v>-3050</v>
      </c>
      <c r="M66" s="166">
        <f t="shared" si="12"/>
        <v>-3050</v>
      </c>
      <c r="N66" s="166">
        <f t="shared" si="12"/>
        <v>-3050</v>
      </c>
      <c r="O66" s="166">
        <f t="shared" si="12"/>
        <v>-3050</v>
      </c>
      <c r="P66" s="166">
        <f t="shared" si="12"/>
        <v>-3050</v>
      </c>
      <c r="Q66" s="166">
        <f t="shared" si="12"/>
        <v>-3050</v>
      </c>
      <c r="R66" s="166">
        <f t="shared" si="12"/>
        <v>-3050</v>
      </c>
      <c r="S66" s="166">
        <f t="shared" si="12"/>
        <v>-3050</v>
      </c>
      <c r="T66" s="166">
        <f t="shared" si="12"/>
        <v>-3050</v>
      </c>
      <c r="U66" s="158">
        <f t="shared" si="10"/>
        <v>-36600</v>
      </c>
    </row>
    <row r="67" spans="1:21" s="110" customFormat="1" ht="14.4" customHeight="1" x14ac:dyDescent="0.3">
      <c r="A67" s="167"/>
      <c r="B67" s="167"/>
      <c r="C67" s="168" t="s">
        <v>6</v>
      </c>
      <c r="D67" s="167"/>
      <c r="E67" s="167"/>
      <c r="F67" s="169">
        <f>F24+F25+F46+F66</f>
        <v>18983</v>
      </c>
      <c r="G67" s="169">
        <f t="shared" ref="G67:T67" si="13">G24+G25+G46+G66</f>
        <v>20182</v>
      </c>
      <c r="H67" s="169">
        <f t="shared" si="13"/>
        <v>21264</v>
      </c>
      <c r="I67" s="169">
        <f t="shared" si="13"/>
        <v>21683</v>
      </c>
      <c r="J67" s="169">
        <f t="shared" si="13"/>
        <v>24384</v>
      </c>
      <c r="K67" s="169">
        <f t="shared" si="13"/>
        <v>25657</v>
      </c>
      <c r="L67" s="169">
        <f t="shared" si="13"/>
        <v>26295</v>
      </c>
      <c r="M67" s="169">
        <f t="shared" si="13"/>
        <v>26559</v>
      </c>
      <c r="N67" s="169">
        <f t="shared" si="13"/>
        <v>22572</v>
      </c>
      <c r="O67" s="169">
        <f t="shared" si="13"/>
        <v>21529</v>
      </c>
      <c r="P67" s="169">
        <f t="shared" si="13"/>
        <v>21613</v>
      </c>
      <c r="Q67" s="169">
        <f t="shared" si="13"/>
        <v>19860</v>
      </c>
      <c r="R67" s="169">
        <f t="shared" si="13"/>
        <v>18747</v>
      </c>
      <c r="S67" s="169">
        <f t="shared" si="13"/>
        <v>19458</v>
      </c>
      <c r="T67" s="169">
        <f t="shared" si="13"/>
        <v>20671</v>
      </c>
      <c r="U67" s="153">
        <f t="shared" si="10"/>
        <v>270581</v>
      </c>
    </row>
    <row r="68" spans="1:21" s="110" customFormat="1" ht="14.4" customHeight="1" x14ac:dyDescent="0.3">
      <c r="A68" s="108"/>
      <c r="B68" s="108"/>
      <c r="C68" s="141" t="s">
        <v>138</v>
      </c>
      <c r="D68" s="108"/>
      <c r="E68" s="108"/>
      <c r="F68" s="449">
        <v>-1450</v>
      </c>
      <c r="G68" s="449">
        <v>-1450</v>
      </c>
      <c r="H68" s="449">
        <v>-1450</v>
      </c>
      <c r="I68" s="449">
        <v>-1450</v>
      </c>
      <c r="J68" s="449">
        <v>-1450</v>
      </c>
      <c r="K68" s="449">
        <v>-1450</v>
      </c>
      <c r="L68" s="449">
        <v>-1450</v>
      </c>
      <c r="M68" s="449">
        <v>-1450</v>
      </c>
      <c r="N68" s="449">
        <v>-1450</v>
      </c>
      <c r="O68" s="449">
        <v>-1450</v>
      </c>
      <c r="P68" s="449">
        <v>-1450</v>
      </c>
      <c r="Q68" s="449">
        <v>-1850</v>
      </c>
      <c r="R68" s="449">
        <v>-1850</v>
      </c>
      <c r="S68" s="449">
        <v>-1850</v>
      </c>
      <c r="T68" s="449">
        <v>-1850</v>
      </c>
      <c r="U68" s="441">
        <f t="shared" si="10"/>
        <v>-17800</v>
      </c>
    </row>
    <row r="69" spans="1:21" s="110" customFormat="1" ht="25.05" customHeight="1" x14ac:dyDescent="0.3">
      <c r="A69" s="108"/>
      <c r="B69" s="108"/>
      <c r="C69" s="141" t="s">
        <v>8</v>
      </c>
      <c r="D69" s="108"/>
      <c r="E69" s="108"/>
      <c r="F69" s="454">
        <f>F67+F68</f>
        <v>17533</v>
      </c>
      <c r="G69" s="454">
        <f t="shared" ref="G69:T69" si="14">G67+G68</f>
        <v>18732</v>
      </c>
      <c r="H69" s="454">
        <f t="shared" si="14"/>
        <v>19814</v>
      </c>
      <c r="I69" s="454">
        <f t="shared" si="14"/>
        <v>20233</v>
      </c>
      <c r="J69" s="454">
        <f t="shared" si="14"/>
        <v>22934</v>
      </c>
      <c r="K69" s="454">
        <f t="shared" si="14"/>
        <v>24207</v>
      </c>
      <c r="L69" s="454">
        <f t="shared" si="14"/>
        <v>24845</v>
      </c>
      <c r="M69" s="454">
        <f t="shared" si="14"/>
        <v>25109</v>
      </c>
      <c r="N69" s="454">
        <f t="shared" si="14"/>
        <v>21122</v>
      </c>
      <c r="O69" s="454">
        <f t="shared" si="14"/>
        <v>20079</v>
      </c>
      <c r="P69" s="454">
        <f t="shared" si="14"/>
        <v>20163</v>
      </c>
      <c r="Q69" s="454">
        <f t="shared" si="14"/>
        <v>18010</v>
      </c>
      <c r="R69" s="454">
        <f t="shared" si="14"/>
        <v>16897</v>
      </c>
      <c r="S69" s="454">
        <f t="shared" si="14"/>
        <v>17608</v>
      </c>
      <c r="T69" s="454">
        <f t="shared" si="14"/>
        <v>18821</v>
      </c>
      <c r="U69" s="442">
        <f t="shared" si="10"/>
        <v>252781</v>
      </c>
    </row>
    <row r="70" spans="1:21" s="110" customFormat="1" ht="25.05" customHeight="1" x14ac:dyDescent="0.3">
      <c r="A70" s="108"/>
      <c r="B70" s="108"/>
      <c r="C70" s="144" t="s">
        <v>139</v>
      </c>
      <c r="D70" s="145"/>
      <c r="E70" s="108"/>
      <c r="F70" s="441">
        <f>('BS 2024'!F27)*0.05</f>
        <v>-9200</v>
      </c>
      <c r="G70" s="441">
        <f>('BS 2024'!G27)*0.05</f>
        <v>-8925</v>
      </c>
      <c r="H70" s="441">
        <f>('BS 2024'!H27)*0.05</f>
        <v>-8650</v>
      </c>
      <c r="I70" s="441">
        <f>('BS 2024'!I27)*0.05</f>
        <v>-8375</v>
      </c>
      <c r="J70" s="441">
        <f>('BS 2024'!J27)*0.05</f>
        <v>-8100</v>
      </c>
      <c r="K70" s="441">
        <f>('BS 2024'!K27)*0.05</f>
        <v>-7825</v>
      </c>
      <c r="L70" s="441">
        <f>('BS 2024'!L27)*0.05</f>
        <v>-7550</v>
      </c>
      <c r="M70" s="441">
        <f>('BS 2024'!M27)*0.05</f>
        <v>-7275</v>
      </c>
      <c r="N70" s="441">
        <f>('BS 2024'!N27)*0.05</f>
        <v>-7000</v>
      </c>
      <c r="O70" s="441">
        <f>('BS 2024'!O27)*0.05</f>
        <v>-6725</v>
      </c>
      <c r="P70" s="441">
        <f>('BS 2024'!P27)*0.05</f>
        <v>-6450</v>
      </c>
      <c r="Q70" s="441">
        <f>('BS 2024'!Q27)*0.05</f>
        <v>-6175</v>
      </c>
      <c r="R70" s="441">
        <f>('BS 2024'!R27)*0.05</f>
        <v>-5900</v>
      </c>
      <c r="S70" s="441">
        <f>('BS 2024'!S27)*0.05</f>
        <v>-5625</v>
      </c>
      <c r="T70" s="441"/>
      <c r="U70" s="441">
        <f t="shared" si="10"/>
        <v>-92250</v>
      </c>
    </row>
    <row r="71" spans="1:21" s="110" customFormat="1" ht="25.05" customHeight="1" x14ac:dyDescent="0.3">
      <c r="A71" s="108"/>
      <c r="B71" s="108"/>
      <c r="C71" s="141" t="s">
        <v>10</v>
      </c>
      <c r="D71" s="108"/>
      <c r="E71" s="108"/>
      <c r="F71" s="454">
        <f>F67</f>
        <v>18983</v>
      </c>
      <c r="G71" s="454">
        <f t="shared" ref="G71:T71" si="15">G67</f>
        <v>20182</v>
      </c>
      <c r="H71" s="454">
        <f t="shared" si="15"/>
        <v>21264</v>
      </c>
      <c r="I71" s="454">
        <f t="shared" si="15"/>
        <v>21683</v>
      </c>
      <c r="J71" s="454">
        <f t="shared" si="15"/>
        <v>24384</v>
      </c>
      <c r="K71" s="454">
        <f t="shared" si="15"/>
        <v>25657</v>
      </c>
      <c r="L71" s="454">
        <f t="shared" si="15"/>
        <v>26295</v>
      </c>
      <c r="M71" s="454">
        <f t="shared" si="15"/>
        <v>26559</v>
      </c>
      <c r="N71" s="454">
        <f t="shared" si="15"/>
        <v>22572</v>
      </c>
      <c r="O71" s="454">
        <f t="shared" si="15"/>
        <v>21529</v>
      </c>
      <c r="P71" s="454">
        <f t="shared" si="15"/>
        <v>21613</v>
      </c>
      <c r="Q71" s="454">
        <f t="shared" si="15"/>
        <v>19860</v>
      </c>
      <c r="R71" s="454">
        <f t="shared" si="15"/>
        <v>18747</v>
      </c>
      <c r="S71" s="454">
        <f t="shared" si="15"/>
        <v>19458</v>
      </c>
      <c r="T71" s="454">
        <f t="shared" si="15"/>
        <v>20671</v>
      </c>
      <c r="U71" s="442">
        <f t="shared" si="10"/>
        <v>270581</v>
      </c>
    </row>
    <row r="72" spans="1:21" s="110" customFormat="1" ht="25.05" customHeight="1" x14ac:dyDescent="0.3">
      <c r="A72" s="108"/>
      <c r="B72" s="108"/>
      <c r="C72" s="144" t="s">
        <v>11</v>
      </c>
      <c r="D72" s="108"/>
      <c r="E72" s="108"/>
      <c r="F72" s="441">
        <f>(F69*0.2)*-1</f>
        <v>-3506.6000000000004</v>
      </c>
      <c r="G72" s="441">
        <f>(G69*0.2)*-1</f>
        <v>-3746.4</v>
      </c>
      <c r="H72" s="441">
        <f t="shared" ref="H72:T72" si="16">(H69*0.2)*-1</f>
        <v>-3962.8</v>
      </c>
      <c r="I72" s="441">
        <f t="shared" si="16"/>
        <v>-4046.6000000000004</v>
      </c>
      <c r="J72" s="441">
        <f t="shared" si="16"/>
        <v>-4586.8</v>
      </c>
      <c r="K72" s="441">
        <f t="shared" si="16"/>
        <v>-4841.4000000000005</v>
      </c>
      <c r="L72" s="441">
        <f t="shared" si="16"/>
        <v>-4969</v>
      </c>
      <c r="M72" s="441">
        <f t="shared" si="16"/>
        <v>-5021.8</v>
      </c>
      <c r="N72" s="441">
        <f t="shared" si="16"/>
        <v>-4224.4000000000005</v>
      </c>
      <c r="O72" s="441">
        <f t="shared" si="16"/>
        <v>-4015.8</v>
      </c>
      <c r="P72" s="441">
        <f t="shared" si="16"/>
        <v>-4032.6000000000004</v>
      </c>
      <c r="Q72" s="441">
        <f t="shared" si="16"/>
        <v>-3602</v>
      </c>
      <c r="R72" s="441">
        <f t="shared" si="16"/>
        <v>-3379.4</v>
      </c>
      <c r="S72" s="441">
        <f t="shared" si="16"/>
        <v>-3521.6000000000004</v>
      </c>
      <c r="T72" s="441">
        <f t="shared" si="16"/>
        <v>-3764.2000000000003</v>
      </c>
      <c r="U72" s="441">
        <f t="shared" si="10"/>
        <v>-50556.200000000004</v>
      </c>
    </row>
    <row r="73" spans="1:21" s="110" customFormat="1" ht="14.4" customHeight="1" x14ac:dyDescent="0.3">
      <c r="A73" s="170"/>
      <c r="B73" s="170"/>
      <c r="C73" s="171" t="s">
        <v>12</v>
      </c>
      <c r="D73" s="170"/>
      <c r="E73" s="170"/>
      <c r="F73" s="304">
        <f>F71+F72</f>
        <v>15476.4</v>
      </c>
      <c r="G73" s="304">
        <f t="shared" ref="G73:T73" si="17">G71+G72</f>
        <v>16435.599999999999</v>
      </c>
      <c r="H73" s="304">
        <f t="shared" si="17"/>
        <v>17301.2</v>
      </c>
      <c r="I73" s="304">
        <f t="shared" si="17"/>
        <v>17636.400000000001</v>
      </c>
      <c r="J73" s="304">
        <f t="shared" si="17"/>
        <v>19797.2</v>
      </c>
      <c r="K73" s="304">
        <f t="shared" si="17"/>
        <v>20815.599999999999</v>
      </c>
      <c r="L73" s="304">
        <f t="shared" si="17"/>
        <v>21326</v>
      </c>
      <c r="M73" s="304">
        <f t="shared" si="17"/>
        <v>21537.200000000001</v>
      </c>
      <c r="N73" s="304">
        <f t="shared" si="17"/>
        <v>18347.599999999999</v>
      </c>
      <c r="O73" s="304">
        <f t="shared" si="17"/>
        <v>17513.2</v>
      </c>
      <c r="P73" s="304">
        <f t="shared" si="17"/>
        <v>17580.400000000001</v>
      </c>
      <c r="Q73" s="304">
        <f t="shared" si="17"/>
        <v>16258</v>
      </c>
      <c r="R73" s="304">
        <f t="shared" si="17"/>
        <v>15367.6</v>
      </c>
      <c r="S73" s="304">
        <f t="shared" si="17"/>
        <v>15936.4</v>
      </c>
      <c r="T73" s="304">
        <f t="shared" si="17"/>
        <v>16906.8</v>
      </c>
      <c r="U73" s="305">
        <f t="shared" si="10"/>
        <v>220024.80000000002</v>
      </c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</sheetData>
  <phoneticPr fontId="7" type="noConversion"/>
  <pageMargins left="0.7" right="0.7" top="0.75" bottom="0.75" header="0.3" footer="0.3"/>
  <ignoredErrors>
    <ignoredError sqref="U2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68"/>
  <sheetViews>
    <sheetView showGridLines="0" topLeftCell="B16" workbookViewId="0">
      <selection activeCell="J42" sqref="J42:V42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31" t="s">
        <v>144</v>
      </c>
      <c r="C2" s="130"/>
      <c r="D2" s="9"/>
    </row>
    <row r="3" spans="1:22" x14ac:dyDescent="0.3">
      <c r="A3" s="129" t="s">
        <v>145</v>
      </c>
      <c r="C3" s="14"/>
    </row>
    <row r="4" spans="1:22" x14ac:dyDescent="0.3">
      <c r="A4" s="129"/>
      <c r="C4" s="14"/>
    </row>
    <row r="6" spans="1:22" x14ac:dyDescent="0.3">
      <c r="B6" s="14" t="s">
        <v>194</v>
      </c>
    </row>
    <row r="7" spans="1:22" x14ac:dyDescent="0.3">
      <c r="A7" s="146"/>
      <c r="B7" s="177" t="s">
        <v>64</v>
      </c>
      <c r="C7" s="151"/>
      <c r="D7" s="151"/>
      <c r="E7" s="151"/>
      <c r="F7" s="151"/>
      <c r="G7" s="178">
        <v>45292</v>
      </c>
      <c r="H7" s="178">
        <v>45323</v>
      </c>
      <c r="I7" s="178">
        <v>45352</v>
      </c>
      <c r="J7" s="178">
        <v>45383</v>
      </c>
      <c r="K7" s="178">
        <v>45413</v>
      </c>
      <c r="L7" s="178">
        <v>45444</v>
      </c>
      <c r="M7" s="178">
        <v>45474</v>
      </c>
      <c r="N7" s="178">
        <v>45505</v>
      </c>
      <c r="O7" s="178">
        <v>45536</v>
      </c>
      <c r="P7" s="178">
        <v>45566</v>
      </c>
      <c r="Q7" s="178">
        <v>45597</v>
      </c>
      <c r="R7" s="178">
        <v>45627</v>
      </c>
      <c r="S7" s="178">
        <v>45658</v>
      </c>
      <c r="T7" s="178">
        <v>45689</v>
      </c>
      <c r="U7" s="178">
        <v>45717</v>
      </c>
      <c r="V7" s="179" t="s">
        <v>72</v>
      </c>
    </row>
    <row r="9" spans="1:22" x14ac:dyDescent="0.3">
      <c r="B9" s="14" t="s">
        <v>170</v>
      </c>
    </row>
    <row r="10" spans="1:22" x14ac:dyDescent="0.3">
      <c r="A10" s="151"/>
      <c r="B10" s="177" t="s">
        <v>147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</row>
    <row r="11" spans="1:22" x14ac:dyDescent="0.3">
      <c r="B11" s="314" t="s">
        <v>37</v>
      </c>
      <c r="C11" s="337"/>
      <c r="D11" s="337"/>
      <c r="E11" s="337"/>
      <c r="F11" s="337"/>
      <c r="G11" s="338">
        <f>SUM(G15+G22)</f>
        <v>27109</v>
      </c>
      <c r="H11" s="338">
        <f t="shared" ref="H11:R11" si="0">SUM(H12:H18)</f>
        <v>39545.930470347652</v>
      </c>
      <c r="I11" s="338">
        <f t="shared" si="0"/>
        <v>39809.911542610571</v>
      </c>
      <c r="J11" s="338">
        <f t="shared" si="0"/>
        <v>39191.817976852544</v>
      </c>
      <c r="K11" s="338">
        <f t="shared" si="0"/>
        <v>40013.838576889153</v>
      </c>
      <c r="L11" s="338">
        <f t="shared" si="0"/>
        <v>41091.829593267881</v>
      </c>
      <c r="M11" s="338">
        <f t="shared" si="0"/>
        <v>41845.815501149737</v>
      </c>
      <c r="N11" s="338">
        <f t="shared" si="0"/>
        <v>42527.826058113307</v>
      </c>
      <c r="O11" s="338">
        <f t="shared" si="0"/>
        <v>43425.826265741453</v>
      </c>
      <c r="P11" s="338">
        <f t="shared" si="0"/>
        <v>44673.845962423788</v>
      </c>
      <c r="Q11" s="338">
        <f t="shared" si="0"/>
        <v>45927.819390516532</v>
      </c>
      <c r="R11" s="338">
        <f t="shared" si="0"/>
        <v>40525.656542056073</v>
      </c>
      <c r="S11" s="338">
        <f t="shared" ref="S11" si="1">SUM(S12:S18)</f>
        <v>40526.656542056073</v>
      </c>
      <c r="T11" s="338">
        <f>SUM(T12:T18)</f>
        <v>40527.656542056073</v>
      </c>
      <c r="U11" s="338">
        <f>SUM(U12:U18)</f>
        <v>40528.656542056073</v>
      </c>
      <c r="V11" s="338">
        <f>SUM(G11:R11)</f>
        <v>485689.11787996866</v>
      </c>
    </row>
    <row r="12" spans="1:22" x14ac:dyDescent="0.3">
      <c r="B12" s="331" t="s">
        <v>281</v>
      </c>
      <c r="C12" s="340"/>
      <c r="D12" s="337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</row>
    <row r="13" spans="1:22" x14ac:dyDescent="0.3">
      <c r="B13" s="332" t="s">
        <v>273</v>
      </c>
      <c r="C13" s="340"/>
      <c r="D13" s="337"/>
      <c r="E13" s="340"/>
      <c r="F13" s="340"/>
      <c r="G13" s="328">
        <f>'IS 2024'!F11</f>
        <v>5322</v>
      </c>
      <c r="H13" s="328">
        <f>'IS 2024'!G11</f>
        <v>5915</v>
      </c>
      <c r="I13" s="328">
        <f>'IS 2024'!H11</f>
        <v>5915</v>
      </c>
      <c r="J13" s="328">
        <v>5442</v>
      </c>
      <c r="K13" s="328">
        <v>5704</v>
      </c>
      <c r="L13" s="328">
        <v>5915</v>
      </c>
      <c r="M13" s="328">
        <v>6029</v>
      </c>
      <c r="N13" s="328">
        <v>6226</v>
      </c>
      <c r="O13" s="328">
        <v>6430</v>
      </c>
      <c r="P13" s="328">
        <v>6799</v>
      </c>
      <c r="Q13" s="328">
        <v>6964</v>
      </c>
      <c r="R13" s="328">
        <v>5058</v>
      </c>
      <c r="S13" s="328">
        <v>5058</v>
      </c>
      <c r="T13" s="328">
        <v>5058</v>
      </c>
      <c r="U13" s="328">
        <v>5058</v>
      </c>
      <c r="V13" s="340"/>
    </row>
    <row r="14" spans="1:22" x14ac:dyDescent="0.3">
      <c r="B14" s="332" t="s">
        <v>274</v>
      </c>
      <c r="C14" s="340"/>
      <c r="D14" s="337"/>
      <c r="E14" s="340"/>
      <c r="F14" s="340"/>
      <c r="G14" s="328">
        <f>'IS 2024'!F12</f>
        <v>6357</v>
      </c>
      <c r="H14" s="328">
        <f>'IS 2024'!G12</f>
        <v>6357</v>
      </c>
      <c r="I14" s="328">
        <f>'IS 2024'!H12</f>
        <v>6489</v>
      </c>
      <c r="J14" s="328">
        <v>6653</v>
      </c>
      <c r="K14" s="328">
        <v>6802</v>
      </c>
      <c r="L14" s="328">
        <v>7130</v>
      </c>
      <c r="M14" s="328">
        <v>7393</v>
      </c>
      <c r="N14" s="328">
        <v>7537</v>
      </c>
      <c r="O14" s="328">
        <v>7782</v>
      </c>
      <c r="P14" s="328">
        <v>8037</v>
      </c>
      <c r="Q14" s="328">
        <v>8499</v>
      </c>
      <c r="R14" s="328">
        <v>7704</v>
      </c>
      <c r="S14" s="328">
        <v>7704</v>
      </c>
      <c r="T14" s="328">
        <v>7704</v>
      </c>
      <c r="U14" s="328">
        <v>7704</v>
      </c>
      <c r="V14" s="340"/>
    </row>
    <row r="15" spans="1:22" x14ac:dyDescent="0.3">
      <c r="B15" s="332" t="s">
        <v>276</v>
      </c>
      <c r="C15" s="340"/>
      <c r="D15" s="337"/>
      <c r="E15" s="340"/>
      <c r="F15" s="340"/>
      <c r="G15" s="328">
        <f>SUM(G13:G14)</f>
        <v>11679</v>
      </c>
      <c r="H15" s="328">
        <f t="shared" ref="H15:Q15" si="2">SUM(H13:H14)</f>
        <v>12272</v>
      </c>
      <c r="I15" s="328">
        <f t="shared" si="2"/>
        <v>12404</v>
      </c>
      <c r="J15" s="328">
        <f t="shared" si="2"/>
        <v>12095</v>
      </c>
      <c r="K15" s="328">
        <f t="shared" si="2"/>
        <v>12506</v>
      </c>
      <c r="L15" s="328">
        <f t="shared" si="2"/>
        <v>13045</v>
      </c>
      <c r="M15" s="328">
        <f t="shared" si="2"/>
        <v>13422</v>
      </c>
      <c r="N15" s="328">
        <f t="shared" si="2"/>
        <v>13763</v>
      </c>
      <c r="O15" s="328">
        <f t="shared" si="2"/>
        <v>14212</v>
      </c>
      <c r="P15" s="328">
        <f t="shared" si="2"/>
        <v>14836</v>
      </c>
      <c r="Q15" s="328">
        <f t="shared" si="2"/>
        <v>15463</v>
      </c>
      <c r="R15" s="328">
        <f>SUM(R13:R14)</f>
        <v>12762</v>
      </c>
      <c r="S15" s="328">
        <f t="shared" ref="S15:U15" si="3">SUM(S13:S14)</f>
        <v>12762</v>
      </c>
      <c r="T15" s="328">
        <f t="shared" si="3"/>
        <v>12762</v>
      </c>
      <c r="U15" s="328">
        <f t="shared" si="3"/>
        <v>12762</v>
      </c>
      <c r="V15" s="340"/>
    </row>
    <row r="16" spans="1:22" x14ac:dyDescent="0.3">
      <c r="B16" s="332" t="s">
        <v>277</v>
      </c>
      <c r="C16" s="340"/>
      <c r="D16" s="337"/>
      <c r="E16" s="340"/>
      <c r="F16" s="340"/>
      <c r="G16" s="330">
        <v>15000</v>
      </c>
      <c r="H16" s="330">
        <v>15000</v>
      </c>
      <c r="I16" s="330">
        <v>15000</v>
      </c>
      <c r="J16" s="330">
        <v>15000</v>
      </c>
      <c r="K16" s="330">
        <v>15000</v>
      </c>
      <c r="L16" s="330">
        <v>15000</v>
      </c>
      <c r="M16" s="330">
        <v>15000</v>
      </c>
      <c r="N16" s="330">
        <v>15000</v>
      </c>
      <c r="O16" s="330">
        <v>15000</v>
      </c>
      <c r="P16" s="330">
        <v>15000</v>
      </c>
      <c r="Q16" s="330">
        <v>15000</v>
      </c>
      <c r="R16" s="330">
        <v>15000</v>
      </c>
      <c r="S16" s="330">
        <v>15001</v>
      </c>
      <c r="T16" s="330">
        <v>15002</v>
      </c>
      <c r="U16" s="330">
        <v>15003</v>
      </c>
      <c r="V16" s="340"/>
    </row>
    <row r="17" spans="1:23" x14ac:dyDescent="0.3">
      <c r="B17" s="332" t="s">
        <v>275</v>
      </c>
      <c r="C17" s="340"/>
      <c r="D17" s="337"/>
      <c r="E17" s="340"/>
      <c r="F17" s="340"/>
      <c r="G17" s="329">
        <f>G15/G$14</f>
        <v>1.8371873525247759</v>
      </c>
      <c r="H17" s="329">
        <f t="shared" ref="H17:U17" si="4">H15/H$14</f>
        <v>1.9304703476482619</v>
      </c>
      <c r="I17" s="329">
        <f t="shared" si="4"/>
        <v>1.9115426105717368</v>
      </c>
      <c r="J17" s="329">
        <f t="shared" si="4"/>
        <v>1.8179768525477229</v>
      </c>
      <c r="K17" s="329">
        <f t="shared" si="4"/>
        <v>1.8385768891502499</v>
      </c>
      <c r="L17" s="329">
        <f t="shared" si="4"/>
        <v>1.829593267882188</v>
      </c>
      <c r="M17" s="329">
        <f t="shared" si="4"/>
        <v>1.815501149736237</v>
      </c>
      <c r="N17" s="329">
        <f t="shared" si="4"/>
        <v>1.8260581133076821</v>
      </c>
      <c r="O17" s="329">
        <f t="shared" si="4"/>
        <v>1.8262657414546388</v>
      </c>
      <c r="P17" s="329">
        <f t="shared" si="4"/>
        <v>1.8459624237899714</v>
      </c>
      <c r="Q17" s="329">
        <f t="shared" si="4"/>
        <v>1.8193905165313566</v>
      </c>
      <c r="R17" s="329">
        <f t="shared" si="4"/>
        <v>1.6565420560747663</v>
      </c>
      <c r="S17" s="329">
        <f t="shared" si="4"/>
        <v>1.6565420560747663</v>
      </c>
      <c r="T17" s="329">
        <f t="shared" si="4"/>
        <v>1.6565420560747663</v>
      </c>
      <c r="U17" s="329">
        <f t="shared" si="4"/>
        <v>1.6565420560747663</v>
      </c>
      <c r="V17" s="340"/>
    </row>
    <row r="18" spans="1:23" x14ac:dyDescent="0.3">
      <c r="B18" s="332"/>
      <c r="C18" s="340"/>
      <c r="D18" s="337"/>
      <c r="E18" s="340"/>
      <c r="F18" s="340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40"/>
    </row>
    <row r="19" spans="1:23" x14ac:dyDescent="0.3">
      <c r="B19" s="331" t="s">
        <v>280</v>
      </c>
      <c r="C19" s="340"/>
      <c r="D19" s="337"/>
      <c r="E19" s="340"/>
      <c r="F19" s="340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40"/>
    </row>
    <row r="20" spans="1:23" x14ac:dyDescent="0.3">
      <c r="B20" s="332" t="s">
        <v>278</v>
      </c>
      <c r="C20" s="340"/>
      <c r="D20" s="337"/>
      <c r="E20" s="340"/>
      <c r="F20" s="340"/>
      <c r="G20" s="328">
        <f>'IS 2024'!F18</f>
        <v>7393</v>
      </c>
      <c r="H20" s="328">
        <f>'IS 2024'!G18</f>
        <v>7537</v>
      </c>
      <c r="I20" s="328">
        <f>'IS 2024'!H18</f>
        <v>7782</v>
      </c>
      <c r="J20" s="328">
        <v>8037</v>
      </c>
      <c r="K20" s="328">
        <v>8499</v>
      </c>
      <c r="L20" s="328">
        <v>8704</v>
      </c>
      <c r="M20" s="328">
        <v>8877</v>
      </c>
      <c r="N20" s="328">
        <v>8800</v>
      </c>
      <c r="O20" s="328">
        <v>7782</v>
      </c>
      <c r="P20" s="328">
        <v>6037</v>
      </c>
      <c r="Q20" s="328">
        <v>5499</v>
      </c>
      <c r="R20" s="328">
        <v>5704</v>
      </c>
      <c r="S20" s="328">
        <v>5704</v>
      </c>
      <c r="T20" s="328">
        <v>5704</v>
      </c>
      <c r="U20" s="328">
        <v>5704</v>
      </c>
      <c r="V20" s="340"/>
    </row>
    <row r="21" spans="1:23" x14ac:dyDescent="0.3">
      <c r="B21" s="332" t="s">
        <v>279</v>
      </c>
      <c r="C21" s="340"/>
      <c r="D21" s="337"/>
      <c r="E21" s="340"/>
      <c r="F21" s="340"/>
      <c r="G21" s="328">
        <f>'IS 2024'!F19</f>
        <v>8037</v>
      </c>
      <c r="H21" s="328">
        <f>'IS 2024'!G19</f>
        <v>8499</v>
      </c>
      <c r="I21" s="328">
        <f>'IS 2024'!H19</f>
        <v>9204</v>
      </c>
      <c r="J21" s="328">
        <v>9204</v>
      </c>
      <c r="K21" s="328">
        <v>11294</v>
      </c>
      <c r="L21" s="328">
        <v>12034</v>
      </c>
      <c r="M21" s="328">
        <v>12122</v>
      </c>
      <c r="N21" s="328">
        <v>12122</v>
      </c>
      <c r="O21" s="328">
        <v>8704</v>
      </c>
      <c r="P21" s="328">
        <v>7037</v>
      </c>
      <c r="Q21" s="328">
        <v>7499</v>
      </c>
      <c r="R21" s="328">
        <v>7304</v>
      </c>
      <c r="S21" s="328">
        <v>7304</v>
      </c>
      <c r="T21" s="328">
        <v>7304</v>
      </c>
      <c r="U21" s="328">
        <v>7304</v>
      </c>
      <c r="V21" s="340"/>
    </row>
    <row r="22" spans="1:23" x14ac:dyDescent="0.3">
      <c r="B22" s="332" t="s">
        <v>276</v>
      </c>
      <c r="C22" s="340"/>
      <c r="D22" s="337"/>
      <c r="E22" s="340"/>
      <c r="F22" s="340"/>
      <c r="G22" s="328">
        <f>SUM(G20:G21)</f>
        <v>15430</v>
      </c>
      <c r="H22" s="328">
        <f t="shared" ref="H22:U22" si="5">SUM(H20:H21)</f>
        <v>16036</v>
      </c>
      <c r="I22" s="328">
        <f t="shared" si="5"/>
        <v>16986</v>
      </c>
      <c r="J22" s="328">
        <f t="shared" si="5"/>
        <v>17241</v>
      </c>
      <c r="K22" s="328">
        <f t="shared" si="5"/>
        <v>19793</v>
      </c>
      <c r="L22" s="328">
        <f t="shared" si="5"/>
        <v>20738</v>
      </c>
      <c r="M22" s="328">
        <f t="shared" si="5"/>
        <v>20999</v>
      </c>
      <c r="N22" s="328">
        <f t="shared" si="5"/>
        <v>20922</v>
      </c>
      <c r="O22" s="328">
        <f t="shared" si="5"/>
        <v>16486</v>
      </c>
      <c r="P22" s="328">
        <f t="shared" si="5"/>
        <v>13074</v>
      </c>
      <c r="Q22" s="328">
        <f t="shared" si="5"/>
        <v>12998</v>
      </c>
      <c r="R22" s="328">
        <f t="shared" si="5"/>
        <v>13008</v>
      </c>
      <c r="S22" s="328">
        <f t="shared" si="5"/>
        <v>13008</v>
      </c>
      <c r="T22" s="328">
        <f t="shared" si="5"/>
        <v>13008</v>
      </c>
      <c r="U22" s="328">
        <f t="shared" si="5"/>
        <v>13008</v>
      </c>
      <c r="V22" s="340"/>
    </row>
    <row r="23" spans="1:23" x14ac:dyDescent="0.3">
      <c r="B23" s="332" t="s">
        <v>277</v>
      </c>
      <c r="C23" s="340"/>
      <c r="D23" s="337"/>
      <c r="E23" s="340"/>
      <c r="F23" s="340"/>
      <c r="G23" s="327">
        <v>21000</v>
      </c>
      <c r="H23" s="327">
        <v>21000</v>
      </c>
      <c r="I23" s="327">
        <v>21000</v>
      </c>
      <c r="J23" s="327">
        <v>21000</v>
      </c>
      <c r="K23" s="327">
        <v>21000</v>
      </c>
      <c r="L23" s="327">
        <v>21000</v>
      </c>
      <c r="M23" s="327">
        <v>21000</v>
      </c>
      <c r="N23" s="327">
        <v>21000</v>
      </c>
      <c r="O23" s="327">
        <v>21000</v>
      </c>
      <c r="P23" s="327">
        <v>21000</v>
      </c>
      <c r="Q23" s="327">
        <v>21000</v>
      </c>
      <c r="R23" s="327">
        <v>21000</v>
      </c>
      <c r="S23" s="327">
        <v>21001</v>
      </c>
      <c r="T23" s="327">
        <v>21002</v>
      </c>
      <c r="U23" s="327">
        <v>21003</v>
      </c>
      <c r="V23" s="340"/>
    </row>
    <row r="24" spans="1:23" x14ac:dyDescent="0.3">
      <c r="B24" s="332" t="s">
        <v>275</v>
      </c>
      <c r="C24" s="340"/>
      <c r="D24" s="337"/>
      <c r="E24" s="340"/>
      <c r="F24" s="340"/>
      <c r="G24" s="329">
        <f>G22/G$21</f>
        <v>1.9198705984820206</v>
      </c>
      <c r="H24" s="329">
        <f t="shared" ref="H24:U24" si="6">H22/H$21</f>
        <v>1.8868102129662314</v>
      </c>
      <c r="I24" s="329">
        <f t="shared" si="6"/>
        <v>1.8455019556714471</v>
      </c>
      <c r="J24" s="329">
        <f t="shared" si="6"/>
        <v>1.8732073011734029</v>
      </c>
      <c r="K24" s="329">
        <f t="shared" si="6"/>
        <v>1.7525234637860811</v>
      </c>
      <c r="L24" s="329">
        <f t="shared" si="6"/>
        <v>1.7232840285856739</v>
      </c>
      <c r="M24" s="329">
        <f t="shared" si="6"/>
        <v>1.7323049001814883</v>
      </c>
      <c r="N24" s="329">
        <f t="shared" si="6"/>
        <v>1.7259528130671506</v>
      </c>
      <c r="O24" s="329">
        <f t="shared" si="6"/>
        <v>1.8940716911764706</v>
      </c>
      <c r="P24" s="329">
        <f t="shared" si="6"/>
        <v>1.8578939889157311</v>
      </c>
      <c r="Q24" s="329">
        <f t="shared" si="6"/>
        <v>1.7332977730364048</v>
      </c>
      <c r="R24" s="329">
        <f t="shared" si="6"/>
        <v>1.7809419496166483</v>
      </c>
      <c r="S24" s="329">
        <f t="shared" si="6"/>
        <v>1.7809419496166483</v>
      </c>
      <c r="T24" s="329">
        <f t="shared" si="6"/>
        <v>1.7809419496166483</v>
      </c>
      <c r="U24" s="329">
        <f t="shared" si="6"/>
        <v>1.7809419496166483</v>
      </c>
      <c r="V24" s="340"/>
    </row>
    <row r="25" spans="1:23" x14ac:dyDescent="0.3">
      <c r="B25" s="314"/>
      <c r="C25" s="337"/>
      <c r="D25" s="337"/>
      <c r="E25" s="337"/>
      <c r="F25" s="337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</row>
    <row r="26" spans="1:23" x14ac:dyDescent="0.3">
      <c r="B26" s="86" t="s">
        <v>38</v>
      </c>
      <c r="C26" s="337"/>
      <c r="D26" s="337"/>
      <c r="E26" s="337"/>
      <c r="F26" s="337"/>
      <c r="G26" s="438">
        <v>-325</v>
      </c>
      <c r="H26" s="438">
        <v>-325</v>
      </c>
      <c r="I26" s="438">
        <v>-325</v>
      </c>
      <c r="J26" s="438">
        <v>-325</v>
      </c>
      <c r="K26" s="438">
        <v>-325</v>
      </c>
      <c r="L26" s="438">
        <v>-325</v>
      </c>
      <c r="M26" s="438">
        <v>-325</v>
      </c>
      <c r="N26" s="438">
        <v>-325</v>
      </c>
      <c r="O26" s="438">
        <v>-325</v>
      </c>
      <c r="P26" s="438">
        <v>-325</v>
      </c>
      <c r="Q26" s="438">
        <v>-325</v>
      </c>
      <c r="R26" s="438">
        <v>-325</v>
      </c>
      <c r="S26" s="438">
        <v>-325</v>
      </c>
      <c r="T26" s="438">
        <v>-325</v>
      </c>
      <c r="U26" s="438">
        <v>-325</v>
      </c>
      <c r="V26" s="451">
        <f>SUM(G26:R26)</f>
        <v>-3900</v>
      </c>
    </row>
    <row r="27" spans="1:23" x14ac:dyDescent="0.3">
      <c r="B27" s="86" t="s">
        <v>148</v>
      </c>
      <c r="C27" s="337"/>
      <c r="D27" s="337"/>
      <c r="E27" s="337"/>
      <c r="F27" s="337"/>
      <c r="G27" s="438">
        <f>'IS 2024'!F70</f>
        <v>-9200</v>
      </c>
      <c r="H27" s="438">
        <f>'IS 2024'!G70</f>
        <v>-8925</v>
      </c>
      <c r="I27" s="438">
        <f>'IS 2024'!H70</f>
        <v>-8650</v>
      </c>
      <c r="J27" s="438">
        <f>'IS 2024'!I70</f>
        <v>-8375</v>
      </c>
      <c r="K27" s="438">
        <f>'IS 2024'!J70</f>
        <v>-8100</v>
      </c>
      <c r="L27" s="438">
        <f>'IS 2024'!K70</f>
        <v>-7825</v>
      </c>
      <c r="M27" s="438">
        <f>'IS 2024'!L70</f>
        <v>-7550</v>
      </c>
      <c r="N27" s="438">
        <f>'IS 2024'!M70</f>
        <v>-7275</v>
      </c>
      <c r="O27" s="438">
        <f>'IS 2024'!N70</f>
        <v>-7000</v>
      </c>
      <c r="P27" s="438">
        <f>'IS 2024'!O70</f>
        <v>-6725</v>
      </c>
      <c r="Q27" s="438">
        <f>'IS 2024'!P70</f>
        <v>-6450</v>
      </c>
      <c r="R27" s="438">
        <f>'IS 2024'!Q70</f>
        <v>-6175</v>
      </c>
      <c r="S27" s="438">
        <f>'IS 2024'!R70</f>
        <v>-5900</v>
      </c>
      <c r="T27" s="438">
        <f>'IS 2024'!S70</f>
        <v>-5625</v>
      </c>
      <c r="U27" s="438"/>
      <c r="V27" s="437"/>
    </row>
    <row r="28" spans="1:23" x14ac:dyDescent="0.3">
      <c r="B28" s="86" t="s">
        <v>149</v>
      </c>
      <c r="C28" s="337"/>
      <c r="D28" s="337"/>
      <c r="E28" s="337"/>
      <c r="F28" s="337"/>
      <c r="G28" s="438">
        <f>'IS 2024'!F72</f>
        <v>-3506.6000000000004</v>
      </c>
      <c r="H28" s="438">
        <f>'IS 2024'!G72</f>
        <v>-3746.4</v>
      </c>
      <c r="I28" s="438">
        <f>'IS 2024'!H72</f>
        <v>-3962.8</v>
      </c>
      <c r="J28" s="438">
        <f>'IS 2024'!I72</f>
        <v>-4046.6000000000004</v>
      </c>
      <c r="K28" s="438">
        <f>'IS 2024'!J72</f>
        <v>-4586.8</v>
      </c>
      <c r="L28" s="438">
        <f>'IS 2024'!K72</f>
        <v>-4841.4000000000005</v>
      </c>
      <c r="M28" s="438">
        <f>'IS 2024'!L72</f>
        <v>-4969</v>
      </c>
      <c r="N28" s="438">
        <f>'IS 2024'!M72</f>
        <v>-5021.8</v>
      </c>
      <c r="O28" s="438">
        <f>'IS 2024'!N72</f>
        <v>-4224.4000000000005</v>
      </c>
      <c r="P28" s="438">
        <f>'IS 2024'!O72</f>
        <v>-4015.8</v>
      </c>
      <c r="Q28" s="438">
        <f>'IS 2024'!P72</f>
        <v>-4032.6000000000004</v>
      </c>
      <c r="R28" s="438">
        <f>'IS 2024'!Q72</f>
        <v>-3602</v>
      </c>
      <c r="S28" s="438">
        <f>'IS 2024'!R72</f>
        <v>-3379.4</v>
      </c>
      <c r="T28" s="438">
        <f>'IS 2024'!S72</f>
        <v>-3521.6000000000004</v>
      </c>
      <c r="U28" s="438">
        <f>'IS 2024'!T72</f>
        <v>-3764.2000000000003</v>
      </c>
      <c r="V28" s="437"/>
    </row>
    <row r="29" spans="1:23" x14ac:dyDescent="0.3">
      <c r="A29" s="151"/>
      <c r="B29" s="180" t="s">
        <v>150</v>
      </c>
      <c r="C29" s="151"/>
      <c r="D29" s="151"/>
      <c r="E29" s="151"/>
      <c r="F29" s="151"/>
      <c r="G29" s="212">
        <f>G11</f>
        <v>27109</v>
      </c>
      <c r="H29" s="212">
        <f t="shared" ref="H29:U29" si="7">H11</f>
        <v>39545.930470347652</v>
      </c>
      <c r="I29" s="212">
        <f t="shared" si="7"/>
        <v>39809.911542610571</v>
      </c>
      <c r="J29" s="212">
        <f t="shared" si="7"/>
        <v>39191.817976852544</v>
      </c>
      <c r="K29" s="212">
        <f t="shared" si="7"/>
        <v>40013.838576889153</v>
      </c>
      <c r="L29" s="212">
        <f t="shared" si="7"/>
        <v>41091.829593267881</v>
      </c>
      <c r="M29" s="212">
        <f t="shared" si="7"/>
        <v>41845.815501149737</v>
      </c>
      <c r="N29" s="212">
        <f t="shared" si="7"/>
        <v>42527.826058113307</v>
      </c>
      <c r="O29" s="212">
        <f t="shared" si="7"/>
        <v>43425.826265741453</v>
      </c>
      <c r="P29" s="212">
        <f t="shared" si="7"/>
        <v>44673.845962423788</v>
      </c>
      <c r="Q29" s="212">
        <f t="shared" si="7"/>
        <v>45927.819390516532</v>
      </c>
      <c r="R29" s="212">
        <f t="shared" si="7"/>
        <v>40525.656542056073</v>
      </c>
      <c r="S29" s="212">
        <f t="shared" si="7"/>
        <v>40526.656542056073</v>
      </c>
      <c r="T29" s="212">
        <f t="shared" si="7"/>
        <v>40527.656542056073</v>
      </c>
      <c r="U29" s="212">
        <f t="shared" si="7"/>
        <v>40528.656542056073</v>
      </c>
      <c r="V29" s="158">
        <f>SUM(G29:R29)</f>
        <v>485689.11787996866</v>
      </c>
    </row>
    <row r="30" spans="1:23" x14ac:dyDescent="0.3">
      <c r="A30" s="152"/>
      <c r="B30" s="202" t="s">
        <v>151</v>
      </c>
      <c r="C30" s="152"/>
      <c r="D30" s="152"/>
      <c r="E30" s="152"/>
      <c r="F30" s="152"/>
      <c r="G30" s="213">
        <f t="shared" ref="G30:J30" si="8">SUM(G26:G28)</f>
        <v>-13031.6</v>
      </c>
      <c r="H30" s="213">
        <f t="shared" si="8"/>
        <v>-12996.4</v>
      </c>
      <c r="I30" s="213">
        <f t="shared" si="8"/>
        <v>-12937.8</v>
      </c>
      <c r="J30" s="213">
        <f t="shared" si="8"/>
        <v>-12746.6</v>
      </c>
      <c r="K30" s="213">
        <f t="shared" ref="K30:R30" si="9">SUM(K26:K28)</f>
        <v>-13011.8</v>
      </c>
      <c r="L30" s="213">
        <f t="shared" si="9"/>
        <v>-12991.400000000001</v>
      </c>
      <c r="M30" s="213">
        <f t="shared" si="9"/>
        <v>-12844</v>
      </c>
      <c r="N30" s="213">
        <f t="shared" si="9"/>
        <v>-12621.8</v>
      </c>
      <c r="O30" s="213">
        <f t="shared" si="9"/>
        <v>-11549.400000000001</v>
      </c>
      <c r="P30" s="213">
        <f t="shared" si="9"/>
        <v>-11065.8</v>
      </c>
      <c r="Q30" s="213">
        <f t="shared" si="9"/>
        <v>-10807.6</v>
      </c>
      <c r="R30" s="213">
        <f t="shared" si="9"/>
        <v>-10102</v>
      </c>
      <c r="S30" s="153">
        <f t="shared" ref="S30:U30" si="10">SUM(S26:S28)</f>
        <v>-9604.4</v>
      </c>
      <c r="T30" s="153">
        <f t="shared" si="10"/>
        <v>-9471.6</v>
      </c>
      <c r="U30" s="153">
        <f t="shared" si="10"/>
        <v>-4089.2000000000003</v>
      </c>
      <c r="V30" s="153">
        <f>SUM(G30:R30)</f>
        <v>-146706.20000000001</v>
      </c>
    </row>
    <row r="31" spans="1:23" x14ac:dyDescent="0.3">
      <c r="B31" s="340" t="s">
        <v>152</v>
      </c>
      <c r="C31" s="340"/>
      <c r="D31" s="340"/>
      <c r="E31" s="340"/>
      <c r="F31" s="340"/>
      <c r="G31" s="328">
        <f>G29+G30</f>
        <v>14077.4</v>
      </c>
      <c r="H31" s="328">
        <f t="shared" ref="H31:U31" si="11">H29+H30</f>
        <v>26549.53047034765</v>
      </c>
      <c r="I31" s="328">
        <f t="shared" si="11"/>
        <v>26872.111542610572</v>
      </c>
      <c r="J31" s="328">
        <f t="shared" si="11"/>
        <v>26445.217976852546</v>
      </c>
      <c r="K31" s="328">
        <f t="shared" si="11"/>
        <v>27002.038576889154</v>
      </c>
      <c r="L31" s="328">
        <f t="shared" si="11"/>
        <v>28100.42959326788</v>
      </c>
      <c r="M31" s="328">
        <f t="shared" si="11"/>
        <v>29001.815501149737</v>
      </c>
      <c r="N31" s="328">
        <f t="shared" si="11"/>
        <v>29906.026058113308</v>
      </c>
      <c r="O31" s="328">
        <f t="shared" si="11"/>
        <v>31876.426265741451</v>
      </c>
      <c r="P31" s="328">
        <f t="shared" si="11"/>
        <v>33608.045962423785</v>
      </c>
      <c r="Q31" s="328">
        <f t="shared" si="11"/>
        <v>35120.219390516533</v>
      </c>
      <c r="R31" s="328">
        <f t="shared" si="11"/>
        <v>30423.656542056073</v>
      </c>
      <c r="S31" s="328">
        <f t="shared" si="11"/>
        <v>30922.256542056071</v>
      </c>
      <c r="T31" s="328">
        <f t="shared" si="11"/>
        <v>31056.056542056074</v>
      </c>
      <c r="U31" s="328">
        <f t="shared" si="11"/>
        <v>36439.456542056076</v>
      </c>
      <c r="V31" s="154">
        <f>SUM(G31:R31)</f>
        <v>338982.91787996871</v>
      </c>
      <c r="W31" s="337"/>
    </row>
    <row r="32" spans="1:23" x14ac:dyDescent="0.3">
      <c r="B32" s="340" t="s">
        <v>196</v>
      </c>
      <c r="C32" s="340"/>
      <c r="D32" s="340"/>
      <c r="E32" s="340"/>
      <c r="F32" s="340"/>
      <c r="G32" s="328">
        <f>G31-'IS 2024'!F68</f>
        <v>15527.4</v>
      </c>
      <c r="H32" s="328">
        <f>H31-'IS 2024'!G68</f>
        <v>27999.53047034765</v>
      </c>
      <c r="I32" s="328">
        <f>I31-'IS 2024'!H68</f>
        <v>28322.111542610572</v>
      </c>
      <c r="J32" s="328">
        <f>J31-'IS 2024'!I68</f>
        <v>27895.217976852546</v>
      </c>
      <c r="K32" s="328">
        <f>K31-'IS 2024'!J68</f>
        <v>28452.038576889154</v>
      </c>
      <c r="L32" s="328">
        <f>L31-'IS 2024'!K68</f>
        <v>29550.42959326788</v>
      </c>
      <c r="M32" s="328">
        <f>M31-'IS 2024'!L68</f>
        <v>30451.815501149737</v>
      </c>
      <c r="N32" s="328">
        <f>N31-'IS 2024'!M68</f>
        <v>31356.026058113308</v>
      </c>
      <c r="O32" s="328">
        <f>O31-'IS 2024'!N68</f>
        <v>33326.426265741451</v>
      </c>
      <c r="P32" s="328">
        <f>P31-'IS 2024'!O68</f>
        <v>35058.045962423785</v>
      </c>
      <c r="Q32" s="328">
        <f>Q31-'IS 2024'!P68</f>
        <v>36570.219390516533</v>
      </c>
      <c r="R32" s="328">
        <f>R31-'IS 2024'!Q68</f>
        <v>32273.656542056073</v>
      </c>
      <c r="S32" s="328">
        <f>S31-'IS 2024'!R68</f>
        <v>32772.256542056071</v>
      </c>
      <c r="T32" s="328">
        <f>T31-'IS 2024'!S68</f>
        <v>32906.056542056074</v>
      </c>
      <c r="U32" s="328">
        <f>U31-'IS 2024'!T68</f>
        <v>38289.456542056076</v>
      </c>
      <c r="V32" s="154"/>
      <c r="W32" s="337"/>
    </row>
    <row r="33" spans="2:23" x14ac:dyDescent="0.3">
      <c r="B33" s="341" t="s">
        <v>153</v>
      </c>
      <c r="C33" s="340"/>
      <c r="D33" s="340"/>
      <c r="E33" s="340"/>
      <c r="F33" s="340"/>
      <c r="G33" s="328">
        <f>'CF 2023'!S33</f>
        <v>0</v>
      </c>
      <c r="H33" s="328">
        <f>'CF 2023'!T33</f>
        <v>0</v>
      </c>
      <c r="I33" s="328">
        <f>'CF 2023'!U33</f>
        <v>0</v>
      </c>
      <c r="J33" s="342"/>
      <c r="K33" s="342"/>
      <c r="L33" s="342"/>
      <c r="M33" s="342"/>
      <c r="N33" s="342"/>
      <c r="O33" s="342"/>
      <c r="P33" s="342"/>
      <c r="Q33" s="342"/>
      <c r="R33" s="342"/>
      <c r="S33" s="154">
        <f>'CF 2025'!G32</f>
        <v>0</v>
      </c>
      <c r="T33" s="154">
        <f>'CF 2025'!H32</f>
        <v>0</v>
      </c>
      <c r="U33" s="154">
        <f>'CF 2025'!I32</f>
        <v>0</v>
      </c>
      <c r="V33" s="337"/>
      <c r="W33" s="337"/>
    </row>
    <row r="34" spans="2:23" x14ac:dyDescent="0.3">
      <c r="B34" s="343" t="s">
        <v>154</v>
      </c>
      <c r="C34" s="340"/>
      <c r="D34" s="340"/>
      <c r="E34" s="340"/>
      <c r="F34" s="340"/>
      <c r="G34" s="328">
        <f>'CF 2023'!S34</f>
        <v>0</v>
      </c>
      <c r="H34" s="328">
        <f>'CF 2023'!T34</f>
        <v>0</v>
      </c>
      <c r="I34" s="328">
        <f>'CF 2023'!U34</f>
        <v>0</v>
      </c>
      <c r="J34" s="342"/>
      <c r="K34" s="342"/>
      <c r="L34" s="342"/>
      <c r="M34" s="342"/>
      <c r="N34" s="342"/>
      <c r="O34" s="342"/>
      <c r="P34" s="342"/>
      <c r="Q34" s="342"/>
      <c r="R34" s="342"/>
      <c r="S34" s="154">
        <f>'CF 2025'!G33</f>
        <v>0</v>
      </c>
      <c r="T34" s="154">
        <f>'CF 2025'!H33</f>
        <v>0</v>
      </c>
      <c r="U34" s="154">
        <f>'CF 2025'!I33</f>
        <v>0</v>
      </c>
      <c r="V34" s="337"/>
      <c r="W34" s="337"/>
    </row>
    <row r="35" spans="2:23" x14ac:dyDescent="0.3">
      <c r="B35" s="344" t="s">
        <v>117</v>
      </c>
      <c r="C35" s="340"/>
      <c r="D35" s="340"/>
      <c r="E35" s="340"/>
      <c r="F35" s="340"/>
      <c r="G35" s="328">
        <f>'CF 2023'!S35</f>
        <v>0</v>
      </c>
      <c r="H35" s="328">
        <f>'CF 2023'!T35</f>
        <v>0</v>
      </c>
      <c r="I35" s="328">
        <f>'CF 2023'!U35</f>
        <v>0</v>
      </c>
      <c r="J35" s="342"/>
      <c r="K35" s="342"/>
      <c r="L35" s="342"/>
      <c r="M35" s="342"/>
      <c r="N35" s="342"/>
      <c r="O35" s="342"/>
      <c r="P35" s="342"/>
      <c r="Q35" s="342"/>
      <c r="R35" s="342"/>
      <c r="S35" s="455">
        <f>'CF 2025'!G34</f>
        <v>0</v>
      </c>
      <c r="T35" s="154">
        <f>'CF 2025'!H34</f>
        <v>0</v>
      </c>
      <c r="U35" s="154">
        <f>'CF 2025'!I34</f>
        <v>0</v>
      </c>
      <c r="V35" s="337"/>
      <c r="W35" s="337"/>
    </row>
    <row r="36" spans="2:23" x14ac:dyDescent="0.3">
      <c r="B36" s="343" t="s">
        <v>155</v>
      </c>
      <c r="C36" s="340"/>
      <c r="D36" s="340"/>
      <c r="E36" s="340"/>
      <c r="F36" s="340"/>
      <c r="G36" s="328">
        <f>'CF 2023'!S36</f>
        <v>0</v>
      </c>
      <c r="H36" s="328">
        <f>'CF 2023'!T36</f>
        <v>0</v>
      </c>
      <c r="I36" s="328">
        <f>'CF 2023'!U36</f>
        <v>0</v>
      </c>
      <c r="J36" s="328">
        <f t="shared" ref="J36" si="12">SUM(J34:J35)</f>
        <v>0</v>
      </c>
      <c r="K36" s="328">
        <f t="shared" ref="K36:R36" si="13">SUM(K34:K35)</f>
        <v>0</v>
      </c>
      <c r="L36" s="328">
        <f t="shared" si="13"/>
        <v>0</v>
      </c>
      <c r="M36" s="328">
        <f t="shared" si="13"/>
        <v>0</v>
      </c>
      <c r="N36" s="328">
        <f t="shared" si="13"/>
        <v>0</v>
      </c>
      <c r="O36" s="328">
        <f t="shared" si="13"/>
        <v>0</v>
      </c>
      <c r="P36" s="328">
        <f t="shared" si="13"/>
        <v>0</v>
      </c>
      <c r="Q36" s="328">
        <f t="shared" si="13"/>
        <v>0</v>
      </c>
      <c r="R36" s="328">
        <f t="shared" si="13"/>
        <v>0</v>
      </c>
      <c r="S36" s="154">
        <f>'CF 2025'!G35</f>
        <v>0</v>
      </c>
      <c r="T36" s="154">
        <f>'CF 2025'!H35</f>
        <v>0</v>
      </c>
      <c r="U36" s="154">
        <f>'CF 2025'!I35</f>
        <v>0</v>
      </c>
      <c r="V36" s="337"/>
      <c r="W36" s="337"/>
    </row>
    <row r="37" spans="2:23" x14ac:dyDescent="0.3">
      <c r="B37" s="345" t="s">
        <v>156</v>
      </c>
      <c r="C37" s="340"/>
      <c r="D37" s="340"/>
      <c r="E37" s="340"/>
      <c r="F37" s="340"/>
      <c r="G37" s="328">
        <f>'CF 2023'!S37</f>
        <v>0</v>
      </c>
      <c r="H37" s="328">
        <f>'CF 2023'!T37</f>
        <v>0</v>
      </c>
      <c r="I37" s="328">
        <f>'CF 2023'!U37</f>
        <v>0</v>
      </c>
      <c r="J37" s="342"/>
      <c r="K37" s="342"/>
      <c r="L37" s="342"/>
      <c r="M37" s="342"/>
      <c r="N37" s="342"/>
      <c r="O37" s="342"/>
      <c r="P37" s="342"/>
      <c r="Q37" s="342"/>
      <c r="R37" s="342"/>
      <c r="S37" s="154">
        <f>'CF 2025'!G36</f>
        <v>0</v>
      </c>
      <c r="T37" s="154">
        <f>'CF 2025'!H36</f>
        <v>0</v>
      </c>
      <c r="U37" s="154">
        <f>'CF 2025'!I36</f>
        <v>0</v>
      </c>
      <c r="V37" s="337"/>
      <c r="W37" s="337"/>
    </row>
    <row r="38" spans="2:23" x14ac:dyDescent="0.3">
      <c r="B38" s="336" t="s">
        <v>157</v>
      </c>
      <c r="C38" s="337"/>
      <c r="D38" s="337"/>
      <c r="E38" s="337"/>
      <c r="F38" s="337"/>
      <c r="G38" s="338">
        <f>'CF 2023'!S38</f>
        <v>0</v>
      </c>
      <c r="H38" s="338">
        <f>'CF 2023'!T38</f>
        <v>0</v>
      </c>
      <c r="I38" s="338">
        <f>'CF 2023'!U38</f>
        <v>0</v>
      </c>
      <c r="J38" s="339"/>
      <c r="K38" s="339"/>
      <c r="L38" s="339"/>
      <c r="M38" s="339"/>
      <c r="N38" s="339"/>
      <c r="O38" s="339"/>
      <c r="P38" s="339"/>
      <c r="Q38" s="339"/>
      <c r="R38" s="339"/>
      <c r="S38" s="219">
        <f>'CF 2025'!G37</f>
        <v>0</v>
      </c>
      <c r="T38" s="219">
        <f>'CF 2025'!H37</f>
        <v>0</v>
      </c>
      <c r="U38" s="219">
        <f>'CF 2025'!I37</f>
        <v>0</v>
      </c>
      <c r="V38" s="337"/>
      <c r="W38" s="337"/>
    </row>
    <row r="39" spans="2:23" x14ac:dyDescent="0.3">
      <c r="B39" s="346" t="s">
        <v>117</v>
      </c>
      <c r="C39" s="337"/>
      <c r="D39" s="337"/>
      <c r="E39" s="337"/>
      <c r="F39" s="337"/>
      <c r="G39" s="338">
        <f>'CF 2023'!S39</f>
        <v>0</v>
      </c>
      <c r="H39" s="338">
        <f>'CF 2023'!T39</f>
        <v>0</v>
      </c>
      <c r="I39" s="338">
        <f>'CF 2023'!U39</f>
        <v>0</v>
      </c>
      <c r="J39" s="339"/>
      <c r="K39" s="339"/>
      <c r="L39" s="339"/>
      <c r="M39" s="339"/>
      <c r="N39" s="339"/>
      <c r="O39" s="339"/>
      <c r="P39" s="339"/>
      <c r="Q39" s="339"/>
      <c r="R39" s="339"/>
      <c r="S39" s="219">
        <f>'CF 2025'!G38</f>
        <v>0</v>
      </c>
      <c r="T39" s="219">
        <f>'CF 2025'!H38</f>
        <v>0</v>
      </c>
      <c r="U39" s="219">
        <f>'CF 2025'!I38</f>
        <v>0</v>
      </c>
      <c r="V39" s="337"/>
      <c r="W39" s="337"/>
    </row>
    <row r="40" spans="2:23" x14ac:dyDescent="0.3">
      <c r="B40" s="346" t="s">
        <v>118</v>
      </c>
      <c r="C40" s="337"/>
      <c r="D40" s="337"/>
      <c r="E40" s="337"/>
      <c r="F40" s="337"/>
      <c r="G40" s="338">
        <f>'CF 2023'!S40</f>
        <v>0</v>
      </c>
      <c r="H40" s="338">
        <f>'CF 2023'!T40</f>
        <v>0</v>
      </c>
      <c r="I40" s="338">
        <f>'CF 2023'!U40</f>
        <v>0</v>
      </c>
      <c r="J40" s="339"/>
      <c r="K40" s="339"/>
      <c r="L40" s="339"/>
      <c r="M40" s="339"/>
      <c r="N40" s="339"/>
      <c r="O40" s="339"/>
      <c r="P40" s="339"/>
      <c r="Q40" s="339"/>
      <c r="R40" s="339"/>
      <c r="S40" s="219">
        <f>'CF 2025'!G39</f>
        <v>0</v>
      </c>
      <c r="T40" s="219">
        <f>'CF 2025'!H39</f>
        <v>0</v>
      </c>
      <c r="U40" s="219">
        <f>'CF 2025'!I39</f>
        <v>0</v>
      </c>
      <c r="V40" s="337"/>
      <c r="W40" s="337"/>
    </row>
    <row r="41" spans="2:23" x14ac:dyDescent="0.3">
      <c r="B41" s="346" t="s">
        <v>119</v>
      </c>
      <c r="C41" s="337"/>
      <c r="D41" s="337"/>
      <c r="E41" s="337"/>
      <c r="F41" s="337"/>
      <c r="G41" s="338">
        <f>'CF 2023'!S41</f>
        <v>0</v>
      </c>
      <c r="H41" s="338">
        <f>'CF 2023'!T41</f>
        <v>0</v>
      </c>
      <c r="I41" s="338">
        <f>'CF 2023'!U41</f>
        <v>0</v>
      </c>
      <c r="J41" s="339"/>
      <c r="K41" s="339"/>
      <c r="L41" s="339"/>
      <c r="M41" s="339"/>
      <c r="N41" s="339"/>
      <c r="O41" s="339"/>
      <c r="P41" s="339"/>
      <c r="Q41" s="339"/>
      <c r="R41" s="339"/>
      <c r="S41" s="219">
        <f>'CF 2025'!G40</f>
        <v>0</v>
      </c>
      <c r="T41" s="219">
        <f>'CF 2025'!H40</f>
        <v>0</v>
      </c>
      <c r="U41" s="219">
        <f>'CF 2025'!I40</f>
        <v>0</v>
      </c>
      <c r="V41" s="337"/>
      <c r="W41" s="337"/>
    </row>
    <row r="42" spans="2:23" x14ac:dyDescent="0.3">
      <c r="B42" s="336" t="s">
        <v>158</v>
      </c>
      <c r="C42" s="337"/>
      <c r="D42" s="337"/>
      <c r="E42" s="337"/>
      <c r="F42" s="337"/>
      <c r="G42" s="438">
        <f>'CF 2023'!S42</f>
        <v>-5500</v>
      </c>
      <c r="H42" s="438">
        <f>'CF 2023'!T42</f>
        <v>-5500</v>
      </c>
      <c r="I42" s="438">
        <f>'CF 2023'!U42</f>
        <v>-5500</v>
      </c>
      <c r="J42" s="438">
        <v>-5500</v>
      </c>
      <c r="K42" s="438">
        <v>-5500</v>
      </c>
      <c r="L42" s="438">
        <v>-5500</v>
      </c>
      <c r="M42" s="438">
        <v>-5500</v>
      </c>
      <c r="N42" s="438">
        <v>-5500</v>
      </c>
      <c r="O42" s="438">
        <v>-5500</v>
      </c>
      <c r="P42" s="438">
        <v>-5500</v>
      </c>
      <c r="Q42" s="438">
        <v>-5500</v>
      </c>
      <c r="R42" s="438">
        <v>-5500</v>
      </c>
      <c r="S42" s="438">
        <v>-5500</v>
      </c>
      <c r="T42" s="438">
        <v>-5500</v>
      </c>
      <c r="U42" s="438">
        <v>-5500</v>
      </c>
      <c r="V42" s="438">
        <v>-5500</v>
      </c>
      <c r="W42" s="451">
        <f>SUM(G42:R42)</f>
        <v>-66000</v>
      </c>
    </row>
    <row r="43" spans="2:23" x14ac:dyDescent="0.3">
      <c r="B43" s="346" t="s">
        <v>117</v>
      </c>
      <c r="C43" s="337"/>
      <c r="D43" s="337"/>
      <c r="E43" s="337"/>
      <c r="F43" s="337"/>
      <c r="G43" s="338">
        <f>'CF 2023'!S43</f>
        <v>0</v>
      </c>
      <c r="H43" s="338">
        <f>'CF 2023'!T43</f>
        <v>0</v>
      </c>
      <c r="I43" s="338">
        <f>'CF 2023'!U43</f>
        <v>0</v>
      </c>
      <c r="J43" s="338"/>
      <c r="K43" s="338"/>
      <c r="L43" s="338"/>
      <c r="M43" s="338"/>
      <c r="N43" s="338"/>
      <c r="O43" s="338"/>
      <c r="P43" s="338"/>
      <c r="Q43" s="338"/>
      <c r="R43" s="338"/>
      <c r="S43" s="219">
        <f>'CF 2025'!G42</f>
        <v>0</v>
      </c>
      <c r="T43" s="219">
        <f>'CF 2025'!H42</f>
        <v>0</v>
      </c>
      <c r="U43" s="219">
        <f>'CF 2025'!I42</f>
        <v>0</v>
      </c>
      <c r="V43" s="337"/>
      <c r="W43" s="337"/>
    </row>
    <row r="44" spans="2:23" x14ac:dyDescent="0.3">
      <c r="B44" s="336" t="s">
        <v>159</v>
      </c>
      <c r="C44" s="337"/>
      <c r="D44" s="337"/>
      <c r="E44" s="337"/>
      <c r="F44" s="337"/>
      <c r="G44" s="338">
        <f>'CF 2023'!S44</f>
        <v>0</v>
      </c>
      <c r="H44" s="338">
        <f>'CF 2023'!T44</f>
        <v>0</v>
      </c>
      <c r="I44" s="338">
        <f>'CF 2023'!U44</f>
        <v>0</v>
      </c>
      <c r="J44" s="339"/>
      <c r="K44" s="339"/>
      <c r="L44" s="339"/>
      <c r="M44" s="339"/>
      <c r="N44" s="339"/>
      <c r="O44" s="339"/>
      <c r="P44" s="339"/>
      <c r="Q44" s="339"/>
      <c r="R44" s="339"/>
      <c r="S44" s="219">
        <f>'CF 2025'!G43</f>
        <v>0</v>
      </c>
      <c r="T44" s="219">
        <f>'CF 2025'!H43</f>
        <v>0</v>
      </c>
      <c r="U44" s="219">
        <f>'CF 2025'!I43</f>
        <v>0</v>
      </c>
      <c r="V44" s="337"/>
      <c r="W44" s="337"/>
    </row>
    <row r="45" spans="2:23" x14ac:dyDescent="0.3">
      <c r="B45" s="346" t="s">
        <v>117</v>
      </c>
      <c r="C45" s="337"/>
      <c r="D45" s="337"/>
      <c r="E45" s="337"/>
      <c r="F45" s="337"/>
      <c r="G45" s="338">
        <f>'CF 2023'!S45</f>
        <v>0</v>
      </c>
      <c r="H45" s="338">
        <f>'CF 2023'!T45</f>
        <v>0</v>
      </c>
      <c r="I45" s="338">
        <f>'CF 2023'!U45</f>
        <v>0</v>
      </c>
      <c r="J45" s="339"/>
      <c r="K45" s="339"/>
      <c r="L45" s="339"/>
      <c r="M45" s="339"/>
      <c r="N45" s="339"/>
      <c r="O45" s="339"/>
      <c r="P45" s="339"/>
      <c r="Q45" s="339"/>
      <c r="R45" s="339"/>
      <c r="S45" s="219">
        <f>'CF 2025'!G44</f>
        <v>0</v>
      </c>
      <c r="T45" s="219">
        <f>'CF 2025'!H44</f>
        <v>0</v>
      </c>
      <c r="U45" s="219">
        <f>'CF 2025'!I44</f>
        <v>0</v>
      </c>
      <c r="V45" s="337"/>
      <c r="W45" s="337"/>
    </row>
    <row r="46" spans="2:23" x14ac:dyDescent="0.3">
      <c r="B46" s="336" t="s">
        <v>160</v>
      </c>
      <c r="C46" s="337"/>
      <c r="D46" s="337"/>
      <c r="E46" s="337"/>
      <c r="F46" s="337"/>
      <c r="G46" s="338">
        <f>'CF 2023'!S46</f>
        <v>0</v>
      </c>
      <c r="H46" s="338">
        <f>'CF 2023'!T46</f>
        <v>0</v>
      </c>
      <c r="I46" s="338">
        <f>'CF 2023'!U46</f>
        <v>0</v>
      </c>
      <c r="J46" s="339"/>
      <c r="K46" s="339"/>
      <c r="L46" s="339"/>
      <c r="M46" s="339"/>
      <c r="N46" s="339"/>
      <c r="O46" s="339"/>
      <c r="P46" s="339"/>
      <c r="Q46" s="339"/>
      <c r="R46" s="339"/>
      <c r="S46" s="219">
        <f>'CF 2025'!G45</f>
        <v>0</v>
      </c>
      <c r="T46" s="219">
        <f>'CF 2025'!H45</f>
        <v>0</v>
      </c>
      <c r="U46" s="219">
        <f>'CF 2025'!I45</f>
        <v>0</v>
      </c>
      <c r="V46" s="337"/>
      <c r="W46" s="337"/>
    </row>
    <row r="47" spans="2:23" x14ac:dyDescent="0.3">
      <c r="B47" s="346" t="s">
        <v>117</v>
      </c>
      <c r="C47" s="337"/>
      <c r="D47" s="337"/>
      <c r="E47" s="337"/>
      <c r="F47" s="337"/>
      <c r="G47" s="338">
        <f>'CF 2023'!S47</f>
        <v>0</v>
      </c>
      <c r="H47" s="338">
        <f>'CF 2023'!T47</f>
        <v>0</v>
      </c>
      <c r="I47" s="338">
        <f>'CF 2023'!U47</f>
        <v>0</v>
      </c>
      <c r="J47" s="339"/>
      <c r="K47" s="339"/>
      <c r="L47" s="339"/>
      <c r="M47" s="339"/>
      <c r="N47" s="339"/>
      <c r="O47" s="339"/>
      <c r="P47" s="339"/>
      <c r="Q47" s="339"/>
      <c r="R47" s="339"/>
      <c r="S47" s="219">
        <f>'CF 2025'!G46</f>
        <v>0</v>
      </c>
      <c r="T47" s="219">
        <f>'CF 2025'!H46</f>
        <v>0</v>
      </c>
      <c r="U47" s="219">
        <f>'CF 2025'!I46</f>
        <v>0</v>
      </c>
      <c r="V47" s="337"/>
      <c r="W47" s="337"/>
    </row>
    <row r="48" spans="2:23" x14ac:dyDescent="0.3">
      <c r="B48" s="336" t="s">
        <v>161</v>
      </c>
      <c r="C48" s="337"/>
      <c r="D48" s="337"/>
      <c r="E48" s="337"/>
      <c r="F48" s="337"/>
      <c r="G48" s="338">
        <f>'CF 2023'!S48</f>
        <v>0</v>
      </c>
      <c r="H48" s="338">
        <f>'CF 2023'!T48</f>
        <v>0</v>
      </c>
      <c r="I48" s="338">
        <f>'CF 2023'!U48</f>
        <v>0</v>
      </c>
      <c r="J48" s="339"/>
      <c r="K48" s="339"/>
      <c r="L48" s="339"/>
      <c r="M48" s="339"/>
      <c r="N48" s="339"/>
      <c r="O48" s="339"/>
      <c r="P48" s="339"/>
      <c r="Q48" s="339"/>
      <c r="R48" s="339"/>
      <c r="S48" s="219">
        <f>'CF 2025'!G47</f>
        <v>0</v>
      </c>
      <c r="T48" s="219">
        <f>'CF 2025'!H47</f>
        <v>0</v>
      </c>
      <c r="U48" s="219">
        <f>'CF 2025'!I47</f>
        <v>0</v>
      </c>
      <c r="V48" s="337"/>
      <c r="W48" s="337"/>
    </row>
    <row r="49" spans="1:23" x14ac:dyDescent="0.3">
      <c r="B49" s="346" t="s">
        <v>117</v>
      </c>
      <c r="C49" s="337"/>
      <c r="D49" s="337"/>
      <c r="E49" s="337"/>
      <c r="F49" s="337"/>
      <c r="G49" s="338">
        <f>'CF 2023'!S49</f>
        <v>0</v>
      </c>
      <c r="H49" s="338">
        <f>'CF 2023'!T49</f>
        <v>0</v>
      </c>
      <c r="I49" s="338">
        <f>'CF 2023'!U49</f>
        <v>0</v>
      </c>
      <c r="J49" s="339"/>
      <c r="K49" s="339"/>
      <c r="L49" s="339"/>
      <c r="M49" s="339"/>
      <c r="N49" s="339"/>
      <c r="O49" s="339"/>
      <c r="P49" s="339"/>
      <c r="Q49" s="339"/>
      <c r="R49" s="339"/>
      <c r="S49" s="219">
        <f>'CF 2025'!G48</f>
        <v>0</v>
      </c>
      <c r="T49" s="219">
        <f>'CF 2025'!H48</f>
        <v>0</v>
      </c>
      <c r="U49" s="219">
        <f>'CF 2025'!I48</f>
        <v>0</v>
      </c>
      <c r="V49" s="337"/>
      <c r="W49" s="337"/>
    </row>
    <row r="50" spans="1:23" x14ac:dyDescent="0.3">
      <c r="B50" s="336" t="s">
        <v>45</v>
      </c>
      <c r="C50" s="337"/>
      <c r="D50" s="337"/>
      <c r="E50" s="337"/>
      <c r="F50" s="337"/>
      <c r="G50" s="338">
        <f>'CF 2023'!S50</f>
        <v>0</v>
      </c>
      <c r="H50" s="338">
        <f>'CF 2023'!T50</f>
        <v>0</v>
      </c>
      <c r="I50" s="338">
        <f>'CF 2023'!U50</f>
        <v>0</v>
      </c>
      <c r="J50" s="339"/>
      <c r="K50" s="339"/>
      <c r="L50" s="339"/>
      <c r="M50" s="339"/>
      <c r="N50" s="339"/>
      <c r="O50" s="339"/>
      <c r="P50" s="339"/>
      <c r="Q50" s="339"/>
      <c r="R50" s="339"/>
      <c r="S50" s="219">
        <f>'CF 2025'!G49</f>
        <v>0</v>
      </c>
      <c r="T50" s="219">
        <f>'CF 2025'!H49</f>
        <v>0</v>
      </c>
      <c r="U50" s="219">
        <f>'CF 2025'!I49</f>
        <v>0</v>
      </c>
      <c r="V50" s="337"/>
      <c r="W50" s="337"/>
    </row>
    <row r="51" spans="1:23" x14ac:dyDescent="0.3">
      <c r="B51" s="336" t="s">
        <v>162</v>
      </c>
      <c r="C51" s="337"/>
      <c r="D51" s="337"/>
      <c r="E51" s="337"/>
      <c r="F51" s="337"/>
      <c r="G51" s="338">
        <f>'CF 2023'!S51</f>
        <v>-5500</v>
      </c>
      <c r="H51" s="338">
        <f>'CF 2023'!T51</f>
        <v>-5500</v>
      </c>
      <c r="I51" s="338">
        <f>'CF 2023'!U51</f>
        <v>-5500</v>
      </c>
      <c r="J51" s="338">
        <f t="shared" ref="J51" si="14">SUM(J38:J50)</f>
        <v>-5500</v>
      </c>
      <c r="K51" s="338">
        <f t="shared" ref="K51:R51" si="15">SUM(K38:K50)</f>
        <v>-5500</v>
      </c>
      <c r="L51" s="338">
        <f t="shared" si="15"/>
        <v>-5500</v>
      </c>
      <c r="M51" s="338">
        <f t="shared" si="15"/>
        <v>-5500</v>
      </c>
      <c r="N51" s="338">
        <f t="shared" si="15"/>
        <v>-5500</v>
      </c>
      <c r="O51" s="338">
        <f t="shared" si="15"/>
        <v>-5500</v>
      </c>
      <c r="P51" s="338">
        <f t="shared" si="15"/>
        <v>-5500</v>
      </c>
      <c r="Q51" s="338">
        <f t="shared" si="15"/>
        <v>-5500</v>
      </c>
      <c r="R51" s="338">
        <f t="shared" si="15"/>
        <v>-5500</v>
      </c>
      <c r="S51" s="219">
        <f>'CF 2025'!G50</f>
        <v>-5500</v>
      </c>
      <c r="T51" s="219">
        <f>'CF 2025'!H50</f>
        <v>-5500</v>
      </c>
      <c r="U51" s="219">
        <f>'CF 2025'!I50</f>
        <v>-5500</v>
      </c>
      <c r="V51" s="337"/>
      <c r="W51" s="337"/>
    </row>
    <row r="52" spans="1:23" x14ac:dyDescent="0.3">
      <c r="A52" s="206"/>
      <c r="B52" s="456" t="s">
        <v>163</v>
      </c>
      <c r="C52" s="457"/>
      <c r="D52" s="457"/>
      <c r="E52" s="457"/>
      <c r="F52" s="457"/>
      <c r="G52" s="458">
        <f t="shared" ref="G52:J52" si="16">G31+G51</f>
        <v>8577.4</v>
      </c>
      <c r="H52" s="458">
        <f t="shared" si="16"/>
        <v>21049.53047034765</v>
      </c>
      <c r="I52" s="458">
        <f t="shared" si="16"/>
        <v>21372.111542610572</v>
      </c>
      <c r="J52" s="458">
        <f t="shared" si="16"/>
        <v>20945.217976852546</v>
      </c>
      <c r="K52" s="458">
        <f t="shared" ref="K52:R52" si="17">K31+K51</f>
        <v>21502.038576889154</v>
      </c>
      <c r="L52" s="458">
        <f t="shared" si="17"/>
        <v>22600.42959326788</v>
      </c>
      <c r="M52" s="458">
        <f t="shared" si="17"/>
        <v>23501.815501149737</v>
      </c>
      <c r="N52" s="458">
        <f t="shared" si="17"/>
        <v>24406.026058113308</v>
      </c>
      <c r="O52" s="458">
        <f t="shared" si="17"/>
        <v>26376.426265741451</v>
      </c>
      <c r="P52" s="458">
        <f t="shared" si="17"/>
        <v>28108.045962423785</v>
      </c>
      <c r="Q52" s="458">
        <f t="shared" si="17"/>
        <v>29620.219390516533</v>
      </c>
      <c r="R52" s="458">
        <f t="shared" si="17"/>
        <v>24923.656542056073</v>
      </c>
      <c r="S52" s="459">
        <f t="shared" ref="S52:T52" si="18">S31+S51</f>
        <v>25422.256542056071</v>
      </c>
      <c r="T52" s="459">
        <f t="shared" si="18"/>
        <v>25556.056542056074</v>
      </c>
      <c r="U52" s="459">
        <f>U31+U51</f>
        <v>30939.456542056076</v>
      </c>
      <c r="V52" s="459">
        <f>SUM(G52:R52)</f>
        <v>272982.91787996865</v>
      </c>
      <c r="W52" s="337"/>
    </row>
    <row r="53" spans="1:23" x14ac:dyDescent="0.3">
      <c r="A53" s="151"/>
      <c r="B53" s="177" t="s">
        <v>164</v>
      </c>
      <c r="C53" s="151"/>
      <c r="D53" s="151"/>
      <c r="E53" s="151"/>
      <c r="F53" s="15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151"/>
      <c r="T53" s="151"/>
      <c r="U53" s="151"/>
      <c r="V53" s="151"/>
    </row>
    <row r="54" spans="1:23" x14ac:dyDescent="0.3">
      <c r="B54" s="347" t="s">
        <v>155</v>
      </c>
      <c r="C54" s="347"/>
      <c r="D54" s="347"/>
      <c r="E54" s="347"/>
      <c r="F54" s="347"/>
      <c r="G54" s="348">
        <f t="shared" ref="G54:J54" si="19">G36</f>
        <v>0</v>
      </c>
      <c r="H54" s="348">
        <f t="shared" si="19"/>
        <v>0</v>
      </c>
      <c r="I54" s="348">
        <f t="shared" si="19"/>
        <v>0</v>
      </c>
      <c r="J54" s="348">
        <f t="shared" si="19"/>
        <v>0</v>
      </c>
      <c r="K54" s="348">
        <f t="shared" ref="K54:R54" si="20">K36</f>
        <v>0</v>
      </c>
      <c r="L54" s="348">
        <f t="shared" si="20"/>
        <v>0</v>
      </c>
      <c r="M54" s="348">
        <f t="shared" si="20"/>
        <v>0</v>
      </c>
      <c r="N54" s="348">
        <f t="shared" si="20"/>
        <v>0</v>
      </c>
      <c r="O54" s="348">
        <f t="shared" si="20"/>
        <v>0</v>
      </c>
      <c r="P54" s="348">
        <f t="shared" si="20"/>
        <v>0</v>
      </c>
      <c r="Q54" s="348">
        <f t="shared" si="20"/>
        <v>0</v>
      </c>
      <c r="R54" s="348">
        <f t="shared" si="20"/>
        <v>0</v>
      </c>
      <c r="S54" s="460">
        <f t="shared" ref="S54:U54" si="21">S36</f>
        <v>0</v>
      </c>
      <c r="T54" s="460">
        <f t="shared" si="21"/>
        <v>0</v>
      </c>
      <c r="U54" s="460">
        <f t="shared" si="21"/>
        <v>0</v>
      </c>
      <c r="V54" s="337"/>
    </row>
    <row r="55" spans="1:23" x14ac:dyDescent="0.3">
      <c r="B55" s="340" t="s">
        <v>162</v>
      </c>
      <c r="C55" s="340"/>
      <c r="D55" s="340"/>
      <c r="E55" s="340"/>
      <c r="F55" s="340"/>
      <c r="G55" s="440">
        <f t="shared" ref="G55:J55" si="22">G51</f>
        <v>-5500</v>
      </c>
      <c r="H55" s="440">
        <f t="shared" si="22"/>
        <v>-5500</v>
      </c>
      <c r="I55" s="440">
        <f t="shared" si="22"/>
        <v>-5500</v>
      </c>
      <c r="J55" s="440">
        <f t="shared" si="22"/>
        <v>-5500</v>
      </c>
      <c r="K55" s="440">
        <f t="shared" ref="K55:R55" si="23">K51</f>
        <v>-5500</v>
      </c>
      <c r="L55" s="440">
        <f t="shared" si="23"/>
        <v>-5500</v>
      </c>
      <c r="M55" s="440">
        <f t="shared" si="23"/>
        <v>-5500</v>
      </c>
      <c r="N55" s="440">
        <f t="shared" si="23"/>
        <v>-5500</v>
      </c>
      <c r="O55" s="440">
        <f t="shared" si="23"/>
        <v>-5500</v>
      </c>
      <c r="P55" s="440">
        <f t="shared" si="23"/>
        <v>-5500</v>
      </c>
      <c r="Q55" s="440">
        <f t="shared" si="23"/>
        <v>-5500</v>
      </c>
      <c r="R55" s="440">
        <f t="shared" si="23"/>
        <v>-5500</v>
      </c>
      <c r="S55" s="432">
        <f t="shared" ref="S55:U55" si="24">S51</f>
        <v>-5500</v>
      </c>
      <c r="T55" s="432">
        <f t="shared" si="24"/>
        <v>-5500</v>
      </c>
      <c r="U55" s="432">
        <f t="shared" si="24"/>
        <v>-5500</v>
      </c>
      <c r="V55" s="337"/>
    </row>
    <row r="56" spans="1:23" x14ac:dyDescent="0.3">
      <c r="B56" s="340" t="s">
        <v>37</v>
      </c>
      <c r="C56" s="340"/>
      <c r="D56" s="340"/>
      <c r="E56" s="340"/>
      <c r="F56" s="340"/>
      <c r="G56" s="328">
        <f>G11</f>
        <v>27109</v>
      </c>
      <c r="H56" s="328">
        <f t="shared" ref="H56:U56" si="25">H11</f>
        <v>39545.930470347652</v>
      </c>
      <c r="I56" s="328">
        <f t="shared" si="25"/>
        <v>39809.911542610571</v>
      </c>
      <c r="J56" s="328">
        <f t="shared" si="25"/>
        <v>39191.817976852544</v>
      </c>
      <c r="K56" s="328">
        <f t="shared" si="25"/>
        <v>40013.838576889153</v>
      </c>
      <c r="L56" s="328">
        <f t="shared" si="25"/>
        <v>41091.829593267881</v>
      </c>
      <c r="M56" s="328">
        <f t="shared" si="25"/>
        <v>41845.815501149737</v>
      </c>
      <c r="N56" s="328">
        <f t="shared" si="25"/>
        <v>42527.826058113307</v>
      </c>
      <c r="O56" s="328">
        <f t="shared" si="25"/>
        <v>43425.826265741453</v>
      </c>
      <c r="P56" s="328">
        <f t="shared" si="25"/>
        <v>44673.845962423788</v>
      </c>
      <c r="Q56" s="328">
        <f t="shared" si="25"/>
        <v>45927.819390516532</v>
      </c>
      <c r="R56" s="328">
        <f t="shared" si="25"/>
        <v>40525.656542056073</v>
      </c>
      <c r="S56" s="328">
        <f t="shared" si="25"/>
        <v>40526.656542056073</v>
      </c>
      <c r="T56" s="328">
        <f t="shared" si="25"/>
        <v>40527.656542056073</v>
      </c>
      <c r="U56" s="328">
        <f t="shared" si="25"/>
        <v>40528.656542056073</v>
      </c>
      <c r="V56" s="337"/>
    </row>
    <row r="57" spans="1:23" x14ac:dyDescent="0.3">
      <c r="B57" s="340" t="s">
        <v>38</v>
      </c>
      <c r="C57" s="340"/>
      <c r="D57" s="340"/>
      <c r="E57" s="340"/>
      <c r="F57" s="340"/>
      <c r="G57" s="440">
        <f t="shared" ref="G57:J57" si="26">G26</f>
        <v>-325</v>
      </c>
      <c r="H57" s="440">
        <f t="shared" si="26"/>
        <v>-325</v>
      </c>
      <c r="I57" s="440">
        <f t="shared" si="26"/>
        <v>-325</v>
      </c>
      <c r="J57" s="440">
        <f t="shared" si="26"/>
        <v>-325</v>
      </c>
      <c r="K57" s="440">
        <f t="shared" ref="K57:R57" si="27">K26</f>
        <v>-325</v>
      </c>
      <c r="L57" s="440">
        <f t="shared" si="27"/>
        <v>-325</v>
      </c>
      <c r="M57" s="440">
        <f t="shared" si="27"/>
        <v>-325</v>
      </c>
      <c r="N57" s="440">
        <f t="shared" si="27"/>
        <v>-325</v>
      </c>
      <c r="O57" s="440">
        <f t="shared" si="27"/>
        <v>-325</v>
      </c>
      <c r="P57" s="440">
        <f t="shared" si="27"/>
        <v>-325</v>
      </c>
      <c r="Q57" s="440">
        <f t="shared" si="27"/>
        <v>-325</v>
      </c>
      <c r="R57" s="440">
        <f t="shared" si="27"/>
        <v>-325</v>
      </c>
      <c r="S57" s="432">
        <f t="shared" ref="S57:U57" si="28">S26</f>
        <v>-325</v>
      </c>
      <c r="T57" s="432">
        <f t="shared" si="28"/>
        <v>-325</v>
      </c>
      <c r="U57" s="432">
        <f t="shared" si="28"/>
        <v>-325</v>
      </c>
      <c r="V57" s="337"/>
    </row>
    <row r="58" spans="1:23" x14ac:dyDescent="0.3">
      <c r="B58" s="340" t="s">
        <v>165</v>
      </c>
      <c r="C58" s="340"/>
      <c r="D58" s="340"/>
      <c r="E58" s="340"/>
      <c r="F58" s="340"/>
      <c r="G58" s="328">
        <f t="shared" ref="G58:J58" si="29">SUM(G54:G57)</f>
        <v>21284</v>
      </c>
      <c r="H58" s="328">
        <f t="shared" si="29"/>
        <v>33720.930470347652</v>
      </c>
      <c r="I58" s="328">
        <f t="shared" si="29"/>
        <v>33984.911542610571</v>
      </c>
      <c r="J58" s="328">
        <f t="shared" si="29"/>
        <v>33366.817976852544</v>
      </c>
      <c r="K58" s="328">
        <f t="shared" ref="K58:R58" si="30">SUM(K54:K57)</f>
        <v>34188.838576889153</v>
      </c>
      <c r="L58" s="328">
        <f t="shared" si="30"/>
        <v>35266.829593267881</v>
      </c>
      <c r="M58" s="328">
        <f t="shared" si="30"/>
        <v>36020.815501149737</v>
      </c>
      <c r="N58" s="328">
        <f t="shared" si="30"/>
        <v>36702.826058113307</v>
      </c>
      <c r="O58" s="328">
        <f t="shared" si="30"/>
        <v>37600.826265741453</v>
      </c>
      <c r="P58" s="328">
        <f t="shared" si="30"/>
        <v>38848.845962423788</v>
      </c>
      <c r="Q58" s="328">
        <f t="shared" si="30"/>
        <v>40102.819390516532</v>
      </c>
      <c r="R58" s="328">
        <f t="shared" si="30"/>
        <v>34700.656542056073</v>
      </c>
      <c r="S58" s="154">
        <f t="shared" ref="S58:U58" si="31">SUM(S54:S57)</f>
        <v>34701.656542056073</v>
      </c>
      <c r="T58" s="154">
        <f t="shared" si="31"/>
        <v>34702.656542056073</v>
      </c>
      <c r="U58" s="154">
        <f t="shared" si="31"/>
        <v>34703.656542056073</v>
      </c>
      <c r="V58" s="337"/>
    </row>
    <row r="59" spans="1:23" x14ac:dyDescent="0.3">
      <c r="B59" s="340" t="s">
        <v>148</v>
      </c>
      <c r="C59" s="340"/>
      <c r="D59" s="340"/>
      <c r="E59" s="340"/>
      <c r="F59" s="340"/>
      <c r="G59" s="440">
        <f>G27</f>
        <v>-9200</v>
      </c>
      <c r="H59" s="440">
        <f t="shared" ref="H59:T59" si="32">H27</f>
        <v>-8925</v>
      </c>
      <c r="I59" s="440">
        <f t="shared" si="32"/>
        <v>-8650</v>
      </c>
      <c r="J59" s="440">
        <f t="shared" si="32"/>
        <v>-8375</v>
      </c>
      <c r="K59" s="440">
        <f t="shared" si="32"/>
        <v>-8100</v>
      </c>
      <c r="L59" s="440">
        <f t="shared" si="32"/>
        <v>-7825</v>
      </c>
      <c r="M59" s="440">
        <f t="shared" si="32"/>
        <v>-7550</v>
      </c>
      <c r="N59" s="440">
        <f t="shared" si="32"/>
        <v>-7275</v>
      </c>
      <c r="O59" s="440">
        <f t="shared" si="32"/>
        <v>-7000</v>
      </c>
      <c r="P59" s="440">
        <f t="shared" si="32"/>
        <v>-6725</v>
      </c>
      <c r="Q59" s="440">
        <f t="shared" si="32"/>
        <v>-6450</v>
      </c>
      <c r="R59" s="440">
        <f t="shared" si="32"/>
        <v>-6175</v>
      </c>
      <c r="S59" s="440">
        <f t="shared" si="32"/>
        <v>-5900</v>
      </c>
      <c r="T59" s="440">
        <f t="shared" si="32"/>
        <v>-5625</v>
      </c>
      <c r="U59" s="328"/>
      <c r="V59" s="337"/>
    </row>
    <row r="60" spans="1:23" x14ac:dyDescent="0.3">
      <c r="B60" s="340" t="s">
        <v>149</v>
      </c>
      <c r="C60" s="340"/>
      <c r="D60" s="340"/>
      <c r="E60" s="340"/>
      <c r="F60" s="340"/>
      <c r="G60" s="461">
        <f>'IS 2024'!F72</f>
        <v>-3506.6000000000004</v>
      </c>
      <c r="H60" s="461">
        <f>'IS 2024'!G72</f>
        <v>-3746.4</v>
      </c>
      <c r="I60" s="461">
        <f>'IS 2024'!H72</f>
        <v>-3962.8</v>
      </c>
      <c r="J60" s="461">
        <f>'IS 2024'!I72</f>
        <v>-4046.6000000000004</v>
      </c>
      <c r="K60" s="461">
        <f>'IS 2024'!J72</f>
        <v>-4586.8</v>
      </c>
      <c r="L60" s="461">
        <f>'IS 2024'!K72</f>
        <v>-4841.4000000000005</v>
      </c>
      <c r="M60" s="461">
        <f>'IS 2024'!L72</f>
        <v>-4969</v>
      </c>
      <c r="N60" s="461">
        <f>'IS 2024'!M72</f>
        <v>-5021.8</v>
      </c>
      <c r="O60" s="461">
        <f>'IS 2024'!N72</f>
        <v>-4224.4000000000005</v>
      </c>
      <c r="P60" s="461">
        <f>'IS 2024'!O72</f>
        <v>-4015.8</v>
      </c>
      <c r="Q60" s="461">
        <f>'IS 2024'!P72</f>
        <v>-4032.6000000000004</v>
      </c>
      <c r="R60" s="461">
        <f>'IS 2024'!Q72</f>
        <v>-3602</v>
      </c>
      <c r="S60" s="461">
        <f>'IS 2024'!R72</f>
        <v>-3379.4</v>
      </c>
      <c r="T60" s="461">
        <f>'IS 2024'!S72</f>
        <v>-3521.6000000000004</v>
      </c>
      <c r="U60" s="461">
        <f>'IS 2024'!T72</f>
        <v>-3764.2000000000003</v>
      </c>
      <c r="V60" s="337"/>
    </row>
    <row r="61" spans="1:23" x14ac:dyDescent="0.3">
      <c r="B61" s="340" t="s">
        <v>163</v>
      </c>
      <c r="C61" s="340"/>
      <c r="D61" s="340"/>
      <c r="E61" s="340"/>
      <c r="F61" s="340"/>
      <c r="G61" s="440">
        <f t="shared" ref="G61:J61" si="33">SUM(G58:G60)</f>
        <v>8577.4</v>
      </c>
      <c r="H61" s="328">
        <f t="shared" si="33"/>
        <v>21049.53047034765</v>
      </c>
      <c r="I61" s="328">
        <f t="shared" si="33"/>
        <v>21372.111542610572</v>
      </c>
      <c r="J61" s="328">
        <f t="shared" si="33"/>
        <v>20945.217976852546</v>
      </c>
      <c r="K61" s="328">
        <f t="shared" ref="K61:R61" si="34">SUM(K58:K60)</f>
        <v>21502.038576889154</v>
      </c>
      <c r="L61" s="328">
        <f t="shared" si="34"/>
        <v>22600.42959326788</v>
      </c>
      <c r="M61" s="328">
        <f t="shared" si="34"/>
        <v>23501.815501149737</v>
      </c>
      <c r="N61" s="328">
        <f t="shared" si="34"/>
        <v>24406.026058113308</v>
      </c>
      <c r="O61" s="328">
        <f t="shared" si="34"/>
        <v>26376.426265741451</v>
      </c>
      <c r="P61" s="328">
        <f t="shared" si="34"/>
        <v>28108.045962423788</v>
      </c>
      <c r="Q61" s="328">
        <f t="shared" si="34"/>
        <v>29620.219390516533</v>
      </c>
      <c r="R61" s="328">
        <f t="shared" si="34"/>
        <v>24923.656542056073</v>
      </c>
      <c r="S61" s="154">
        <f t="shared" ref="S61:U61" si="35">SUM(S58:S60)</f>
        <v>25422.256542056071</v>
      </c>
      <c r="T61" s="154">
        <f t="shared" si="35"/>
        <v>25556.056542056074</v>
      </c>
      <c r="U61" s="154">
        <f t="shared" si="35"/>
        <v>30939.456542056072</v>
      </c>
      <c r="V61" s="337"/>
    </row>
    <row r="62" spans="1:23" x14ac:dyDescent="0.3">
      <c r="B62" s="9"/>
      <c r="C62" s="9"/>
      <c r="D62" s="9"/>
      <c r="E62" s="9"/>
      <c r="F62" s="9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9"/>
      <c r="T62" s="9"/>
      <c r="U62" s="9"/>
    </row>
    <row r="63" spans="1:23" x14ac:dyDescent="0.3">
      <c r="A63" s="151"/>
      <c r="B63" s="177" t="s">
        <v>166</v>
      </c>
      <c r="C63" s="151"/>
      <c r="D63" s="151"/>
      <c r="E63" s="151"/>
      <c r="F63" s="15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151"/>
      <c r="T63" s="151"/>
      <c r="U63" s="151"/>
      <c r="V63" s="151"/>
    </row>
    <row r="64" spans="1:23" x14ac:dyDescent="0.3">
      <c r="B64" s="337" t="s">
        <v>167</v>
      </c>
      <c r="C64" s="337"/>
      <c r="D64" s="337"/>
      <c r="E64" s="337"/>
      <c r="F64" s="337"/>
      <c r="G64" s="338">
        <f t="shared" ref="G64:J64" si="36">SUM(G31+G36)</f>
        <v>14077.4</v>
      </c>
      <c r="H64" s="338">
        <f t="shared" si="36"/>
        <v>26549.53047034765</v>
      </c>
      <c r="I64" s="338">
        <f t="shared" si="36"/>
        <v>26872.111542610572</v>
      </c>
      <c r="J64" s="338">
        <f t="shared" si="36"/>
        <v>26445.217976852546</v>
      </c>
      <c r="K64" s="338">
        <f t="shared" ref="K64:R64" si="37">SUM(K31+K36)</f>
        <v>27002.038576889154</v>
      </c>
      <c r="L64" s="338">
        <f t="shared" si="37"/>
        <v>28100.42959326788</v>
      </c>
      <c r="M64" s="338">
        <f t="shared" si="37"/>
        <v>29001.815501149737</v>
      </c>
      <c r="N64" s="338">
        <f t="shared" si="37"/>
        <v>29906.026058113308</v>
      </c>
      <c r="O64" s="338">
        <f t="shared" si="37"/>
        <v>31876.426265741451</v>
      </c>
      <c r="P64" s="338">
        <f t="shared" si="37"/>
        <v>33608.045962423785</v>
      </c>
      <c r="Q64" s="338">
        <f t="shared" si="37"/>
        <v>35120.219390516533</v>
      </c>
      <c r="R64" s="338">
        <f t="shared" si="37"/>
        <v>30423.656542056073</v>
      </c>
      <c r="S64" s="219">
        <f t="shared" ref="S64:U64" si="38">SUM(S31+S36)</f>
        <v>30922.256542056071</v>
      </c>
      <c r="T64" s="219">
        <f t="shared" si="38"/>
        <v>31056.056542056074</v>
      </c>
      <c r="U64" s="219">
        <f t="shared" si="38"/>
        <v>36439.456542056076</v>
      </c>
    </row>
    <row r="65" spans="2:21" x14ac:dyDescent="0.3">
      <c r="B65" s="337" t="s">
        <v>168</v>
      </c>
      <c r="C65" s="337"/>
      <c r="D65" s="337"/>
      <c r="E65" s="337"/>
      <c r="F65" s="337"/>
      <c r="G65" s="438">
        <f t="shared" ref="G65:J65" si="39">G61</f>
        <v>8577.4</v>
      </c>
      <c r="H65" s="338">
        <f t="shared" si="39"/>
        <v>21049.53047034765</v>
      </c>
      <c r="I65" s="338">
        <f t="shared" si="39"/>
        <v>21372.111542610572</v>
      </c>
      <c r="J65" s="338">
        <f t="shared" si="39"/>
        <v>20945.217976852546</v>
      </c>
      <c r="K65" s="338">
        <f t="shared" ref="K65:R65" si="40">K61</f>
        <v>21502.038576889154</v>
      </c>
      <c r="L65" s="338">
        <f t="shared" si="40"/>
        <v>22600.42959326788</v>
      </c>
      <c r="M65" s="338">
        <f t="shared" si="40"/>
        <v>23501.815501149737</v>
      </c>
      <c r="N65" s="338">
        <f t="shared" si="40"/>
        <v>24406.026058113308</v>
      </c>
      <c r="O65" s="338">
        <f t="shared" si="40"/>
        <v>26376.426265741451</v>
      </c>
      <c r="P65" s="338">
        <f t="shared" si="40"/>
        <v>28108.045962423788</v>
      </c>
      <c r="Q65" s="338">
        <f t="shared" si="40"/>
        <v>29620.219390516533</v>
      </c>
      <c r="R65" s="338">
        <f t="shared" si="40"/>
        <v>24923.656542056073</v>
      </c>
      <c r="S65" s="219">
        <f t="shared" ref="S65:U65" si="41">S61</f>
        <v>25422.256542056071</v>
      </c>
      <c r="T65" s="219">
        <f t="shared" si="41"/>
        <v>25556.056542056074</v>
      </c>
      <c r="U65" s="219">
        <f t="shared" si="41"/>
        <v>30939.456542056072</v>
      </c>
    </row>
    <row r="66" spans="2:21" x14ac:dyDescent="0.3">
      <c r="B66" s="337" t="s">
        <v>169</v>
      </c>
      <c r="C66" s="337"/>
      <c r="D66" s="337"/>
      <c r="E66" s="337"/>
      <c r="F66" s="337"/>
      <c r="G66" s="438">
        <f t="shared" ref="G66:J66" si="42">G61</f>
        <v>8577.4</v>
      </c>
      <c r="H66" s="338">
        <f t="shared" si="42"/>
        <v>21049.53047034765</v>
      </c>
      <c r="I66" s="338">
        <f t="shared" si="42"/>
        <v>21372.111542610572</v>
      </c>
      <c r="J66" s="338">
        <f t="shared" si="42"/>
        <v>20945.217976852546</v>
      </c>
      <c r="K66" s="338">
        <f t="shared" ref="K66:R66" si="43">K61</f>
        <v>21502.038576889154</v>
      </c>
      <c r="L66" s="338">
        <f t="shared" si="43"/>
        <v>22600.42959326788</v>
      </c>
      <c r="M66" s="338">
        <f t="shared" si="43"/>
        <v>23501.815501149737</v>
      </c>
      <c r="N66" s="338">
        <f t="shared" si="43"/>
        <v>24406.026058113308</v>
      </c>
      <c r="O66" s="338">
        <f t="shared" si="43"/>
        <v>26376.426265741451</v>
      </c>
      <c r="P66" s="338">
        <f t="shared" si="43"/>
        <v>28108.045962423788</v>
      </c>
      <c r="Q66" s="338">
        <f t="shared" si="43"/>
        <v>29620.219390516533</v>
      </c>
      <c r="R66" s="338">
        <f t="shared" si="43"/>
        <v>24923.656542056073</v>
      </c>
      <c r="S66" s="219">
        <f t="shared" ref="S66:T66" si="44">S61</f>
        <v>25422.256542056071</v>
      </c>
      <c r="T66" s="219">
        <f t="shared" si="44"/>
        <v>25556.056542056074</v>
      </c>
      <c r="U66" s="219">
        <f>U61</f>
        <v>30939.456542056072</v>
      </c>
    </row>
    <row r="67" spans="2:21" x14ac:dyDescent="0.3">
      <c r="B67" s="337" t="s">
        <v>161</v>
      </c>
      <c r="C67" s="337"/>
      <c r="D67" s="337"/>
      <c r="E67" s="337"/>
      <c r="F67" s="337"/>
      <c r="G67" s="4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7"/>
      <c r="T67" s="337"/>
      <c r="U67" s="337"/>
    </row>
    <row r="68" spans="2:21" x14ac:dyDescent="0.3">
      <c r="B68" s="337" t="s">
        <v>163</v>
      </c>
      <c r="C68" s="337"/>
      <c r="D68" s="337"/>
      <c r="E68" s="337"/>
      <c r="F68" s="337"/>
      <c r="G68" s="438">
        <f t="shared" ref="G68:J68" si="45">G61</f>
        <v>8577.4</v>
      </c>
      <c r="H68" s="338">
        <f t="shared" si="45"/>
        <v>21049.53047034765</v>
      </c>
      <c r="I68" s="338">
        <f t="shared" si="45"/>
        <v>21372.111542610572</v>
      </c>
      <c r="J68" s="338">
        <f t="shared" si="45"/>
        <v>20945.217976852546</v>
      </c>
      <c r="K68" s="338">
        <f t="shared" ref="K68:R68" si="46">K61</f>
        <v>21502.038576889154</v>
      </c>
      <c r="L68" s="338">
        <f t="shared" si="46"/>
        <v>22600.42959326788</v>
      </c>
      <c r="M68" s="338">
        <f t="shared" si="46"/>
        <v>23501.815501149737</v>
      </c>
      <c r="N68" s="338">
        <f t="shared" si="46"/>
        <v>24406.026058113308</v>
      </c>
      <c r="O68" s="338">
        <f t="shared" si="46"/>
        <v>26376.426265741451</v>
      </c>
      <c r="P68" s="338">
        <f t="shared" si="46"/>
        <v>28108.045962423788</v>
      </c>
      <c r="Q68" s="338">
        <f t="shared" si="46"/>
        <v>29620.219390516533</v>
      </c>
      <c r="R68" s="338">
        <f t="shared" si="46"/>
        <v>24923.656542056073</v>
      </c>
      <c r="S68" s="219">
        <f t="shared" ref="S68:U68" si="47">S61</f>
        <v>25422.256542056071</v>
      </c>
      <c r="T68" s="219">
        <f t="shared" si="47"/>
        <v>25556.056542056074</v>
      </c>
      <c r="U68" s="219">
        <f t="shared" si="47"/>
        <v>30939.456542056072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06"/>
  <sheetViews>
    <sheetView showGridLines="0" topLeftCell="A4" workbookViewId="0">
      <selection activeCell="R27" sqref="R2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27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171</v>
      </c>
      <c r="F2"/>
    </row>
    <row r="3" spans="1:25" x14ac:dyDescent="0.3">
      <c r="B3" t="s">
        <v>142</v>
      </c>
      <c r="F3"/>
    </row>
    <row r="4" spans="1:25" x14ac:dyDescent="0.3">
      <c r="F4"/>
    </row>
    <row r="5" spans="1:25" x14ac:dyDescent="0.3">
      <c r="A5" s="151"/>
      <c r="B5" s="177" t="s">
        <v>172</v>
      </c>
      <c r="C5" s="151"/>
      <c r="D5" s="151"/>
      <c r="E5" s="151"/>
      <c r="F5" s="205">
        <v>2024</v>
      </c>
      <c r="G5" s="205">
        <v>2024</v>
      </c>
      <c r="H5" s="205">
        <v>2024</v>
      </c>
      <c r="I5" s="205">
        <v>2024</v>
      </c>
      <c r="J5" s="205">
        <v>2024</v>
      </c>
      <c r="K5" s="205">
        <v>2024</v>
      </c>
      <c r="L5" s="205">
        <v>2024</v>
      </c>
      <c r="M5" s="205">
        <v>2024</v>
      </c>
      <c r="N5" s="205">
        <v>2024</v>
      </c>
      <c r="O5" s="205">
        <v>2024</v>
      </c>
      <c r="P5" s="205">
        <v>2024</v>
      </c>
      <c r="Q5" s="205">
        <v>2024</v>
      </c>
      <c r="R5" s="205">
        <v>2025</v>
      </c>
      <c r="S5" s="205">
        <v>2025</v>
      </c>
      <c r="T5" s="205">
        <v>2025</v>
      </c>
      <c r="U5" s="151"/>
    </row>
    <row r="6" spans="1:25" ht="15" thickBot="1" x14ac:dyDescent="0.35">
      <c r="A6" s="162"/>
      <c r="B6" s="163" t="s">
        <v>64</v>
      </c>
      <c r="C6" s="152"/>
      <c r="D6" s="152"/>
      <c r="E6" s="152"/>
      <c r="F6" s="204" t="s">
        <v>25</v>
      </c>
      <c r="G6" s="204" t="s">
        <v>26</v>
      </c>
      <c r="H6" s="204" t="s">
        <v>27</v>
      </c>
      <c r="I6" s="204" t="s">
        <v>28</v>
      </c>
      <c r="J6" s="204" t="s">
        <v>29</v>
      </c>
      <c r="K6" s="204" t="s">
        <v>30</v>
      </c>
      <c r="L6" s="204" t="s">
        <v>31</v>
      </c>
      <c r="M6" s="204" t="s">
        <v>32</v>
      </c>
      <c r="N6" s="204" t="s">
        <v>33</v>
      </c>
      <c r="O6" s="204" t="s">
        <v>34</v>
      </c>
      <c r="P6" s="204" t="s">
        <v>35</v>
      </c>
      <c r="Q6" s="204" t="s">
        <v>36</v>
      </c>
      <c r="R6" s="204" t="s">
        <v>25</v>
      </c>
      <c r="S6" s="204" t="s">
        <v>26</v>
      </c>
      <c r="T6" s="204" t="s">
        <v>27</v>
      </c>
      <c r="U6" s="201" t="s">
        <v>72</v>
      </c>
    </row>
    <row r="7" spans="1:25" s="12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2" t="s">
        <v>173</v>
      </c>
      <c r="F8"/>
    </row>
    <row r="9" spans="1:25" x14ac:dyDescent="0.3">
      <c r="C9" s="173"/>
      <c r="F9"/>
    </row>
    <row r="10" spans="1:25" x14ac:dyDescent="0.3">
      <c r="C10" s="172" t="s">
        <v>48</v>
      </c>
      <c r="F10"/>
      <c r="G10" s="174"/>
      <c r="H10" s="174"/>
      <c r="I10" s="174"/>
      <c r="J10" s="174"/>
      <c r="K10" s="174"/>
      <c r="L10" s="173"/>
      <c r="M10" s="174"/>
      <c r="N10" s="174"/>
      <c r="O10" s="174"/>
      <c r="P10" s="174"/>
      <c r="Q10" s="174"/>
      <c r="R10" s="174"/>
      <c r="S10" s="174"/>
      <c r="T10" s="174"/>
      <c r="V10" s="1"/>
    </row>
    <row r="11" spans="1:25" x14ac:dyDescent="0.3">
      <c r="C11" s="173" t="s">
        <v>174</v>
      </c>
      <c r="F11" s="219">
        <f>'BS 2023'!Q14+'CF 2024'!G61</f>
        <v>141136.19999999998</v>
      </c>
      <c r="G11" s="219">
        <f>F14+'CF 2024'!H61</f>
        <v>162185.73047034763</v>
      </c>
      <c r="H11" s="219">
        <f>G14+'CF 2024'!I61</f>
        <v>183557.84201295819</v>
      </c>
      <c r="I11" s="219">
        <f>H14+'CF 2024'!J61</f>
        <v>204503.05998981075</v>
      </c>
      <c r="J11" s="219">
        <f>I14+'CF 2024'!K61</f>
        <v>226005.09856669989</v>
      </c>
      <c r="K11" s="219">
        <f>J14+'CF 2024'!L61</f>
        <v>248605.52815996777</v>
      </c>
      <c r="L11" s="174">
        <f>K14+'CF 2024'!M61</f>
        <v>272107.34366111748</v>
      </c>
      <c r="M11" s="174">
        <f>L14+'CF 2024'!N61</f>
        <v>296513.3697192308</v>
      </c>
      <c r="N11" s="174">
        <f>M14+'CF 2024'!O61</f>
        <v>322889.79598497227</v>
      </c>
      <c r="O11" s="174">
        <f>N14+'CF 2024'!P61</f>
        <v>350997.84194739605</v>
      </c>
      <c r="P11" s="174">
        <f>O14+'CF 2024'!Q61</f>
        <v>380618.06133791257</v>
      </c>
      <c r="Q11" s="174">
        <f>P14+'CF 2024'!R61</f>
        <v>405541.71787996864</v>
      </c>
      <c r="R11" s="174">
        <f>'BS 2025'!F11</f>
        <v>417311.31787996861</v>
      </c>
      <c r="S11" s="174">
        <f>'BS 2025'!G11</f>
        <v>440438.53446011647</v>
      </c>
      <c r="T11" s="174">
        <f>'BS 2025'!H11</f>
        <v>464124.15461730555</v>
      </c>
      <c r="V11" s="1"/>
    </row>
    <row r="12" spans="1:25" x14ac:dyDescent="0.3">
      <c r="C12" s="173" t="s">
        <v>175</v>
      </c>
      <c r="F12" s="219"/>
      <c r="G12" s="337"/>
      <c r="H12" s="337"/>
      <c r="I12" s="337" t="s">
        <v>192</v>
      </c>
      <c r="J12" s="337"/>
      <c r="K12" s="337" t="s">
        <v>192</v>
      </c>
      <c r="L12" s="173"/>
      <c r="M12" s="173"/>
      <c r="N12" s="173"/>
      <c r="O12" s="173"/>
      <c r="P12" s="173"/>
      <c r="Q12" s="173"/>
      <c r="R12" s="173"/>
      <c r="S12" s="173" t="s">
        <v>192</v>
      </c>
      <c r="T12" s="173" t="s">
        <v>192</v>
      </c>
      <c r="V12" s="1"/>
    </row>
    <row r="13" spans="1:25" x14ac:dyDescent="0.3">
      <c r="C13" s="173" t="s">
        <v>176</v>
      </c>
      <c r="F13" s="337"/>
      <c r="G13" s="337"/>
      <c r="H13" s="337"/>
      <c r="I13" s="219"/>
      <c r="J13" s="337"/>
      <c r="K13" s="219"/>
      <c r="S13" s="174"/>
      <c r="T13" s="174"/>
      <c r="V13" s="1"/>
    </row>
    <row r="14" spans="1:25" x14ac:dyDescent="0.3">
      <c r="C14" s="173" t="s">
        <v>177</v>
      </c>
      <c r="F14" s="219">
        <f>SUM(F11:F13)</f>
        <v>141136.19999999998</v>
      </c>
      <c r="G14" s="219">
        <f t="shared" ref="G14:Q14" si="0">SUM(G11:G13)</f>
        <v>162185.73047034763</v>
      </c>
      <c r="H14" s="219">
        <f t="shared" si="0"/>
        <v>183557.84201295819</v>
      </c>
      <c r="I14" s="219">
        <f t="shared" si="0"/>
        <v>204503.05998981075</v>
      </c>
      <c r="J14" s="219">
        <f t="shared" si="0"/>
        <v>226005.09856669989</v>
      </c>
      <c r="K14" s="219">
        <f t="shared" si="0"/>
        <v>248605.52815996777</v>
      </c>
      <c r="L14" s="174">
        <f t="shared" si="0"/>
        <v>272107.34366111748</v>
      </c>
      <c r="M14" s="174">
        <f t="shared" si="0"/>
        <v>296513.3697192308</v>
      </c>
      <c r="N14" s="174">
        <f t="shared" si="0"/>
        <v>322889.79598497227</v>
      </c>
      <c r="O14" s="174">
        <f t="shared" si="0"/>
        <v>350997.84194739605</v>
      </c>
      <c r="P14" s="174">
        <f t="shared" si="0"/>
        <v>380618.06133791257</v>
      </c>
      <c r="Q14" s="174">
        <f t="shared" si="0"/>
        <v>405541.71787996864</v>
      </c>
      <c r="R14" s="174">
        <f t="shared" ref="R14" si="1">SUM(R11:R13)</f>
        <v>417311.31787996861</v>
      </c>
      <c r="S14" s="174">
        <f t="shared" ref="S14" si="2">SUM(S11:S13)</f>
        <v>440438.53446011647</v>
      </c>
      <c r="T14" s="174">
        <f t="shared" ref="T14" si="3">SUM(T11:T13)</f>
        <v>464124.15461730555</v>
      </c>
      <c r="U14" s="219">
        <f>SUM(F14:Q14)</f>
        <v>3194661.589730382</v>
      </c>
      <c r="V14" s="1"/>
    </row>
    <row r="15" spans="1:25" x14ac:dyDescent="0.3">
      <c r="C15" s="172" t="s">
        <v>49</v>
      </c>
      <c r="F15"/>
      <c r="G15" s="173"/>
      <c r="H15" s="173"/>
      <c r="I15" s="173"/>
      <c r="J15" s="176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V15" s="1"/>
    </row>
    <row r="16" spans="1:25" x14ac:dyDescent="0.3">
      <c r="C16" s="175" t="s">
        <v>178</v>
      </c>
      <c r="F16" s="174">
        <f>'BS 2023'!Q16-'IS 2024'!F68</f>
        <v>271982</v>
      </c>
      <c r="G16" s="174">
        <f>F16-'IS 2024'!G68</f>
        <v>273432</v>
      </c>
      <c r="H16" s="174">
        <f>G16-'IS 2024'!H68</f>
        <v>274882</v>
      </c>
      <c r="I16" s="174">
        <f>H16-'IS 2024'!I68</f>
        <v>276332</v>
      </c>
      <c r="J16" s="174">
        <f>I16-'IS 2024'!J68</f>
        <v>277782</v>
      </c>
      <c r="K16" s="174">
        <f>J16-'IS 2024'!K68</f>
        <v>279232</v>
      </c>
      <c r="L16" s="174">
        <f>K16-'IS 2024'!L68</f>
        <v>280682</v>
      </c>
      <c r="M16" s="174">
        <f>L16-'IS 2024'!M68</f>
        <v>282132</v>
      </c>
      <c r="N16" s="174">
        <f>M16-'IS 2024'!N68</f>
        <v>283582</v>
      </c>
      <c r="O16" s="174">
        <f>N16-'IS 2024'!O68</f>
        <v>285032</v>
      </c>
      <c r="P16" s="174">
        <f>O16-'IS 2024'!P68</f>
        <v>286482</v>
      </c>
      <c r="Q16" s="174">
        <f>P16-'IS 2024'!Q68</f>
        <v>288332</v>
      </c>
      <c r="R16" s="174">
        <f>Q16-'IS 2025'!F67</f>
        <v>290182</v>
      </c>
      <c r="S16" s="181">
        <f>R16-'IS 2024'!G68</f>
        <v>291632</v>
      </c>
      <c r="T16" s="181">
        <f>S16-'IS 2024'!H68</f>
        <v>293082</v>
      </c>
      <c r="V16" s="1"/>
    </row>
    <row r="17" spans="1:22" x14ac:dyDescent="0.3">
      <c r="C17" s="175" t="s">
        <v>179</v>
      </c>
      <c r="F17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V17" s="1"/>
    </row>
    <row r="18" spans="1:22" x14ac:dyDescent="0.3">
      <c r="C18" s="175" t="s">
        <v>180</v>
      </c>
      <c r="F18" s="181">
        <f>SUM(F16:F17)</f>
        <v>271982</v>
      </c>
      <c r="G18" s="181">
        <f t="shared" ref="G18:T19" si="4">SUM(G16:G17)</f>
        <v>273432</v>
      </c>
      <c r="H18" s="181">
        <f t="shared" si="4"/>
        <v>274882</v>
      </c>
      <c r="I18" s="181">
        <f t="shared" si="4"/>
        <v>276332</v>
      </c>
      <c r="J18" s="181">
        <f t="shared" si="4"/>
        <v>277782</v>
      </c>
      <c r="K18" s="181">
        <f t="shared" si="4"/>
        <v>279232</v>
      </c>
      <c r="L18" s="181">
        <f t="shared" si="4"/>
        <v>280682</v>
      </c>
      <c r="M18" s="181">
        <f t="shared" si="4"/>
        <v>282132</v>
      </c>
      <c r="N18" s="181">
        <f t="shared" si="4"/>
        <v>283582</v>
      </c>
      <c r="O18" s="181">
        <f t="shared" si="4"/>
        <v>285032</v>
      </c>
      <c r="P18" s="181">
        <f t="shared" si="4"/>
        <v>286482</v>
      </c>
      <c r="Q18" s="181">
        <f t="shared" si="4"/>
        <v>288332</v>
      </c>
      <c r="R18" s="181">
        <f t="shared" si="4"/>
        <v>290182</v>
      </c>
      <c r="S18" s="181">
        <f t="shared" si="4"/>
        <v>291632</v>
      </c>
      <c r="T18" s="181">
        <f t="shared" si="4"/>
        <v>293082</v>
      </c>
      <c r="V18" s="1"/>
    </row>
    <row r="19" spans="1:22" x14ac:dyDescent="0.3">
      <c r="A19" s="146"/>
      <c r="B19" s="151"/>
      <c r="C19" s="184" t="s">
        <v>181</v>
      </c>
      <c r="D19" s="151"/>
      <c r="E19" s="151"/>
      <c r="F19" s="185">
        <f>SUM(F17:F18)</f>
        <v>271982</v>
      </c>
      <c r="G19" s="185">
        <f t="shared" si="4"/>
        <v>273432</v>
      </c>
      <c r="H19" s="185">
        <f t="shared" si="4"/>
        <v>274882</v>
      </c>
      <c r="I19" s="185">
        <f t="shared" si="4"/>
        <v>276332</v>
      </c>
      <c r="J19" s="185">
        <f t="shared" si="4"/>
        <v>277782</v>
      </c>
      <c r="K19" s="185">
        <f t="shared" si="4"/>
        <v>279232</v>
      </c>
      <c r="L19" s="185">
        <f t="shared" si="4"/>
        <v>280682</v>
      </c>
      <c r="M19" s="185">
        <f t="shared" si="4"/>
        <v>282132</v>
      </c>
      <c r="N19" s="185">
        <f t="shared" si="4"/>
        <v>283582</v>
      </c>
      <c r="O19" s="185">
        <f t="shared" si="4"/>
        <v>285032</v>
      </c>
      <c r="P19" s="185">
        <f t="shared" si="4"/>
        <v>286482</v>
      </c>
      <c r="Q19" s="185">
        <f t="shared" si="4"/>
        <v>288332</v>
      </c>
      <c r="R19" s="185">
        <f t="shared" si="4"/>
        <v>290182</v>
      </c>
      <c r="S19" s="185">
        <f t="shared" si="4"/>
        <v>291632</v>
      </c>
      <c r="T19" s="185">
        <f t="shared" si="4"/>
        <v>293082</v>
      </c>
      <c r="U19" s="158">
        <f>SUM(F19:Q19)</f>
        <v>3359884</v>
      </c>
      <c r="V19" s="1"/>
    </row>
    <row r="20" spans="1:22" x14ac:dyDescent="0.3">
      <c r="A20" s="162"/>
      <c r="B20" s="152"/>
      <c r="C20" s="186" t="s">
        <v>50</v>
      </c>
      <c r="D20" s="152"/>
      <c r="E20" s="152"/>
      <c r="F20" s="187">
        <f>F14+F19</f>
        <v>413118.19999999995</v>
      </c>
      <c r="G20" s="187">
        <f>G14+G19</f>
        <v>435617.73047034763</v>
      </c>
      <c r="H20" s="187">
        <f t="shared" ref="H20:T20" si="5">H14+H19</f>
        <v>458439.84201295819</v>
      </c>
      <c r="I20" s="187">
        <f t="shared" si="5"/>
        <v>480835.05998981075</v>
      </c>
      <c r="J20" s="187">
        <f t="shared" si="5"/>
        <v>503787.09856669989</v>
      </c>
      <c r="K20" s="187">
        <f t="shared" si="5"/>
        <v>527837.52815996774</v>
      </c>
      <c r="L20" s="187">
        <f t="shared" si="5"/>
        <v>552789.34366111748</v>
      </c>
      <c r="M20" s="187">
        <f t="shared" si="5"/>
        <v>578645.3697192308</v>
      </c>
      <c r="N20" s="187">
        <f t="shared" si="5"/>
        <v>606471.79598497227</v>
      </c>
      <c r="O20" s="187">
        <f t="shared" si="5"/>
        <v>636029.84194739605</v>
      </c>
      <c r="P20" s="187">
        <f t="shared" si="5"/>
        <v>667100.06133791257</v>
      </c>
      <c r="Q20" s="187">
        <f t="shared" si="5"/>
        <v>693873.7178799687</v>
      </c>
      <c r="R20" s="187">
        <f t="shared" si="5"/>
        <v>707493.31787996856</v>
      </c>
      <c r="S20" s="187">
        <f t="shared" si="5"/>
        <v>732070.53446011641</v>
      </c>
      <c r="T20" s="187">
        <f t="shared" si="5"/>
        <v>757206.15461730561</v>
      </c>
      <c r="U20" s="153">
        <f>SUM(F20:Q20)</f>
        <v>6554545.589730382</v>
      </c>
      <c r="V20" s="1"/>
    </row>
    <row r="21" spans="1:22" x14ac:dyDescent="0.3">
      <c r="C21" s="183" t="s">
        <v>51</v>
      </c>
      <c r="F21"/>
      <c r="I21" s="176"/>
      <c r="K21" s="176"/>
      <c r="S21" s="176"/>
      <c r="T21" s="176"/>
      <c r="V21" s="1"/>
    </row>
    <row r="22" spans="1:22" x14ac:dyDescent="0.3">
      <c r="C22" s="175" t="s">
        <v>182</v>
      </c>
      <c r="F22" s="176"/>
      <c r="G22" s="176"/>
      <c r="Q22" s="176"/>
      <c r="V22" s="1"/>
    </row>
    <row r="23" spans="1:22" x14ac:dyDescent="0.3">
      <c r="C23" s="175" t="s">
        <v>183</v>
      </c>
      <c r="F23"/>
      <c r="H23" s="176"/>
      <c r="J23" s="176"/>
      <c r="V23" s="1"/>
    </row>
    <row r="24" spans="1:22" x14ac:dyDescent="0.3">
      <c r="C24" s="173" t="s">
        <v>184</v>
      </c>
      <c r="F24" s="452">
        <f>'CF 2024'!G60</f>
        <v>-3506.6000000000004</v>
      </c>
      <c r="G24" s="452">
        <f>'CF 2024'!H60</f>
        <v>-3746.4</v>
      </c>
      <c r="H24" s="452">
        <f>'CF 2024'!I60</f>
        <v>-3962.8</v>
      </c>
      <c r="I24" s="452">
        <f>'CF 2024'!J60</f>
        <v>-4046.6000000000004</v>
      </c>
      <c r="J24" s="452">
        <f>'CF 2024'!K60</f>
        <v>-4586.8</v>
      </c>
      <c r="K24" s="452">
        <f>'CF 2024'!L60</f>
        <v>-4841.4000000000005</v>
      </c>
      <c r="L24" s="452">
        <f>'CF 2024'!M60</f>
        <v>-4969</v>
      </c>
      <c r="M24" s="452">
        <f>'CF 2024'!N60</f>
        <v>-5021.8</v>
      </c>
      <c r="N24" s="452">
        <f>'CF 2024'!O60</f>
        <v>-4224.4000000000005</v>
      </c>
      <c r="O24" s="452">
        <f>'CF 2024'!P60</f>
        <v>-4015.8</v>
      </c>
      <c r="P24" s="452">
        <f>'CF 2024'!Q60</f>
        <v>-4032.6000000000004</v>
      </c>
      <c r="Q24" s="452">
        <f>'CF 2024'!R60</f>
        <v>-3602</v>
      </c>
      <c r="R24" s="452">
        <f>'CF 2024'!S60</f>
        <v>-3379.4</v>
      </c>
      <c r="S24" s="452">
        <f>'CF 2024'!T60</f>
        <v>-3521.6000000000004</v>
      </c>
      <c r="T24" s="452">
        <f>'CF 2024'!U60</f>
        <v>-3764.2000000000003</v>
      </c>
      <c r="V24" s="1"/>
    </row>
    <row r="25" spans="1:22" x14ac:dyDescent="0.3">
      <c r="A25" s="151"/>
      <c r="B25" s="151"/>
      <c r="C25" s="177" t="s">
        <v>185</v>
      </c>
      <c r="D25" s="151"/>
      <c r="E25" s="151"/>
      <c r="F25" s="158">
        <f>SUM(F22:F24)</f>
        <v>-3506.6000000000004</v>
      </c>
      <c r="G25" s="158">
        <f t="shared" ref="G25:T25" si="6">SUM(G22:G24)</f>
        <v>-3746.4</v>
      </c>
      <c r="H25" s="158">
        <f t="shared" si="6"/>
        <v>-3962.8</v>
      </c>
      <c r="I25" s="158">
        <f t="shared" si="6"/>
        <v>-4046.6000000000004</v>
      </c>
      <c r="J25" s="158">
        <f t="shared" si="6"/>
        <v>-4586.8</v>
      </c>
      <c r="K25" s="158">
        <f t="shared" si="6"/>
        <v>-4841.4000000000005</v>
      </c>
      <c r="L25" s="158">
        <f t="shared" si="6"/>
        <v>-4969</v>
      </c>
      <c r="M25" s="158">
        <f t="shared" si="6"/>
        <v>-5021.8</v>
      </c>
      <c r="N25" s="158">
        <f t="shared" si="6"/>
        <v>-4224.4000000000005</v>
      </c>
      <c r="O25" s="158">
        <f t="shared" si="6"/>
        <v>-4015.8</v>
      </c>
      <c r="P25" s="158">
        <f t="shared" si="6"/>
        <v>-4032.6000000000004</v>
      </c>
      <c r="Q25" s="158">
        <f t="shared" si="6"/>
        <v>-3602</v>
      </c>
      <c r="R25" s="158">
        <f t="shared" si="6"/>
        <v>-3379.4</v>
      </c>
      <c r="S25" s="158">
        <f t="shared" si="6"/>
        <v>-3521.6000000000004</v>
      </c>
      <c r="T25" s="158">
        <f t="shared" si="6"/>
        <v>-3764.2000000000003</v>
      </c>
      <c r="U25" s="158">
        <f>SUM(F25:Q25)</f>
        <v>-50556.200000000004</v>
      </c>
      <c r="V25" s="1"/>
    </row>
    <row r="26" spans="1:22" x14ac:dyDescent="0.3">
      <c r="A26" s="152"/>
      <c r="B26" s="152"/>
      <c r="C26" s="188" t="s">
        <v>52</v>
      </c>
      <c r="D26" s="152"/>
      <c r="E26" s="152"/>
      <c r="F26" s="153"/>
      <c r="G26" s="152"/>
      <c r="H26" s="152"/>
      <c r="I26" s="153"/>
      <c r="J26" s="152"/>
      <c r="K26" s="153"/>
      <c r="L26" s="189"/>
      <c r="M26" s="189"/>
      <c r="N26" s="189"/>
      <c r="O26" s="189"/>
      <c r="P26" s="189"/>
      <c r="Q26" s="152"/>
      <c r="R26" s="189"/>
      <c r="S26" s="153"/>
      <c r="T26" s="153"/>
      <c r="U26" s="152"/>
      <c r="V26" s="1"/>
    </row>
    <row r="27" spans="1:22" x14ac:dyDescent="0.3">
      <c r="C27" s="172" t="s">
        <v>186</v>
      </c>
      <c r="F27" s="452">
        <f>'BS 2023'!Q27-'CF 2024'!G42</f>
        <v>-184000</v>
      </c>
      <c r="G27" s="452">
        <f>F27-'CF 2024'!H42</f>
        <v>-178500</v>
      </c>
      <c r="H27" s="452">
        <f>G27-'CF 2024'!I42</f>
        <v>-173000</v>
      </c>
      <c r="I27" s="452">
        <f>H27-'CF 2024'!J42</f>
        <v>-167500</v>
      </c>
      <c r="J27" s="452">
        <f>I27-'CF 2024'!K42</f>
        <v>-162000</v>
      </c>
      <c r="K27" s="452">
        <f>J27-'CF 2024'!L42</f>
        <v>-156500</v>
      </c>
      <c r="L27" s="452">
        <f>K27-'CF 2024'!M42</f>
        <v>-151000</v>
      </c>
      <c r="M27" s="452">
        <f>L27-'CF 2024'!N42</f>
        <v>-145500</v>
      </c>
      <c r="N27" s="452">
        <f>M27-'CF 2024'!O42</f>
        <v>-140000</v>
      </c>
      <c r="O27" s="452">
        <f>N27-'CF 2024'!P42</f>
        <v>-134500</v>
      </c>
      <c r="P27" s="452">
        <f>O27-'CF 2024'!Q42</f>
        <v>-129000</v>
      </c>
      <c r="Q27" s="452">
        <f>P27-'CF 2024'!R42</f>
        <v>-123500</v>
      </c>
      <c r="R27" s="452">
        <f>Q27-'CF 2024'!T42</f>
        <v>-118000</v>
      </c>
      <c r="S27" s="452">
        <f>R27-'CF 2024'!U42</f>
        <v>-112500</v>
      </c>
      <c r="T27" s="452">
        <f>S27-'CF 2024'!V42</f>
        <v>-107000</v>
      </c>
      <c r="U27" s="451">
        <f>SUM(F27:Q27)</f>
        <v>-1845000</v>
      </c>
      <c r="V27" s="1"/>
    </row>
    <row r="28" spans="1:22" ht="12.6" customHeight="1" x14ac:dyDescent="0.3">
      <c r="C28" s="173"/>
      <c r="F28"/>
      <c r="J28" s="174" t="s">
        <v>192</v>
      </c>
      <c r="U28" s="337"/>
      <c r="V28" s="1"/>
    </row>
    <row r="29" spans="1:22" x14ac:dyDescent="0.3">
      <c r="C29" s="172" t="s">
        <v>187</v>
      </c>
      <c r="F29" s="174"/>
      <c r="G29" s="174"/>
      <c r="H29" s="174"/>
      <c r="Q29" s="174"/>
      <c r="U29" s="337"/>
      <c r="V29" s="1"/>
    </row>
    <row r="30" spans="1:22" x14ac:dyDescent="0.3">
      <c r="C30" s="175" t="s">
        <v>195</v>
      </c>
      <c r="F30" s="174"/>
      <c r="G30" s="174"/>
      <c r="H30" s="174"/>
      <c r="Q30" s="174"/>
      <c r="U30" s="337"/>
      <c r="V30" s="1"/>
    </row>
    <row r="31" spans="1:22" x14ac:dyDescent="0.3">
      <c r="C31" s="172" t="s">
        <v>188</v>
      </c>
      <c r="F31" s="452">
        <f>SUM(F27:F29)</f>
        <v>-184000</v>
      </c>
      <c r="G31" s="452">
        <f t="shared" ref="G31:T31" si="7">SUM(G27:G29)</f>
        <v>-178500</v>
      </c>
      <c r="H31" s="452">
        <f t="shared" si="7"/>
        <v>-173000</v>
      </c>
      <c r="I31" s="452">
        <f t="shared" si="7"/>
        <v>-167500</v>
      </c>
      <c r="J31" s="452">
        <f t="shared" si="7"/>
        <v>-162000</v>
      </c>
      <c r="K31" s="452">
        <f t="shared" si="7"/>
        <v>-156500</v>
      </c>
      <c r="L31" s="452">
        <f t="shared" si="7"/>
        <v>-151000</v>
      </c>
      <c r="M31" s="452">
        <f t="shared" si="7"/>
        <v>-145500</v>
      </c>
      <c r="N31" s="452">
        <f t="shared" si="7"/>
        <v>-140000</v>
      </c>
      <c r="O31" s="452">
        <f t="shared" si="7"/>
        <v>-134500</v>
      </c>
      <c r="P31" s="452">
        <f t="shared" si="7"/>
        <v>-129000</v>
      </c>
      <c r="Q31" s="452">
        <f t="shared" si="7"/>
        <v>-123500</v>
      </c>
      <c r="R31" s="452">
        <f t="shared" si="7"/>
        <v>-118000</v>
      </c>
      <c r="S31" s="452">
        <f t="shared" si="7"/>
        <v>-112500</v>
      </c>
      <c r="T31" s="452">
        <f t="shared" si="7"/>
        <v>-107000</v>
      </c>
      <c r="U31" s="337"/>
      <c r="V31" s="1"/>
    </row>
    <row r="32" spans="1:22" x14ac:dyDescent="0.3">
      <c r="C32" s="172" t="s">
        <v>53</v>
      </c>
      <c r="F32" s="452">
        <f>F31+F25</f>
        <v>-187506.6</v>
      </c>
      <c r="G32" s="452">
        <f t="shared" ref="G32:T32" si="8">G31+G24</f>
        <v>-182246.39999999999</v>
      </c>
      <c r="H32" s="452">
        <f t="shared" si="8"/>
        <v>-176962.8</v>
      </c>
      <c r="I32" s="452">
        <f t="shared" si="8"/>
        <v>-171546.6</v>
      </c>
      <c r="J32" s="452">
        <f t="shared" si="8"/>
        <v>-166586.79999999999</v>
      </c>
      <c r="K32" s="452">
        <f t="shared" si="8"/>
        <v>-161341.4</v>
      </c>
      <c r="L32" s="452">
        <f t="shared" si="8"/>
        <v>-155969</v>
      </c>
      <c r="M32" s="452">
        <f t="shared" si="8"/>
        <v>-150521.79999999999</v>
      </c>
      <c r="N32" s="452">
        <f t="shared" si="8"/>
        <v>-144224.4</v>
      </c>
      <c r="O32" s="452">
        <f t="shared" si="8"/>
        <v>-138515.79999999999</v>
      </c>
      <c r="P32" s="452">
        <f t="shared" si="8"/>
        <v>-133032.6</v>
      </c>
      <c r="Q32" s="452">
        <f t="shared" si="8"/>
        <v>-127102</v>
      </c>
      <c r="R32" s="452">
        <f t="shared" si="8"/>
        <v>-121379.4</v>
      </c>
      <c r="S32" s="452">
        <f t="shared" si="8"/>
        <v>-116021.6</v>
      </c>
      <c r="T32" s="452">
        <f t="shared" si="8"/>
        <v>-110764.2</v>
      </c>
      <c r="U32" s="337"/>
      <c r="V32" s="1"/>
    </row>
    <row r="33" spans="3:22" x14ac:dyDescent="0.3">
      <c r="C33" s="172" t="s">
        <v>54</v>
      </c>
      <c r="F33" s="218">
        <f>F20+F32</f>
        <v>225611.59999999995</v>
      </c>
      <c r="G33" s="218">
        <f t="shared" ref="G33:Q33" si="9">G20+G32</f>
        <v>253371.33047034763</v>
      </c>
      <c r="H33" s="218">
        <f t="shared" si="9"/>
        <v>281477.04201295821</v>
      </c>
      <c r="I33" s="218">
        <f t="shared" si="9"/>
        <v>309288.45998981071</v>
      </c>
      <c r="J33" s="218">
        <f t="shared" si="9"/>
        <v>337200.2985666999</v>
      </c>
      <c r="K33" s="218">
        <f t="shared" si="9"/>
        <v>366496.12815996772</v>
      </c>
      <c r="L33" s="218">
        <f t="shared" si="9"/>
        <v>396820.34366111748</v>
      </c>
      <c r="M33" s="218">
        <f t="shared" si="9"/>
        <v>428123.56971923081</v>
      </c>
      <c r="N33" s="218">
        <f t="shared" si="9"/>
        <v>462247.39598497225</v>
      </c>
      <c r="O33" s="218">
        <f t="shared" si="9"/>
        <v>497514.04194739606</v>
      </c>
      <c r="P33" s="218">
        <f t="shared" si="9"/>
        <v>534067.46133791259</v>
      </c>
      <c r="Q33" s="218">
        <f t="shared" si="9"/>
        <v>566771.7178799687</v>
      </c>
      <c r="R33" s="218">
        <f>R20+R32</f>
        <v>586113.91787996853</v>
      </c>
      <c r="S33" s="218">
        <f t="shared" ref="S33" si="10">S20+S32</f>
        <v>616048.93446011643</v>
      </c>
      <c r="T33" s="218">
        <f t="shared" ref="T33" si="11">T20+T32</f>
        <v>646441.95461730566</v>
      </c>
      <c r="U33" s="453">
        <f>SUM(F33:Q33)</f>
        <v>4658989.3897303818</v>
      </c>
      <c r="V33" s="1"/>
    </row>
    <row r="34" spans="3:22" x14ac:dyDescent="0.3">
      <c r="C34" s="175" t="s">
        <v>56</v>
      </c>
      <c r="F34" s="173"/>
      <c r="G34" s="173"/>
      <c r="H34" s="173"/>
      <c r="I34" s="173"/>
      <c r="J34" s="174"/>
      <c r="K34" s="174"/>
      <c r="L34" s="174"/>
      <c r="M34" s="174"/>
      <c r="N34" s="174"/>
      <c r="O34" s="174"/>
      <c r="P34" s="174"/>
      <c r="Q34" s="173"/>
      <c r="R34" s="174"/>
      <c r="S34" s="174"/>
      <c r="T34" s="174"/>
      <c r="V34" s="1"/>
    </row>
    <row r="35" spans="3:22" x14ac:dyDescent="0.3">
      <c r="C35" s="175" t="s">
        <v>58</v>
      </c>
      <c r="F35" s="174">
        <f>SUM(F33:F34)</f>
        <v>225611.59999999995</v>
      </c>
      <c r="G35" s="174">
        <f t="shared" ref="G35:T35" si="12">SUM(G33:G34)</f>
        <v>253371.33047034763</v>
      </c>
      <c r="H35" s="174">
        <f t="shared" si="12"/>
        <v>281477.04201295821</v>
      </c>
      <c r="I35" s="174">
        <f t="shared" si="12"/>
        <v>309288.45998981071</v>
      </c>
      <c r="J35" s="174">
        <f t="shared" si="12"/>
        <v>337200.2985666999</v>
      </c>
      <c r="K35" s="174">
        <f t="shared" si="12"/>
        <v>366496.12815996772</v>
      </c>
      <c r="L35" s="174">
        <f t="shared" si="12"/>
        <v>396820.34366111748</v>
      </c>
      <c r="M35" s="174">
        <f t="shared" si="12"/>
        <v>428123.56971923081</v>
      </c>
      <c r="N35" s="174">
        <f t="shared" si="12"/>
        <v>462247.39598497225</v>
      </c>
      <c r="O35" s="174">
        <f t="shared" si="12"/>
        <v>497514.04194739606</v>
      </c>
      <c r="P35" s="174">
        <f t="shared" si="12"/>
        <v>534067.46133791259</v>
      </c>
      <c r="Q35" s="174">
        <f t="shared" si="12"/>
        <v>566771.7178799687</v>
      </c>
      <c r="R35" s="174">
        <f t="shared" si="12"/>
        <v>586113.91787996853</v>
      </c>
      <c r="S35" s="174">
        <f t="shared" si="12"/>
        <v>616048.93446011643</v>
      </c>
      <c r="T35" s="174">
        <f t="shared" si="12"/>
        <v>646441.95461730566</v>
      </c>
      <c r="V35" s="1"/>
    </row>
    <row r="36" spans="3:22" x14ac:dyDescent="0.3">
      <c r="C36" s="182" t="s">
        <v>59</v>
      </c>
      <c r="F36" s="174">
        <f>F34+F35</f>
        <v>225611.59999999995</v>
      </c>
      <c r="G36" s="174">
        <f t="shared" ref="G36:T36" si="13">G34+G35</f>
        <v>253371.33047034763</v>
      </c>
      <c r="H36" s="174">
        <f t="shared" si="13"/>
        <v>281477.04201295821</v>
      </c>
      <c r="I36" s="174">
        <f t="shared" si="13"/>
        <v>309288.45998981071</v>
      </c>
      <c r="J36" s="174">
        <f t="shared" si="13"/>
        <v>337200.2985666999</v>
      </c>
      <c r="K36" s="174">
        <f t="shared" si="13"/>
        <v>366496.12815996772</v>
      </c>
      <c r="L36" s="174">
        <f t="shared" si="13"/>
        <v>396820.34366111748</v>
      </c>
      <c r="M36" s="174">
        <f t="shared" si="13"/>
        <v>428123.56971923081</v>
      </c>
      <c r="N36" s="174">
        <f t="shared" si="13"/>
        <v>462247.39598497225</v>
      </c>
      <c r="O36" s="174">
        <f t="shared" si="13"/>
        <v>497514.04194739606</v>
      </c>
      <c r="P36" s="174">
        <f t="shared" si="13"/>
        <v>534067.46133791259</v>
      </c>
      <c r="Q36" s="174">
        <f t="shared" si="13"/>
        <v>566771.7178799687</v>
      </c>
      <c r="R36" s="174">
        <f t="shared" si="13"/>
        <v>586113.91787996853</v>
      </c>
      <c r="S36" s="174">
        <f t="shared" si="13"/>
        <v>616048.93446011643</v>
      </c>
      <c r="T36" s="174">
        <f t="shared" si="13"/>
        <v>646441.95461730566</v>
      </c>
      <c r="V36" s="1"/>
    </row>
    <row r="37" spans="3:22" x14ac:dyDescent="0.3">
      <c r="C37" s="175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V37" s="1"/>
    </row>
    <row r="38" spans="3:22" x14ac:dyDescent="0.3">
      <c r="C38" s="175" t="s">
        <v>189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V38" s="1"/>
    </row>
    <row r="39" spans="3:22" x14ac:dyDescent="0.3">
      <c r="C39" s="175" t="s">
        <v>190</v>
      </c>
      <c r="F39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V39" s="1"/>
    </row>
    <row r="40" spans="3:22" x14ac:dyDescent="0.3">
      <c r="C40" s="175" t="s">
        <v>191</v>
      </c>
      <c r="F40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V40" s="1"/>
    </row>
    <row r="41" spans="3:22" x14ac:dyDescent="0.3">
      <c r="C41" s="175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</sheetData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W101"/>
  <sheetViews>
    <sheetView showGridLines="0" topLeftCell="A46" zoomScale="95" zoomScaleNormal="95" workbookViewId="0">
      <selection activeCell="J117" sqref="J117"/>
    </sheetView>
  </sheetViews>
  <sheetFormatPr defaultRowHeight="14.4" x14ac:dyDescent="0.3"/>
  <cols>
    <col min="1" max="1" width="4.554687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10.33203125" customWidth="1"/>
    <col min="16" max="22" width="10.5546875" bestFit="1" customWidth="1"/>
  </cols>
  <sheetData>
    <row r="2" spans="2:22" x14ac:dyDescent="0.3">
      <c r="B2" s="177" t="s">
        <v>224</v>
      </c>
      <c r="C2" s="177"/>
      <c r="D2" s="177"/>
      <c r="E2" s="177"/>
      <c r="F2" s="151"/>
      <c r="G2" s="151"/>
      <c r="H2" s="151"/>
      <c r="I2" s="151"/>
      <c r="J2" s="151"/>
      <c r="K2" s="349" t="s">
        <v>200</v>
      </c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4" spans="2:22" x14ac:dyDescent="0.3">
      <c r="B4" s="190" t="s">
        <v>20</v>
      </c>
      <c r="C4" s="190"/>
      <c r="D4" s="190"/>
      <c r="E4" s="191">
        <v>2023</v>
      </c>
      <c r="F4" s="191">
        <v>2024</v>
      </c>
      <c r="G4" s="191">
        <v>2025</v>
      </c>
      <c r="H4" s="191">
        <v>2026</v>
      </c>
      <c r="I4" s="191">
        <v>2027</v>
      </c>
      <c r="J4" s="190"/>
      <c r="K4" s="191" t="s">
        <v>25</v>
      </c>
      <c r="L4" s="191" t="s">
        <v>26</v>
      </c>
      <c r="M4" s="191" t="s">
        <v>27</v>
      </c>
      <c r="N4" s="191" t="s">
        <v>28</v>
      </c>
      <c r="O4" s="191" t="s">
        <v>29</v>
      </c>
      <c r="P4" s="191" t="s">
        <v>30</v>
      </c>
      <c r="Q4" s="191" t="s">
        <v>31</v>
      </c>
      <c r="R4" s="191" t="s">
        <v>32</v>
      </c>
      <c r="S4" s="191" t="s">
        <v>33</v>
      </c>
      <c r="T4" s="191" t="s">
        <v>34</v>
      </c>
      <c r="U4" s="191" t="s">
        <v>35</v>
      </c>
      <c r="V4" s="191" t="s">
        <v>36</v>
      </c>
    </row>
    <row r="5" spans="2:22" x14ac:dyDescent="0.3">
      <c r="B5" t="s">
        <v>37</v>
      </c>
      <c r="E5" s="203">
        <f>'Statements Summary 2023'!V5</f>
        <v>25770</v>
      </c>
      <c r="F5" s="203">
        <f t="shared" ref="F5:F17" si="0">V5</f>
        <v>40525.656542056073</v>
      </c>
      <c r="G5" s="203">
        <f>'Statements Summary 2025'!V5</f>
        <v>40525.656542056073</v>
      </c>
      <c r="H5" s="203">
        <f>'Statements Summary 2026'!V5</f>
        <v>40525.656542056073</v>
      </c>
      <c r="I5" s="203">
        <f>'Statements Summary 2027'!V5</f>
        <v>40525.656542056073</v>
      </c>
      <c r="K5" s="203">
        <f>'CF 2024'!G56</f>
        <v>27109</v>
      </c>
      <c r="L5" s="203">
        <f>'CF 2024'!H56</f>
        <v>39545.930470347652</v>
      </c>
      <c r="M5" s="203">
        <f>'CF 2024'!I56</f>
        <v>39809.911542610571</v>
      </c>
      <c r="N5" s="203">
        <f>'CF 2024'!J56</f>
        <v>39191.817976852544</v>
      </c>
      <c r="O5" s="203">
        <f>'CF 2024'!K56</f>
        <v>40013.838576889153</v>
      </c>
      <c r="P5" s="203">
        <f>'CF 2024'!L56</f>
        <v>41091.829593267881</v>
      </c>
      <c r="Q5" s="203">
        <f>'CF 2024'!M56</f>
        <v>41845.815501149737</v>
      </c>
      <c r="R5" s="203">
        <f>'CF 2024'!N56</f>
        <v>42527.826058113307</v>
      </c>
      <c r="S5" s="203">
        <f>'CF 2024'!O56</f>
        <v>43425.826265741453</v>
      </c>
      <c r="T5" s="203">
        <f>'CF 2024'!P56</f>
        <v>44673.845962423788</v>
      </c>
      <c r="U5" s="203">
        <f>'CF 2024'!Q56</f>
        <v>45927.819390516532</v>
      </c>
      <c r="V5" s="203">
        <f>'CF 2024'!R56</f>
        <v>40525.656542056073</v>
      </c>
    </row>
    <row r="6" spans="2:22" x14ac:dyDescent="0.3">
      <c r="B6" t="s">
        <v>38</v>
      </c>
      <c r="E6" s="203">
        <f>'Statements Summary 2023'!V6</f>
        <v>0</v>
      </c>
      <c r="F6" s="203">
        <f t="shared" si="0"/>
        <v>-325</v>
      </c>
      <c r="G6" s="203">
        <f>'Statements Summary 2025'!V6</f>
        <v>-325</v>
      </c>
      <c r="H6" s="203">
        <f>'Statements Summary 2026'!V6</f>
        <v>-325</v>
      </c>
      <c r="I6" s="203">
        <f>'Statements Summary 2027'!V6</f>
        <v>-325</v>
      </c>
      <c r="K6" s="203">
        <f>'CF 2024'!G26</f>
        <v>-325</v>
      </c>
      <c r="L6" s="203">
        <f>'CF 2024'!H26</f>
        <v>-325</v>
      </c>
      <c r="M6" s="203">
        <f>'CF 2024'!I26</f>
        <v>-325</v>
      </c>
      <c r="N6" s="203">
        <f>'CF 2024'!J26</f>
        <v>-325</v>
      </c>
      <c r="O6" s="203">
        <f>'CF 2024'!K26</f>
        <v>-325</v>
      </c>
      <c r="P6" s="203">
        <f>'CF 2024'!L26</f>
        <v>-325</v>
      </c>
      <c r="Q6" s="203">
        <f>'CF 2024'!M26</f>
        <v>-325</v>
      </c>
      <c r="R6" s="203">
        <f>'CF 2024'!N26</f>
        <v>-325</v>
      </c>
      <c r="S6" s="203">
        <f>'CF 2024'!O26</f>
        <v>-325</v>
      </c>
      <c r="T6" s="203">
        <f>'CF 2024'!P26</f>
        <v>-325</v>
      </c>
      <c r="U6" s="203">
        <f>'CF 2024'!Q26</f>
        <v>-325</v>
      </c>
      <c r="V6" s="203">
        <f>'CF 2024'!R26</f>
        <v>-325</v>
      </c>
    </row>
    <row r="7" spans="2:22" x14ac:dyDescent="0.3">
      <c r="B7" t="s">
        <v>39</v>
      </c>
      <c r="E7" s="203">
        <f>'Statements Summary 2023'!V7</f>
        <v>-5500</v>
      </c>
      <c r="F7" s="203">
        <f t="shared" si="0"/>
        <v>-5500</v>
      </c>
      <c r="G7" s="203">
        <f>'Statements Summary 2025'!V7</f>
        <v>-5500</v>
      </c>
      <c r="H7" s="203">
        <f>'Statements Summary 2026'!V7</f>
        <v>0</v>
      </c>
      <c r="I7" s="203">
        <f>'Statements Summary 2027'!V7</f>
        <v>0</v>
      </c>
      <c r="K7" s="203" t="s">
        <v>192</v>
      </c>
      <c r="L7" s="203">
        <f>'CF 2024'!H42</f>
        <v>-5500</v>
      </c>
      <c r="M7" s="203">
        <f>'CF 2024'!I42</f>
        <v>-5500</v>
      </c>
      <c r="N7" s="203">
        <f>'CF 2024'!J42</f>
        <v>-5500</v>
      </c>
      <c r="O7" s="203">
        <f>'CF 2024'!K42</f>
        <v>-5500</v>
      </c>
      <c r="P7" s="203">
        <f>'CF 2024'!L42</f>
        <v>-5500</v>
      </c>
      <c r="Q7" s="203">
        <f>'CF 2024'!M42</f>
        <v>-5500</v>
      </c>
      <c r="R7" s="203">
        <f>'CF 2024'!N42</f>
        <v>-5500</v>
      </c>
      <c r="S7" s="203">
        <f>'CF 2024'!O42</f>
        <v>-5500</v>
      </c>
      <c r="T7" s="203">
        <f>'CF 2024'!P42</f>
        <v>-5500</v>
      </c>
      <c r="U7" s="203">
        <f>'CF 2024'!Q42</f>
        <v>-5500</v>
      </c>
      <c r="V7" s="203">
        <f>'CF 2024'!R42</f>
        <v>-5500</v>
      </c>
    </row>
    <row r="8" spans="2:22" x14ac:dyDescent="0.3">
      <c r="B8" t="s">
        <v>14</v>
      </c>
      <c r="E8" s="203">
        <f>'Statements Summary 2023'!V8</f>
        <v>12762</v>
      </c>
      <c r="F8" s="203">
        <f t="shared" si="0"/>
        <v>30423.656542056073</v>
      </c>
      <c r="G8" s="203">
        <f>'Statements Summary 2025'!V8</f>
        <v>47635.656542056073</v>
      </c>
      <c r="H8" s="203">
        <f>'Statements Summary 2026'!V8</f>
        <v>33415.656542056073</v>
      </c>
      <c r="I8" s="203">
        <f>'Statements Summary 2027'!V8</f>
        <v>33415.656542056073</v>
      </c>
      <c r="K8" s="203">
        <f>'CF 2024'!G31</f>
        <v>14077.4</v>
      </c>
      <c r="L8" s="203">
        <f>'CF 2024'!H31</f>
        <v>26549.53047034765</v>
      </c>
      <c r="M8" s="203">
        <f>'CF 2024'!I31</f>
        <v>26872.111542610572</v>
      </c>
      <c r="N8" s="203">
        <f>'CF 2024'!J31</f>
        <v>26445.217976852546</v>
      </c>
      <c r="O8" s="203">
        <f>'CF 2024'!K31</f>
        <v>27002.038576889154</v>
      </c>
      <c r="P8" s="203">
        <f>'CF 2024'!L31</f>
        <v>28100.42959326788</v>
      </c>
      <c r="Q8" s="203">
        <f>'CF 2024'!M31</f>
        <v>29001.815501149737</v>
      </c>
      <c r="R8" s="203">
        <f>'CF 2024'!N31</f>
        <v>29906.026058113308</v>
      </c>
      <c r="S8" s="203">
        <f>'CF 2024'!O31</f>
        <v>31876.426265741451</v>
      </c>
      <c r="T8" s="203">
        <f>'CF 2024'!P31</f>
        <v>33608.045962423785</v>
      </c>
      <c r="U8" s="203">
        <f>'CF 2024'!Q31</f>
        <v>35120.219390516533</v>
      </c>
      <c r="V8" s="203">
        <f>'CF 2024'!R31</f>
        <v>30423.656542056073</v>
      </c>
    </row>
    <row r="9" spans="2:22" x14ac:dyDescent="0.3">
      <c r="B9" t="s">
        <v>40</v>
      </c>
      <c r="E9" s="203" t="str">
        <f>'Statements Summary 2023'!V9</f>
        <v>-</v>
      </c>
      <c r="F9" s="203" t="str">
        <f t="shared" si="0"/>
        <v>-</v>
      </c>
      <c r="G9" s="203">
        <f>'Statements Summary 2025'!V9</f>
        <v>0</v>
      </c>
      <c r="H9" s="203">
        <f>'Statements Summary 2026'!V9</f>
        <v>0</v>
      </c>
      <c r="I9" s="203">
        <f>'Statements Summary 2027'!V9</f>
        <v>0</v>
      </c>
      <c r="K9" s="203">
        <f>'CF 2024'!G36</f>
        <v>0</v>
      </c>
      <c r="L9" s="203" t="s">
        <v>192</v>
      </c>
      <c r="M9" s="203" t="s">
        <v>192</v>
      </c>
      <c r="N9" s="203" t="s">
        <v>192</v>
      </c>
      <c r="O9" s="203" t="s">
        <v>192</v>
      </c>
      <c r="P9" s="203" t="s">
        <v>192</v>
      </c>
      <c r="Q9" s="203" t="s">
        <v>192</v>
      </c>
      <c r="R9" s="203" t="s">
        <v>192</v>
      </c>
      <c r="S9" s="203" t="s">
        <v>192</v>
      </c>
      <c r="T9" s="203" t="s">
        <v>192</v>
      </c>
      <c r="U9" s="203" t="s">
        <v>192</v>
      </c>
      <c r="V9" s="203" t="s">
        <v>192</v>
      </c>
    </row>
    <row r="10" spans="2:22" x14ac:dyDescent="0.3">
      <c r="B10" t="s">
        <v>41</v>
      </c>
      <c r="E10" s="203" t="str">
        <f>'Statements Summary 2023'!V10</f>
        <v>-</v>
      </c>
      <c r="F10" s="203" t="str">
        <f t="shared" si="0"/>
        <v>-</v>
      </c>
      <c r="G10" s="203" t="str">
        <f>'Statements Summary 2025'!V10</f>
        <v>-</v>
      </c>
      <c r="H10" s="203" t="str">
        <f>'Statements Summary 2026'!V10</f>
        <v>-</v>
      </c>
      <c r="I10" s="203" t="str">
        <f>'Statements Summary 2027'!V10</f>
        <v>-</v>
      </c>
      <c r="K10" s="203" t="s">
        <v>192</v>
      </c>
      <c r="L10" s="203" t="s">
        <v>192</v>
      </c>
      <c r="M10" s="203" t="s">
        <v>192</v>
      </c>
      <c r="N10" s="203" t="s">
        <v>192</v>
      </c>
      <c r="O10" s="203" t="s">
        <v>192</v>
      </c>
      <c r="P10" s="203" t="s">
        <v>192</v>
      </c>
      <c r="Q10" s="203" t="s">
        <v>192</v>
      </c>
      <c r="R10" s="203" t="s">
        <v>192</v>
      </c>
      <c r="S10" s="203" t="s">
        <v>192</v>
      </c>
      <c r="T10" s="203" t="s">
        <v>192</v>
      </c>
      <c r="U10" s="203" t="s">
        <v>192</v>
      </c>
      <c r="V10" s="203" t="s">
        <v>192</v>
      </c>
    </row>
    <row r="11" spans="2:22" x14ac:dyDescent="0.3">
      <c r="B11" t="s">
        <v>42</v>
      </c>
      <c r="E11" s="203" t="str">
        <f>'Statements Summary 2023'!V11</f>
        <v>-</v>
      </c>
      <c r="F11" s="203" t="str">
        <f t="shared" si="0"/>
        <v>-</v>
      </c>
      <c r="G11" s="203" t="str">
        <f>'Statements Summary 2025'!V11</f>
        <v>-</v>
      </c>
      <c r="H11" s="203" t="str">
        <f>'Statements Summary 2026'!V11</f>
        <v>-</v>
      </c>
      <c r="I11" s="203" t="str">
        <f>'Statements Summary 2027'!V11</f>
        <v>-</v>
      </c>
      <c r="K11" s="203">
        <f>'CF 2024'!G36</f>
        <v>0</v>
      </c>
      <c r="L11" s="203" t="s">
        <v>192</v>
      </c>
      <c r="M11" s="203" t="s">
        <v>192</v>
      </c>
      <c r="N11" s="203" t="s">
        <v>192</v>
      </c>
      <c r="O11" s="203" t="s">
        <v>192</v>
      </c>
      <c r="P11" s="203" t="s">
        <v>192</v>
      </c>
      <c r="Q11" s="203" t="s">
        <v>192</v>
      </c>
      <c r="R11" s="203" t="s">
        <v>192</v>
      </c>
      <c r="S11" s="203" t="s">
        <v>192</v>
      </c>
      <c r="T11" s="203" t="s">
        <v>192</v>
      </c>
      <c r="U11" s="203" t="s">
        <v>192</v>
      </c>
      <c r="V11" s="203" t="s">
        <v>192</v>
      </c>
    </row>
    <row r="12" spans="2:22" x14ac:dyDescent="0.3">
      <c r="B12" t="s">
        <v>43</v>
      </c>
      <c r="E12" s="203">
        <f>'Statements Summary 2023'!V12</f>
        <v>-5500</v>
      </c>
      <c r="F12" s="203">
        <f t="shared" si="0"/>
        <v>-5500</v>
      </c>
      <c r="G12" s="203">
        <f>'Statements Summary 2025'!V12</f>
        <v>-5500</v>
      </c>
      <c r="H12" s="203">
        <f>'Statements Summary 2026'!V12</f>
        <v>0</v>
      </c>
      <c r="I12" s="203">
        <f>'Statements Summary 2027'!V12</f>
        <v>0</v>
      </c>
      <c r="K12" s="203" t="s">
        <v>192</v>
      </c>
      <c r="L12" s="203">
        <f>'CF 2024'!H42</f>
        <v>-5500</v>
      </c>
      <c r="M12" s="203">
        <f>'CF 2024'!I42</f>
        <v>-5500</v>
      </c>
      <c r="N12" s="203">
        <f>'CF 2024'!J42</f>
        <v>-5500</v>
      </c>
      <c r="O12" s="203">
        <f>'CF 2024'!K42</f>
        <v>-5500</v>
      </c>
      <c r="P12" s="203">
        <f>'CF 2024'!L42</f>
        <v>-5500</v>
      </c>
      <c r="Q12" s="203">
        <f>'CF 2024'!M42</f>
        <v>-5500</v>
      </c>
      <c r="R12" s="203">
        <f>'CF 2024'!N42</f>
        <v>-5500</v>
      </c>
      <c r="S12" s="203">
        <f>'CF 2024'!O42</f>
        <v>-5500</v>
      </c>
      <c r="T12" s="203">
        <f>'CF 2024'!P42</f>
        <v>-5500</v>
      </c>
      <c r="U12" s="203">
        <f>'CF 2024'!Q42</f>
        <v>-5500</v>
      </c>
      <c r="V12" s="203">
        <f>'CF 2024'!R42</f>
        <v>-5500</v>
      </c>
    </row>
    <row r="13" spans="2:22" x14ac:dyDescent="0.3">
      <c r="B13" t="s">
        <v>44</v>
      </c>
      <c r="E13" s="203" t="str">
        <f>'Statements Summary 2023'!V13</f>
        <v>-</v>
      </c>
      <c r="F13" s="203" t="str">
        <f t="shared" si="0"/>
        <v>-</v>
      </c>
      <c r="G13" s="203" t="str">
        <f>'Statements Summary 2025'!V13</f>
        <v>-</v>
      </c>
      <c r="H13" s="203" t="str">
        <f>'Statements Summary 2026'!V13</f>
        <v>-</v>
      </c>
      <c r="I13" s="203" t="str">
        <f>'Statements Summary 2027'!V13</f>
        <v>-</v>
      </c>
      <c r="K13" s="203" t="s">
        <v>192</v>
      </c>
      <c r="L13" s="203" t="s">
        <v>192</v>
      </c>
      <c r="M13" s="203" t="s">
        <v>192</v>
      </c>
      <c r="N13" s="203" t="s">
        <v>192</v>
      </c>
      <c r="O13" s="203" t="s">
        <v>192</v>
      </c>
      <c r="P13" s="203" t="s">
        <v>192</v>
      </c>
      <c r="Q13" s="203" t="s">
        <v>192</v>
      </c>
      <c r="R13" s="203" t="s">
        <v>192</v>
      </c>
      <c r="S13" s="203" t="s">
        <v>192</v>
      </c>
      <c r="T13" s="203" t="s">
        <v>192</v>
      </c>
      <c r="U13" s="203" t="s">
        <v>192</v>
      </c>
      <c r="V13" s="203" t="s">
        <v>192</v>
      </c>
    </row>
    <row r="14" spans="2:22" x14ac:dyDescent="0.3">
      <c r="B14" t="s">
        <v>45</v>
      </c>
      <c r="E14" s="203" t="str">
        <f>'Statements Summary 2023'!V14</f>
        <v>-</v>
      </c>
      <c r="F14" s="203" t="str">
        <f t="shared" si="0"/>
        <v>-</v>
      </c>
      <c r="G14" s="203" t="str">
        <f>'Statements Summary 2025'!V14</f>
        <v>-</v>
      </c>
      <c r="H14" s="203" t="str">
        <f>'Statements Summary 2026'!V14</f>
        <v>-</v>
      </c>
      <c r="I14" s="203" t="str">
        <f>'Statements Summary 2027'!V14</f>
        <v>-</v>
      </c>
      <c r="K14" s="203" t="s">
        <v>192</v>
      </c>
      <c r="L14" s="203" t="s">
        <v>192</v>
      </c>
      <c r="M14" s="203" t="s">
        <v>192</v>
      </c>
      <c r="N14" s="203" t="s">
        <v>192</v>
      </c>
      <c r="O14" s="203" t="s">
        <v>192</v>
      </c>
      <c r="P14" s="203" t="s">
        <v>192</v>
      </c>
      <c r="Q14" s="203" t="s">
        <v>192</v>
      </c>
      <c r="R14" s="203" t="s">
        <v>192</v>
      </c>
      <c r="S14" s="203" t="s">
        <v>192</v>
      </c>
      <c r="T14" s="203" t="s">
        <v>192</v>
      </c>
      <c r="U14" s="203" t="s">
        <v>192</v>
      </c>
      <c r="V14" s="203" t="s">
        <v>192</v>
      </c>
    </row>
    <row r="15" spans="2:22" x14ac:dyDescent="0.3">
      <c r="B15" t="s">
        <v>46</v>
      </c>
      <c r="E15" s="203">
        <f>'Statements Summary 2023'!V15</f>
        <v>-5500</v>
      </c>
      <c r="F15" s="203">
        <f t="shared" si="0"/>
        <v>-5500</v>
      </c>
      <c r="G15" s="203">
        <f>'Statements Summary 2025'!V15</f>
        <v>-5500</v>
      </c>
      <c r="H15" s="203">
        <f>'Statements Summary 2026'!V15</f>
        <v>0</v>
      </c>
      <c r="I15" s="203">
        <f>'Statements Summary 2027'!V15</f>
        <v>0</v>
      </c>
      <c r="K15" s="203" t="s">
        <v>192</v>
      </c>
      <c r="L15" s="203">
        <f>'CF 2024'!H42</f>
        <v>-5500</v>
      </c>
      <c r="M15" s="203">
        <f>'CF 2024'!I42</f>
        <v>-5500</v>
      </c>
      <c r="N15" s="203">
        <f>'CF 2024'!J42</f>
        <v>-5500</v>
      </c>
      <c r="O15" s="203">
        <f>'CF 2024'!K42</f>
        <v>-5500</v>
      </c>
      <c r="P15" s="203">
        <f>'CF 2024'!L42</f>
        <v>-5500</v>
      </c>
      <c r="Q15" s="203">
        <f>'CF 2024'!M42</f>
        <v>-5500</v>
      </c>
      <c r="R15" s="203">
        <f>'CF 2024'!N42</f>
        <v>-5500</v>
      </c>
      <c r="S15" s="203">
        <f>'CF 2024'!O42</f>
        <v>-5500</v>
      </c>
      <c r="T15" s="203">
        <f>'CF 2024'!P42</f>
        <v>-5500</v>
      </c>
      <c r="U15" s="203">
        <f>'CF 2024'!Q42</f>
        <v>-5500</v>
      </c>
      <c r="V15" s="203">
        <f>'CF 2024'!R42</f>
        <v>-5500</v>
      </c>
    </row>
    <row r="16" spans="2:22" x14ac:dyDescent="0.3">
      <c r="B16" t="s">
        <v>197</v>
      </c>
      <c r="E16" s="203">
        <f>'Statements Summary 2023'!V16</f>
        <v>12762</v>
      </c>
      <c r="F16" s="203">
        <f t="shared" si="0"/>
        <v>30423.656542056073</v>
      </c>
      <c r="G16" s="203">
        <f>'Statements Summary 2025'!V16</f>
        <v>47635.656542056073</v>
      </c>
      <c r="H16" s="203">
        <f>'Statements Summary 2026'!V16</f>
        <v>33415.656542056073</v>
      </c>
      <c r="I16" s="203">
        <f>'Statements Summary 2027'!V16</f>
        <v>33415.656542056073</v>
      </c>
      <c r="K16" s="203">
        <f>'CF 2024'!G31</f>
        <v>14077.4</v>
      </c>
      <c r="L16" s="203">
        <f>'CF 2024'!H31</f>
        <v>26549.53047034765</v>
      </c>
      <c r="M16" s="203">
        <f>'CF 2024'!I31</f>
        <v>26872.111542610572</v>
      </c>
      <c r="N16" s="203">
        <f>'CF 2024'!J31</f>
        <v>26445.217976852546</v>
      </c>
      <c r="O16" s="203">
        <f>'CF 2024'!K31</f>
        <v>27002.038576889154</v>
      </c>
      <c r="P16" s="203">
        <f>'CF 2024'!L31</f>
        <v>28100.42959326788</v>
      </c>
      <c r="Q16" s="203">
        <f>'CF 2024'!M31</f>
        <v>29001.815501149737</v>
      </c>
      <c r="R16" s="203">
        <f>'CF 2024'!N31</f>
        <v>29906.026058113308</v>
      </c>
      <c r="S16" s="203">
        <f>'CF 2024'!O31</f>
        <v>31876.426265741451</v>
      </c>
      <c r="T16" s="203">
        <f>'CF 2024'!P31</f>
        <v>33608.045962423785</v>
      </c>
      <c r="U16" s="203">
        <f>'CF 2024'!Q31</f>
        <v>35120.219390516533</v>
      </c>
      <c r="V16" s="203">
        <f>'CF 2024'!R31</f>
        <v>30423.656542056073</v>
      </c>
    </row>
    <row r="17" spans="2:22" x14ac:dyDescent="0.3">
      <c r="B17" t="s">
        <v>47</v>
      </c>
      <c r="E17" s="203">
        <f>'Statements Summary 2023'!V17</f>
        <v>20024</v>
      </c>
      <c r="F17" s="203">
        <f t="shared" si="0"/>
        <v>55347.313084112146</v>
      </c>
      <c r="G17" s="203">
        <f>'Statements Summary 2025'!V17</f>
        <v>89771.313084112146</v>
      </c>
      <c r="H17" s="203">
        <f>'Statements Summary 2026'!V17</f>
        <v>66831.313084112146</v>
      </c>
      <c r="I17" s="203">
        <f>'Statements Summary 2027'!V17</f>
        <v>66831.313084112146</v>
      </c>
      <c r="K17" s="203">
        <f>'CF 2024'!G52+'CF 2024'!G29+'CF 2024'!G30</f>
        <v>22654.800000000003</v>
      </c>
      <c r="L17" s="203">
        <f>'CF 2024'!H52+'CF 2024'!H29+'CF 2024'!H30</f>
        <v>47599.060940695301</v>
      </c>
      <c r="M17" s="203">
        <f>'CF 2024'!I52+'CF 2024'!I29+'CF 2024'!I30</f>
        <v>48244.223085221136</v>
      </c>
      <c r="N17" s="203">
        <f>'CF 2024'!J52+'CF 2024'!J29+'CF 2024'!J30</f>
        <v>47390.435953705091</v>
      </c>
      <c r="O17" s="203">
        <f>'CF 2024'!K52+'CF 2024'!K29+'CF 2024'!K30</f>
        <v>48504.0771537783</v>
      </c>
      <c r="P17" s="203">
        <f>'CF 2024'!L52+'CF 2024'!L29+'CF 2024'!L30</f>
        <v>50700.859186535759</v>
      </c>
      <c r="Q17" s="203">
        <f>'CF 2024'!M52+'CF 2024'!M29+'CF 2024'!M30</f>
        <v>52503.631002299473</v>
      </c>
      <c r="R17" s="203">
        <f>'CF 2024'!N52+'CF 2024'!N29+'CF 2024'!N30</f>
        <v>54312.052116226609</v>
      </c>
      <c r="S17" s="203">
        <f>'CF 2024'!O52+'CF 2024'!O29+'CF 2024'!O30</f>
        <v>58252.852531482895</v>
      </c>
      <c r="T17" s="203">
        <f>'CF 2024'!P52+'CF 2024'!P29+'CF 2024'!P30</f>
        <v>61716.091924847569</v>
      </c>
      <c r="U17" s="203">
        <f>'CF 2024'!Q52+'CF 2024'!Q29+'CF 2024'!Q30</f>
        <v>64740.438781033074</v>
      </c>
      <c r="V17" s="203">
        <f>'CF 2024'!R52+'CF 2024'!R29+'CF 2024'!R30</f>
        <v>55347.313084112146</v>
      </c>
    </row>
    <row r="19" spans="2:22" x14ac:dyDescent="0.3">
      <c r="B19" s="177" t="s">
        <v>224</v>
      </c>
      <c r="C19" s="151"/>
      <c r="D19" s="151"/>
      <c r="E19" s="151"/>
      <c r="F19" s="151"/>
      <c r="G19" s="151"/>
      <c r="H19" s="151"/>
      <c r="I19" s="151"/>
      <c r="K19" s="349" t="s">
        <v>200</v>
      </c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</row>
    <row r="42" spans="2:22" x14ac:dyDescent="0.3">
      <c r="B42" s="177" t="s">
        <v>225</v>
      </c>
      <c r="C42" s="177"/>
      <c r="D42" s="177"/>
      <c r="E42" s="177"/>
      <c r="F42" s="151"/>
      <c r="G42" s="151"/>
      <c r="H42" s="151"/>
      <c r="I42" s="151"/>
      <c r="J42" s="151"/>
      <c r="K42" s="349" t="s">
        <v>201</v>
      </c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</row>
    <row r="44" spans="2:22" x14ac:dyDescent="0.3">
      <c r="B44" s="190" t="s">
        <v>20</v>
      </c>
      <c r="C44" s="190"/>
      <c r="D44" s="190"/>
      <c r="E44" s="191">
        <v>2023</v>
      </c>
      <c r="F44" s="191">
        <v>2024</v>
      </c>
      <c r="G44" s="191">
        <v>2025</v>
      </c>
      <c r="H44" s="191">
        <v>2026</v>
      </c>
      <c r="I44" s="191">
        <v>2027</v>
      </c>
      <c r="J44" s="190"/>
      <c r="K44" s="190" t="s">
        <v>25</v>
      </c>
      <c r="L44" s="190" t="s">
        <v>26</v>
      </c>
      <c r="M44" s="190" t="s">
        <v>27</v>
      </c>
      <c r="N44" s="190" t="s">
        <v>28</v>
      </c>
      <c r="O44" s="190" t="s">
        <v>29</v>
      </c>
      <c r="P44" s="190" t="s">
        <v>30</v>
      </c>
      <c r="Q44" s="190" t="s">
        <v>31</v>
      </c>
      <c r="R44" s="190" t="s">
        <v>32</v>
      </c>
      <c r="S44" s="190" t="s">
        <v>33</v>
      </c>
      <c r="T44" s="190" t="s">
        <v>34</v>
      </c>
      <c r="U44" s="190" t="s">
        <v>35</v>
      </c>
      <c r="V44" s="190" t="s">
        <v>36</v>
      </c>
    </row>
    <row r="45" spans="2:22" x14ac:dyDescent="0.3">
      <c r="B45" s="14" t="s">
        <v>2</v>
      </c>
      <c r="C45" s="14"/>
      <c r="D45" s="14"/>
      <c r="E45" s="192">
        <f>'Statements Summary 2023'!V44</f>
        <v>25770</v>
      </c>
      <c r="F45" s="192">
        <f t="shared" ref="F45:F65" si="1">V45</f>
        <v>27986</v>
      </c>
      <c r="G45" s="192">
        <f>'Statements Summary 2025'!V45</f>
        <v>25770</v>
      </c>
      <c r="H45" s="192">
        <f>'Statements Summary 2026'!V45</f>
        <v>25770</v>
      </c>
      <c r="I45" s="192">
        <f>'Statements Summary 2027'!V45</f>
        <v>25770</v>
      </c>
      <c r="K45" s="192">
        <f>'IS 2024'!F24</f>
        <v>27109</v>
      </c>
      <c r="L45" s="192">
        <f>'IS 2024'!G24</f>
        <v>28308</v>
      </c>
      <c r="M45" s="192">
        <f>'IS 2024'!H24</f>
        <v>29390</v>
      </c>
      <c r="N45" s="192">
        <f>'IS 2024'!I24</f>
        <v>29809</v>
      </c>
      <c r="O45" s="192">
        <f>'IS 2024'!J24</f>
        <v>32510</v>
      </c>
      <c r="P45" s="192">
        <f>'IS 2024'!K24</f>
        <v>33783</v>
      </c>
      <c r="Q45" s="192">
        <f>'IS 2024'!L24</f>
        <v>34421</v>
      </c>
      <c r="R45" s="192">
        <f>'IS 2024'!M24</f>
        <v>34685</v>
      </c>
      <c r="S45" s="192">
        <f>'IS 2024'!N24</f>
        <v>30698</v>
      </c>
      <c r="T45" s="192">
        <f>'IS 2024'!O24</f>
        <v>29655</v>
      </c>
      <c r="U45" s="192">
        <f>'IS 2024'!P24</f>
        <v>29739</v>
      </c>
      <c r="V45" s="192">
        <f>'IS 2024'!Q24</f>
        <v>27986</v>
      </c>
    </row>
    <row r="46" spans="2:22" x14ac:dyDescent="0.3">
      <c r="B46" t="s">
        <v>21</v>
      </c>
      <c r="E46" s="1">
        <f>'Statements Summary 2023'!V45</f>
        <v>-4.8585985379901053E-2</v>
      </c>
      <c r="F46" s="2">
        <f t="shared" si="1"/>
        <v>-5.8946164968559804E-2</v>
      </c>
      <c r="G46" s="2">
        <f>'Statements Summary 2025'!V46</f>
        <v>-9.4550437440708332E-2</v>
      </c>
      <c r="H46" s="2">
        <f>'Statements Summary 2026'!V46</f>
        <v>-9.4550437440708332E-2</v>
      </c>
      <c r="I46" s="2">
        <f>'Statements Summary 2027'!V46</f>
        <v>-9.4550437440708332E-2</v>
      </c>
      <c r="K46" s="2"/>
      <c r="L46" s="2">
        <f t="shared" ref="L46" si="2">(L45-K45)/K45</f>
        <v>4.4228853886163266E-2</v>
      </c>
      <c r="M46" s="2">
        <f>(M45-L45)/L45</f>
        <v>3.8222410625971454E-2</v>
      </c>
      <c r="N46" s="2">
        <f>(N45-M45)/M45</f>
        <v>1.4256549846886696E-2</v>
      </c>
      <c r="O46" s="2">
        <f t="shared" ref="O46:T46" si="3">(O45-N45)/N45</f>
        <v>9.0610218390418995E-2</v>
      </c>
      <c r="P46" s="2">
        <f t="shared" si="3"/>
        <v>3.9157182405413722E-2</v>
      </c>
      <c r="Q46" s="2">
        <f t="shared" si="3"/>
        <v>1.8885238137524792E-2</v>
      </c>
      <c r="R46" s="2">
        <f t="shared" si="3"/>
        <v>7.6697364980680399E-3</v>
      </c>
      <c r="S46" s="2">
        <f t="shared" si="3"/>
        <v>-0.11494882514055067</v>
      </c>
      <c r="T46" s="2">
        <f t="shared" si="3"/>
        <v>-3.39761547983582E-2</v>
      </c>
      <c r="U46" s="2">
        <f>(U45-T45)/T45</f>
        <v>2.8325746079919068E-3</v>
      </c>
      <c r="V46" s="2">
        <f t="shared" ref="V46" si="4">(V45-U45)/U45</f>
        <v>-5.8946164968559804E-2</v>
      </c>
    </row>
    <row r="47" spans="2:22" x14ac:dyDescent="0.3">
      <c r="B47" t="s">
        <v>3</v>
      </c>
      <c r="E47" s="1">
        <f>'Statements Summary 2023'!V46</f>
        <v>-2045</v>
      </c>
      <c r="F47" s="1">
        <f t="shared" si="1"/>
        <v>-2045</v>
      </c>
      <c r="G47" s="1">
        <f>'Statements Summary 2025'!V47</f>
        <v>-2045</v>
      </c>
      <c r="H47" s="1">
        <f>'Statements Summary 2026'!V47</f>
        <v>-2045</v>
      </c>
      <c r="I47" s="1">
        <f>'Statements Summary 2027'!V47</f>
        <v>-2045</v>
      </c>
      <c r="K47" s="1">
        <f>'IS 2024'!F25</f>
        <v>-2045</v>
      </c>
      <c r="L47" s="1">
        <f>'IS 2024'!G25</f>
        <v>-2045</v>
      </c>
      <c r="M47" s="1">
        <f>'IS 2024'!H25</f>
        <v>-2045</v>
      </c>
      <c r="N47" s="1">
        <f>'IS 2024'!I25</f>
        <v>-2045</v>
      </c>
      <c r="O47" s="1">
        <f>'IS 2024'!J25</f>
        <v>-2045</v>
      </c>
      <c r="P47" s="1">
        <f>'IS 2024'!K25</f>
        <v>-2045</v>
      </c>
      <c r="Q47" s="1">
        <f>'IS 2024'!L25</f>
        <v>-2045</v>
      </c>
      <c r="R47" s="1">
        <f>'IS 2024'!M25</f>
        <v>-2045</v>
      </c>
      <c r="S47" s="1">
        <f>'IS 2024'!N25</f>
        <v>-2045</v>
      </c>
      <c r="T47" s="1">
        <f>'IS 2024'!O25</f>
        <v>-2045</v>
      </c>
      <c r="U47" s="1">
        <f>'IS 2024'!P25</f>
        <v>-2045</v>
      </c>
      <c r="V47" s="1">
        <f>'IS 2024'!Q25</f>
        <v>-2045</v>
      </c>
    </row>
    <row r="48" spans="2:22" x14ac:dyDescent="0.3">
      <c r="B48" t="s">
        <v>22</v>
      </c>
      <c r="E48" s="2">
        <f>'Statements Summary 2023'!V47</f>
        <v>-7.9355840124175403E-2</v>
      </c>
      <c r="F48" s="2">
        <f t="shared" si="1"/>
        <v>-7.3072250410919748E-2</v>
      </c>
      <c r="G48" s="2">
        <f>'Statements Summary 2025'!V48</f>
        <v>-7.9355840124175403E-2</v>
      </c>
      <c r="H48" s="2">
        <f>'Statements Summary 2026'!V48</f>
        <v>-7.9355840124175403E-2</v>
      </c>
      <c r="I48" s="2">
        <f>'Statements Summary 2027'!V48</f>
        <v>-7.9355840124175403E-2</v>
      </c>
      <c r="K48" s="2">
        <f>K47/K45</f>
        <v>-7.5436201999336011E-2</v>
      </c>
      <c r="L48" s="2">
        <f t="shared" ref="L48:V48" si="5">L47/L45</f>
        <v>-7.2241062597145689E-2</v>
      </c>
      <c r="M48" s="2">
        <f t="shared" si="5"/>
        <v>-6.9581490302824095E-2</v>
      </c>
      <c r="N48" s="2">
        <f t="shared" si="5"/>
        <v>-6.8603441913516056E-2</v>
      </c>
      <c r="O48" s="2">
        <f t="shared" si="5"/>
        <v>-6.2903721931713313E-2</v>
      </c>
      <c r="P48" s="2">
        <f t="shared" si="5"/>
        <v>-6.0533404374981496E-2</v>
      </c>
      <c r="Q48" s="2">
        <f t="shared" si="5"/>
        <v>-5.941140582783766E-2</v>
      </c>
      <c r="R48" s="2">
        <f t="shared" si="5"/>
        <v>-5.8959204266974194E-2</v>
      </c>
      <c r="S48" s="2">
        <f t="shared" si="5"/>
        <v>-6.6616717701478922E-2</v>
      </c>
      <c r="T48" s="2">
        <f t="shared" si="5"/>
        <v>-6.8959703254088692E-2</v>
      </c>
      <c r="U48" s="2">
        <f t="shared" si="5"/>
        <v>-6.8764921483573757E-2</v>
      </c>
      <c r="V48" s="2">
        <f t="shared" si="5"/>
        <v>-7.3072250410919748E-2</v>
      </c>
    </row>
    <row r="49" spans="2:23" x14ac:dyDescent="0.3">
      <c r="B49" t="s">
        <v>4</v>
      </c>
      <c r="E49" s="1">
        <f>'Statements Summary 2023'!V48</f>
        <v>23725</v>
      </c>
      <c r="F49" s="1">
        <f t="shared" si="1"/>
        <v>25941</v>
      </c>
      <c r="G49" s="1">
        <f>'Statements Summary 2025'!V49</f>
        <v>23725</v>
      </c>
      <c r="H49" s="1">
        <f>'Statements Summary 2026'!V49</f>
        <v>23725</v>
      </c>
      <c r="I49" s="1">
        <f>'Statements Summary 2027'!V49</f>
        <v>23725</v>
      </c>
      <c r="K49" s="1">
        <f>'IS 2024'!F34</f>
        <v>25064</v>
      </c>
      <c r="L49" s="1">
        <f>'IS 2024'!G34</f>
        <v>26263</v>
      </c>
      <c r="M49" s="1">
        <f>'IS 2024'!H34</f>
        <v>27345</v>
      </c>
      <c r="N49" s="1">
        <f>'IS 2024'!I34</f>
        <v>27764</v>
      </c>
      <c r="O49" s="1">
        <f>'IS 2024'!J34</f>
        <v>30465</v>
      </c>
      <c r="P49" s="1">
        <f>'IS 2024'!K34</f>
        <v>31738</v>
      </c>
      <c r="Q49" s="1">
        <f>'IS 2024'!L34</f>
        <v>32376</v>
      </c>
      <c r="R49" s="1">
        <f>'IS 2024'!M34</f>
        <v>32640</v>
      </c>
      <c r="S49" s="1">
        <f>'IS 2024'!N34</f>
        <v>28653</v>
      </c>
      <c r="T49" s="1">
        <f>'IS 2024'!O34</f>
        <v>27610</v>
      </c>
      <c r="U49" s="1">
        <f>'IS 2024'!P34</f>
        <v>27694</v>
      </c>
      <c r="V49" s="1">
        <f>'IS 2024'!Q34</f>
        <v>25941</v>
      </c>
    </row>
    <row r="50" spans="2:23" x14ac:dyDescent="0.3">
      <c r="B50" t="s">
        <v>23</v>
      </c>
      <c r="E50" s="2">
        <f>'Statements Summary 2023'!V49</f>
        <v>0.9206441598758246</v>
      </c>
      <c r="F50" s="2">
        <f t="shared" si="1"/>
        <v>0.92692774958908031</v>
      </c>
      <c r="G50" s="2">
        <f>'Statements Summary 2025'!V50</f>
        <v>0.9206441598758246</v>
      </c>
      <c r="H50" s="2">
        <f>'Statements Summary 2026'!V50</f>
        <v>0.9206441598758246</v>
      </c>
      <c r="I50" s="2">
        <f>'Statements Summary 2027'!V50</f>
        <v>0.9206441598758246</v>
      </c>
      <c r="K50" s="2">
        <f>K49/K45</f>
        <v>0.92456379800066402</v>
      </c>
      <c r="L50" s="2">
        <f t="shared" ref="L50:V50" si="6">L49/L45</f>
        <v>0.92775893740285431</v>
      </c>
      <c r="M50" s="2">
        <f t="shared" si="6"/>
        <v>0.93041850969717588</v>
      </c>
      <c r="N50" s="2">
        <f t="shared" si="6"/>
        <v>0.93139655808648392</v>
      </c>
      <c r="O50" s="2">
        <f t="shared" si="6"/>
        <v>0.93709627806828666</v>
      </c>
      <c r="P50" s="2">
        <f t="shared" si="6"/>
        <v>0.93946659562501855</v>
      </c>
      <c r="Q50" s="2">
        <f t="shared" si="6"/>
        <v>0.94058859417216234</v>
      </c>
      <c r="R50" s="2">
        <f t="shared" si="6"/>
        <v>0.94104079573302579</v>
      </c>
      <c r="S50" s="2">
        <f t="shared" si="6"/>
        <v>0.93338328229852108</v>
      </c>
      <c r="T50" s="2">
        <f t="shared" si="6"/>
        <v>0.93104029674591127</v>
      </c>
      <c r="U50" s="2">
        <f t="shared" si="6"/>
        <v>0.93123507851642628</v>
      </c>
      <c r="V50" s="2">
        <f t="shared" si="6"/>
        <v>0.92692774958908031</v>
      </c>
    </row>
    <row r="51" spans="2:23" x14ac:dyDescent="0.3">
      <c r="B51" t="s">
        <v>5</v>
      </c>
      <c r="E51" s="1">
        <f>'Statements Summary 2023'!V50</f>
        <v>-3031</v>
      </c>
      <c r="F51" s="1">
        <f t="shared" si="1"/>
        <v>-3031</v>
      </c>
      <c r="G51" s="1">
        <f>'Statements Summary 2025'!V51</f>
        <v>-3031</v>
      </c>
      <c r="H51" s="1">
        <f>'Statements Summary 2026'!V51</f>
        <v>-3031</v>
      </c>
      <c r="I51" s="1">
        <f>'Statements Summary 2027'!V51</f>
        <v>-3031</v>
      </c>
      <c r="K51" s="1">
        <f>'IS 2024'!F46</f>
        <v>-3031</v>
      </c>
      <c r="L51" s="1">
        <f>'IS 2024'!G46</f>
        <v>-3031</v>
      </c>
      <c r="M51" s="1">
        <f>'IS 2024'!H46</f>
        <v>-3031</v>
      </c>
      <c r="N51" s="1">
        <f>'IS 2024'!I46</f>
        <v>-3031</v>
      </c>
      <c r="O51" s="1">
        <f>'IS 2024'!J46</f>
        <v>-3031</v>
      </c>
      <c r="P51" s="1">
        <f>'IS 2024'!K46</f>
        <v>-3031</v>
      </c>
      <c r="Q51" s="1">
        <f>'IS 2024'!L46</f>
        <v>-3031</v>
      </c>
      <c r="R51" s="1">
        <f>'IS 2024'!M46</f>
        <v>-3031</v>
      </c>
      <c r="S51" s="1">
        <f>'IS 2024'!N46</f>
        <v>-3031</v>
      </c>
      <c r="T51" s="1">
        <f>'IS 2024'!O46</f>
        <v>-3031</v>
      </c>
      <c r="U51" s="1">
        <f>'IS 2024'!P46</f>
        <v>-3031</v>
      </c>
      <c r="V51" s="1">
        <f>'IS 2024'!Q46</f>
        <v>-3031</v>
      </c>
    </row>
    <row r="52" spans="2:23" x14ac:dyDescent="0.3">
      <c r="B52" t="s">
        <v>22</v>
      </c>
      <c r="E52" s="2">
        <f>'Statements Summary 2023'!V51</f>
        <v>-0.11761738455568491</v>
      </c>
      <c r="F52" s="2">
        <f t="shared" si="1"/>
        <v>-0.10830415207603802</v>
      </c>
      <c r="G52" s="2">
        <f>'Statements Summary 2025'!V52</f>
        <v>-0.11761738455568491</v>
      </c>
      <c r="H52" s="2">
        <f>'Statements Summary 2026'!V52</f>
        <v>-0.11761738455568491</v>
      </c>
      <c r="I52" s="2">
        <f>'Statements Summary 2027'!V52</f>
        <v>-0.11761738455568491</v>
      </c>
      <c r="K52" s="2">
        <f>K51/K45</f>
        <v>-0.11180788667970047</v>
      </c>
      <c r="L52" s="2">
        <f t="shared" ref="L52:V52" si="7">L51/L45</f>
        <v>-0.10707220573689416</v>
      </c>
      <c r="M52" s="2">
        <f t="shared" si="7"/>
        <v>-0.10313031643416128</v>
      </c>
      <c r="N52" s="2">
        <f t="shared" si="7"/>
        <v>-0.10168070045959274</v>
      </c>
      <c r="O52" s="2">
        <f t="shared" si="7"/>
        <v>-9.3232851430329125E-2</v>
      </c>
      <c r="P52" s="2">
        <f t="shared" si="7"/>
        <v>-8.971968149661072E-2</v>
      </c>
      <c r="Q52" s="2">
        <f t="shared" si="7"/>
        <v>-8.8056709566834201E-2</v>
      </c>
      <c r="R52" s="2">
        <f t="shared" si="7"/>
        <v>-8.7386478304742679E-2</v>
      </c>
      <c r="S52" s="2">
        <f t="shared" si="7"/>
        <v>-9.8736074011336245E-2</v>
      </c>
      <c r="T52" s="2">
        <f t="shared" si="7"/>
        <v>-0.10220873377170797</v>
      </c>
      <c r="U52" s="2">
        <f t="shared" si="7"/>
        <v>-0.1019200376609839</v>
      </c>
      <c r="V52" s="2">
        <f t="shared" si="7"/>
        <v>-0.10830415207603802</v>
      </c>
    </row>
    <row r="53" spans="2:23" x14ac:dyDescent="0.3">
      <c r="B53" t="s">
        <v>193</v>
      </c>
      <c r="E53" s="1">
        <f>'Statements Summary 2023'!V52</f>
        <v>-3000</v>
      </c>
      <c r="F53" s="1">
        <f t="shared" si="1"/>
        <v>-3000</v>
      </c>
      <c r="G53" s="1">
        <f>'Statements Summary 2025'!V53</f>
        <v>-3000</v>
      </c>
      <c r="H53" s="1">
        <f>'Statements Summary 2026'!V53</f>
        <v>-3000</v>
      </c>
      <c r="I53" s="1">
        <f>'Statements Summary 2027'!V53</f>
        <v>-3000</v>
      </c>
      <c r="K53" s="1">
        <f>'IS 2024'!F47</f>
        <v>-3000</v>
      </c>
      <c r="L53" s="1">
        <f>'IS 2024'!G47</f>
        <v>-3000</v>
      </c>
      <c r="M53" s="1">
        <f>'IS 2024'!H47</f>
        <v>-3000</v>
      </c>
      <c r="N53" s="1">
        <f>'IS 2024'!I47</f>
        <v>-3000</v>
      </c>
      <c r="O53" s="1">
        <f>'IS 2024'!J47</f>
        <v>-3000</v>
      </c>
      <c r="P53" s="1">
        <f>'IS 2024'!K47</f>
        <v>-3000</v>
      </c>
      <c r="Q53" s="1">
        <f>'IS 2024'!L47</f>
        <v>-3000</v>
      </c>
      <c r="R53" s="1">
        <f>'IS 2024'!M47</f>
        <v>-3000</v>
      </c>
      <c r="S53" s="1">
        <f>'IS 2024'!N47</f>
        <v>-3000</v>
      </c>
      <c r="T53" s="1">
        <f>'IS 2024'!O47</f>
        <v>-3000</v>
      </c>
      <c r="U53" s="1">
        <f>'IS 2024'!P47</f>
        <v>-3000</v>
      </c>
      <c r="V53" s="1">
        <f>'IS 2024'!Q47</f>
        <v>-3000</v>
      </c>
    </row>
    <row r="54" spans="2:23" x14ac:dyDescent="0.3">
      <c r="B54" t="s">
        <v>22</v>
      </c>
      <c r="E54" s="2">
        <f>'Statements Summary 2023'!V53</f>
        <v>-0.11641443538998836</v>
      </c>
      <c r="F54" s="2">
        <f t="shared" si="1"/>
        <v>-0.10719645537054241</v>
      </c>
      <c r="G54" s="2">
        <f>'Statements Summary 2025'!V54</f>
        <v>-0.11641443538998836</v>
      </c>
      <c r="H54" s="2">
        <f>'Statements Summary 2026'!V54</f>
        <v>-0.11641443538998836</v>
      </c>
      <c r="I54" s="2">
        <f>'Statements Summary 2027'!V54</f>
        <v>-0.11641443538998836</v>
      </c>
      <c r="K54" s="2">
        <f>K53/K45</f>
        <v>-0.11066435501125088</v>
      </c>
      <c r="L54" s="2">
        <f t="shared" ref="L54:V54" si="8">L53/L45</f>
        <v>-0.10597710894446799</v>
      </c>
      <c r="M54" s="2">
        <f t="shared" si="8"/>
        <v>-0.10207553589656346</v>
      </c>
      <c r="N54" s="2">
        <f t="shared" si="8"/>
        <v>-0.10064074608339763</v>
      </c>
      <c r="O54" s="2">
        <f t="shared" si="8"/>
        <v>-9.2279298677330049E-2</v>
      </c>
      <c r="P54" s="2">
        <f t="shared" si="8"/>
        <v>-8.8802060207796824E-2</v>
      </c>
      <c r="Q54" s="2">
        <f t="shared" si="8"/>
        <v>-8.7156096568954997E-2</v>
      </c>
      <c r="R54" s="2">
        <f t="shared" si="8"/>
        <v>-8.6492720196050171E-2</v>
      </c>
      <c r="S54" s="2">
        <f t="shared" si="8"/>
        <v>-9.7726236236888392E-2</v>
      </c>
      <c r="T54" s="2">
        <f t="shared" si="8"/>
        <v>-0.10116337885685382</v>
      </c>
      <c r="U54" s="2">
        <f t="shared" si="8"/>
        <v>-0.10087763542822556</v>
      </c>
      <c r="V54" s="2">
        <f t="shared" si="8"/>
        <v>-0.10719645537054241</v>
      </c>
    </row>
    <row r="55" spans="2:23" x14ac:dyDescent="0.3">
      <c r="B55" t="s">
        <v>24</v>
      </c>
      <c r="E55" s="1">
        <f>'Statements Summary 2023'!V54</f>
        <v>-3050</v>
      </c>
      <c r="F55" s="1">
        <f t="shared" si="1"/>
        <v>-3050</v>
      </c>
      <c r="G55" s="1">
        <f>'Statements Summary 2025'!V55</f>
        <v>-3050</v>
      </c>
      <c r="H55" s="1">
        <f>'Statements Summary 2026'!V55</f>
        <v>-3050</v>
      </c>
      <c r="I55" s="1">
        <f>'Statements Summary 2027'!V55</f>
        <v>-3050</v>
      </c>
      <c r="K55" s="1">
        <f>'IS 2024'!F66</f>
        <v>-3050</v>
      </c>
      <c r="L55" s="1">
        <f>'IS 2024'!G66</f>
        <v>-3050</v>
      </c>
      <c r="M55" s="1">
        <f>'IS 2024'!H66</f>
        <v>-3050</v>
      </c>
      <c r="N55" s="1">
        <f>'IS 2024'!I66</f>
        <v>-3050</v>
      </c>
      <c r="O55" s="1">
        <f>'IS 2024'!J66</f>
        <v>-3050</v>
      </c>
      <c r="P55" s="1">
        <f>'IS 2024'!K66</f>
        <v>-3050</v>
      </c>
      <c r="Q55" s="1">
        <f>'IS 2024'!L66</f>
        <v>-3050</v>
      </c>
      <c r="R55" s="1">
        <f>'IS 2024'!M66</f>
        <v>-3050</v>
      </c>
      <c r="S55" s="1">
        <f>'IS 2024'!N66</f>
        <v>-3050</v>
      </c>
      <c r="T55" s="1">
        <f>'IS 2024'!O66</f>
        <v>-3050</v>
      </c>
      <c r="U55" s="1">
        <f>'IS 2024'!P66</f>
        <v>-3050</v>
      </c>
      <c r="V55" s="1">
        <f>'IS 2024'!Q66</f>
        <v>-3050</v>
      </c>
      <c r="W55" s="1"/>
    </row>
    <row r="56" spans="2:23" x14ac:dyDescent="0.3">
      <c r="B56" t="s">
        <v>22</v>
      </c>
      <c r="E56" s="2">
        <f>'Statements Summary 2023'!V55</f>
        <v>-0.11835467597982149</v>
      </c>
      <c r="F56" s="2">
        <f t="shared" si="1"/>
        <v>-0.10898306296005146</v>
      </c>
      <c r="G56" s="2">
        <f>'Statements Summary 2025'!V56</f>
        <v>-0.11835467597982149</v>
      </c>
      <c r="H56" s="2">
        <f>'Statements Summary 2026'!V56</f>
        <v>-0.11835467597982149</v>
      </c>
      <c r="I56" s="2">
        <f>'Statements Summary 2027'!V56</f>
        <v>-0.11835467597982149</v>
      </c>
      <c r="K56" s="2">
        <f>K55/K45</f>
        <v>-0.11250876092810505</v>
      </c>
      <c r="L56" s="2">
        <f t="shared" ref="L56:V56" si="9">L55/L45</f>
        <v>-0.10774339409354246</v>
      </c>
      <c r="M56" s="2">
        <f t="shared" si="9"/>
        <v>-0.10377679482817284</v>
      </c>
      <c r="N56" s="2">
        <f t="shared" si="9"/>
        <v>-0.10231809185145425</v>
      </c>
      <c r="O56" s="2">
        <f t="shared" si="9"/>
        <v>-9.3817286988618881E-2</v>
      </c>
      <c r="P56" s="2">
        <f t="shared" si="9"/>
        <v>-9.0282094544593433E-2</v>
      </c>
      <c r="Q56" s="2">
        <f t="shared" si="9"/>
        <v>-8.8608698178437584E-2</v>
      </c>
      <c r="R56" s="2">
        <f t="shared" si="9"/>
        <v>-8.7934265532651004E-2</v>
      </c>
      <c r="S56" s="2">
        <f t="shared" si="9"/>
        <v>-9.9355006840836535E-2</v>
      </c>
      <c r="T56" s="2">
        <f t="shared" si="9"/>
        <v>-0.10284943517113472</v>
      </c>
      <c r="U56" s="2">
        <f t="shared" si="9"/>
        <v>-0.10255892935202932</v>
      </c>
      <c r="V56" s="2">
        <f t="shared" si="9"/>
        <v>-0.10898306296005146</v>
      </c>
    </row>
    <row r="57" spans="2:23" x14ac:dyDescent="0.3">
      <c r="B57" s="14" t="s">
        <v>6</v>
      </c>
      <c r="C57" s="14"/>
      <c r="D57" s="14"/>
      <c r="E57" s="192">
        <f>'Statements Summary 2023'!V56</f>
        <v>17644</v>
      </c>
      <c r="F57" s="192">
        <f t="shared" si="1"/>
        <v>19860</v>
      </c>
      <c r="G57" s="192">
        <f>'Statements Summary 2025'!V57</f>
        <v>17644</v>
      </c>
      <c r="H57" s="192">
        <f>'Statements Summary 2026'!V57</f>
        <v>17644</v>
      </c>
      <c r="I57" s="192">
        <f>'Statements Summary 2027'!V57</f>
        <v>17644</v>
      </c>
      <c r="K57" s="192">
        <f>'IS 2024'!F67</f>
        <v>18983</v>
      </c>
      <c r="L57" s="192">
        <f>'IS 2024'!G67</f>
        <v>20182</v>
      </c>
      <c r="M57" s="192">
        <f>'IS 2024'!H67</f>
        <v>21264</v>
      </c>
      <c r="N57" s="192">
        <f>'IS 2024'!I67</f>
        <v>21683</v>
      </c>
      <c r="O57" s="192">
        <f>'IS 2024'!J67</f>
        <v>24384</v>
      </c>
      <c r="P57" s="192">
        <f>'IS 2024'!K67</f>
        <v>25657</v>
      </c>
      <c r="Q57" s="192">
        <f>'IS 2024'!L67</f>
        <v>26295</v>
      </c>
      <c r="R57" s="192">
        <f>'IS 2024'!M67</f>
        <v>26559</v>
      </c>
      <c r="S57" s="192">
        <f>'IS 2024'!N67</f>
        <v>22572</v>
      </c>
      <c r="T57" s="192">
        <f>'IS 2024'!O67</f>
        <v>21529</v>
      </c>
      <c r="U57" s="192">
        <f>'IS 2024'!P67</f>
        <v>21613</v>
      </c>
      <c r="V57" s="192">
        <f>'IS 2024'!Q67</f>
        <v>19860</v>
      </c>
    </row>
    <row r="58" spans="2:23" x14ac:dyDescent="0.3">
      <c r="B58" t="s">
        <v>15</v>
      </c>
      <c r="E58" s="2">
        <f>'Statements Summary 2023'!V57</f>
        <v>0.68467209934031825</v>
      </c>
      <c r="F58" s="2">
        <f t="shared" si="1"/>
        <v>0.70964053455299081</v>
      </c>
      <c r="G58" s="2">
        <f>'Statements Summary 2025'!V58</f>
        <v>0.68467209934031825</v>
      </c>
      <c r="H58" s="2">
        <f>'Statements Summary 2026'!V58</f>
        <v>0.68467209934031825</v>
      </c>
      <c r="I58" s="2">
        <f>'Statements Summary 2027'!V58</f>
        <v>0.68467209934031825</v>
      </c>
      <c r="K58" s="2">
        <f>K57/K45</f>
        <v>0.70024715039285845</v>
      </c>
      <c r="L58" s="2">
        <f t="shared" ref="L58:V58" si="10">L57/L45</f>
        <v>0.71294333757241768</v>
      </c>
      <c r="M58" s="2">
        <f t="shared" si="10"/>
        <v>0.7235113984348418</v>
      </c>
      <c r="N58" s="2">
        <f t="shared" si="10"/>
        <v>0.72739776577543691</v>
      </c>
      <c r="O58" s="2">
        <f t="shared" si="10"/>
        <v>0.75004613964933864</v>
      </c>
      <c r="P58" s="2">
        <f t="shared" si="10"/>
        <v>0.7594648195838144</v>
      </c>
      <c r="Q58" s="2">
        <f t="shared" si="10"/>
        <v>0.76392318642689061</v>
      </c>
      <c r="R58" s="2">
        <f t="shared" si="10"/>
        <v>0.76572005189563208</v>
      </c>
      <c r="S58" s="2">
        <f t="shared" si="10"/>
        <v>0.73529220144634833</v>
      </c>
      <c r="T58" s="2">
        <f t="shared" si="10"/>
        <v>0.72598212780306859</v>
      </c>
      <c r="U58" s="2">
        <f t="shared" si="10"/>
        <v>0.72675611150341302</v>
      </c>
      <c r="V58" s="2">
        <f t="shared" si="10"/>
        <v>0.70964053455299081</v>
      </c>
    </row>
    <row r="59" spans="2:23" x14ac:dyDescent="0.3">
      <c r="B59" t="s">
        <v>7</v>
      </c>
      <c r="E59" s="1">
        <f>'Statements Summary 2023'!V58</f>
        <v>-1711</v>
      </c>
      <c r="F59" s="1">
        <f t="shared" si="1"/>
        <v>-1850</v>
      </c>
      <c r="G59" s="1">
        <f>'Statements Summary 2025'!V59</f>
        <v>-1911</v>
      </c>
      <c r="H59" s="1">
        <f>'Statements Summary 2026'!V59</f>
        <v>-1756</v>
      </c>
      <c r="I59" s="1">
        <f>'Statements Summary 2027'!V59</f>
        <v>-1800</v>
      </c>
      <c r="K59">
        <f>'IS 2024'!F68</f>
        <v>-1450</v>
      </c>
      <c r="L59">
        <f>'IS 2024'!G68</f>
        <v>-1450</v>
      </c>
      <c r="M59">
        <f>'IS 2024'!H68</f>
        <v>-1450</v>
      </c>
      <c r="N59">
        <f>'IS 2024'!I68</f>
        <v>-1450</v>
      </c>
      <c r="O59">
        <f>'IS 2024'!J68</f>
        <v>-1450</v>
      </c>
      <c r="P59">
        <f>'IS 2024'!K68</f>
        <v>-1450</v>
      </c>
      <c r="Q59">
        <f>'IS 2024'!L68</f>
        <v>-1450</v>
      </c>
      <c r="R59">
        <f>'IS 2024'!M68</f>
        <v>-1450</v>
      </c>
      <c r="S59">
        <f>'IS 2024'!N68</f>
        <v>-1450</v>
      </c>
      <c r="T59">
        <f>'IS 2024'!O68</f>
        <v>-1450</v>
      </c>
      <c r="U59">
        <f>'IS 2024'!P68</f>
        <v>-1450</v>
      </c>
      <c r="V59">
        <f>'IS 2024'!Q68</f>
        <v>-1850</v>
      </c>
    </row>
    <row r="60" spans="2:23" x14ac:dyDescent="0.3">
      <c r="B60" t="s">
        <v>8</v>
      </c>
      <c r="E60" s="1">
        <f>'Statements Summary 2023'!V59</f>
        <v>15933</v>
      </c>
      <c r="F60" s="1">
        <f t="shared" si="1"/>
        <v>18010</v>
      </c>
      <c r="G60" s="1">
        <f>'Statements Summary 2025'!V60</f>
        <v>19555</v>
      </c>
      <c r="H60" s="1">
        <f>'Statements Summary 2026'!V60</f>
        <v>15888</v>
      </c>
      <c r="I60" s="1">
        <f>'Statements Summary 2027'!V60</f>
        <v>15844</v>
      </c>
      <c r="K60" s="1">
        <f>'IS 2024'!F69</f>
        <v>17533</v>
      </c>
      <c r="L60" s="1">
        <f>'IS 2024'!G69</f>
        <v>18732</v>
      </c>
      <c r="M60" s="1">
        <f>'IS 2024'!H69</f>
        <v>19814</v>
      </c>
      <c r="N60" s="1">
        <f>'IS 2024'!I69</f>
        <v>20233</v>
      </c>
      <c r="O60" s="1">
        <f>'IS 2024'!J69</f>
        <v>22934</v>
      </c>
      <c r="P60" s="1">
        <f>'IS 2024'!K69</f>
        <v>24207</v>
      </c>
      <c r="Q60" s="1">
        <f>'IS 2024'!L69</f>
        <v>24845</v>
      </c>
      <c r="R60" s="1">
        <f>'IS 2024'!M69</f>
        <v>25109</v>
      </c>
      <c r="S60" s="1">
        <f>'IS 2024'!N69</f>
        <v>21122</v>
      </c>
      <c r="T60" s="1">
        <f>'IS 2024'!O69</f>
        <v>20079</v>
      </c>
      <c r="U60" s="1">
        <f>'IS 2024'!P69</f>
        <v>20163</v>
      </c>
      <c r="V60" s="1">
        <f>'IS 2024'!Q69</f>
        <v>18010</v>
      </c>
    </row>
    <row r="61" spans="2:23" x14ac:dyDescent="0.3">
      <c r="B61" t="s">
        <v>9</v>
      </c>
      <c r="E61" s="1">
        <f>'Statements Summary 2023'!V60</f>
        <v>-9475</v>
      </c>
      <c r="F61" s="1">
        <f t="shared" si="1"/>
        <v>-6175</v>
      </c>
      <c r="G61" s="1">
        <f>'Statements Summary 2025'!V61</f>
        <v>-2875</v>
      </c>
      <c r="H61" s="1">
        <f>'Statements Summary 2026'!V61</f>
        <v>0</v>
      </c>
      <c r="I61" s="1">
        <f>'Statements Summary 2027'!V61</f>
        <v>0</v>
      </c>
      <c r="K61" s="3">
        <f>'IS 2024'!F70</f>
        <v>-9200</v>
      </c>
      <c r="L61" s="3">
        <f>'IS 2024'!G70</f>
        <v>-8925</v>
      </c>
      <c r="M61" s="3">
        <f>'IS 2024'!H70</f>
        <v>-8650</v>
      </c>
      <c r="N61" s="3">
        <f>'IS 2024'!I70</f>
        <v>-8375</v>
      </c>
      <c r="O61" s="3">
        <f>'IS 2024'!J70</f>
        <v>-8100</v>
      </c>
      <c r="P61" s="3">
        <f>'IS 2024'!K70</f>
        <v>-7825</v>
      </c>
      <c r="Q61" s="3">
        <f>'IS 2024'!L70</f>
        <v>-7550</v>
      </c>
      <c r="R61" s="3">
        <f>'IS 2024'!M70</f>
        <v>-7275</v>
      </c>
      <c r="S61" s="3">
        <f>'IS 2024'!N70</f>
        <v>-7000</v>
      </c>
      <c r="T61" s="3">
        <f>'IS 2024'!O70</f>
        <v>-6725</v>
      </c>
      <c r="U61" s="3">
        <f>'IS 2024'!P70</f>
        <v>-6450</v>
      </c>
      <c r="V61" s="3">
        <f>'IS 2024'!Q70</f>
        <v>-6175</v>
      </c>
    </row>
    <row r="62" spans="2:23" x14ac:dyDescent="0.3">
      <c r="B62" t="s">
        <v>10</v>
      </c>
      <c r="E62" s="1">
        <f>'Statements Summary 2023'!V61</f>
        <v>17644</v>
      </c>
      <c r="F62" s="1">
        <f t="shared" si="1"/>
        <v>19860</v>
      </c>
      <c r="G62" s="1">
        <f>'Statements Summary 2025'!V62</f>
        <v>17644</v>
      </c>
      <c r="H62" s="1">
        <f>'Statements Summary 2026'!V62</f>
        <v>17644</v>
      </c>
      <c r="I62" s="1">
        <f>'Statements Summary 2027'!V62</f>
        <v>17644</v>
      </c>
      <c r="K62" s="1">
        <f>'IS 2024'!F71</f>
        <v>18983</v>
      </c>
      <c r="L62" s="1">
        <f>'IS 2024'!G71</f>
        <v>20182</v>
      </c>
      <c r="M62" s="1">
        <f>'IS 2024'!H71</f>
        <v>21264</v>
      </c>
      <c r="N62" s="1">
        <f>'IS 2024'!I71</f>
        <v>21683</v>
      </c>
      <c r="O62" s="1">
        <f>'IS 2024'!J71</f>
        <v>24384</v>
      </c>
      <c r="P62" s="1">
        <f>'IS 2024'!K71</f>
        <v>25657</v>
      </c>
      <c r="Q62" s="1">
        <f>'IS 2024'!L71</f>
        <v>26295</v>
      </c>
      <c r="R62" s="1">
        <f>'IS 2024'!M71</f>
        <v>26559</v>
      </c>
      <c r="S62" s="1">
        <f>'IS 2024'!N71</f>
        <v>22572</v>
      </c>
      <c r="T62" s="1">
        <f>'IS 2024'!O71</f>
        <v>21529</v>
      </c>
      <c r="U62" s="1">
        <f>'IS 2024'!P71</f>
        <v>21613</v>
      </c>
      <c r="V62" s="1">
        <f>'IS 2024'!Q71</f>
        <v>19860</v>
      </c>
    </row>
    <row r="63" spans="2:23" x14ac:dyDescent="0.3">
      <c r="B63" t="s">
        <v>11</v>
      </c>
      <c r="E63" s="1">
        <f>'Statements Summary 2023'!V62</f>
        <v>-3186.6000000000004</v>
      </c>
      <c r="F63" s="1">
        <f t="shared" si="1"/>
        <v>-3602</v>
      </c>
      <c r="G63" s="1">
        <f>'Statements Summary 2025'!V63</f>
        <v>-3910</v>
      </c>
      <c r="H63" s="1">
        <f>'Statements Summary 2026'!V63</f>
        <v>-3177.6000000000004</v>
      </c>
      <c r="I63" s="1">
        <f>'Statements Summary 2027'!V63</f>
        <v>-3168.8</v>
      </c>
      <c r="K63" s="1">
        <f>'IS 2024'!F72</f>
        <v>-3506.6000000000004</v>
      </c>
      <c r="L63" s="1">
        <f>'IS 2024'!G72</f>
        <v>-3746.4</v>
      </c>
      <c r="M63" s="1">
        <f>'IS 2024'!H72</f>
        <v>-3962.8</v>
      </c>
      <c r="N63" s="1">
        <f>'IS 2024'!I72</f>
        <v>-4046.6000000000004</v>
      </c>
      <c r="O63" s="1">
        <f>'IS 2024'!J72</f>
        <v>-4586.8</v>
      </c>
      <c r="P63" s="1">
        <f>'IS 2024'!K72</f>
        <v>-4841.4000000000005</v>
      </c>
      <c r="Q63" s="1">
        <f>'IS 2024'!L72</f>
        <v>-4969</v>
      </c>
      <c r="R63" s="1">
        <f>'IS 2024'!M72</f>
        <v>-5021.8</v>
      </c>
      <c r="S63" s="1">
        <f>'IS 2024'!N72</f>
        <v>-4224.4000000000005</v>
      </c>
      <c r="T63" s="1">
        <f>'IS 2024'!O72</f>
        <v>-4015.8</v>
      </c>
      <c r="U63" s="1">
        <f>'IS 2024'!P72</f>
        <v>-4032.6000000000004</v>
      </c>
      <c r="V63" s="1">
        <f>'IS 2024'!Q72</f>
        <v>-3602</v>
      </c>
    </row>
    <row r="64" spans="2:23" x14ac:dyDescent="0.3">
      <c r="B64" s="14" t="s">
        <v>12</v>
      </c>
      <c r="C64" s="14"/>
      <c r="D64" s="14"/>
      <c r="E64" s="192">
        <f>'Statements Summary 2023'!V63</f>
        <v>14457.4</v>
      </c>
      <c r="F64" s="192">
        <f t="shared" si="1"/>
        <v>16258</v>
      </c>
      <c r="G64" s="192">
        <f>'Statements Summary 2025'!V64</f>
        <v>13734</v>
      </c>
      <c r="H64" s="192">
        <f>'Statements Summary 2026'!V64</f>
        <v>14466.4</v>
      </c>
      <c r="I64" s="192">
        <f>'Statements Summary 2027'!V64</f>
        <v>14475.2</v>
      </c>
      <c r="K64" s="192">
        <f>'IS 2024'!F73</f>
        <v>15476.4</v>
      </c>
      <c r="L64" s="192">
        <f>'IS 2024'!G73</f>
        <v>16435.599999999999</v>
      </c>
      <c r="M64" s="192">
        <f>'IS 2024'!H73</f>
        <v>17301.2</v>
      </c>
      <c r="N64" s="192">
        <f>'IS 2024'!I73</f>
        <v>17636.400000000001</v>
      </c>
      <c r="O64" s="192">
        <f>'IS 2024'!J73</f>
        <v>19797.2</v>
      </c>
      <c r="P64" s="192">
        <f>'IS 2024'!K73</f>
        <v>20815.599999999999</v>
      </c>
      <c r="Q64" s="192">
        <f>'IS 2024'!L73</f>
        <v>21326</v>
      </c>
      <c r="R64" s="192">
        <f>'IS 2024'!M73</f>
        <v>21537.200000000001</v>
      </c>
      <c r="S64" s="192">
        <f>'IS 2024'!N73</f>
        <v>18347.599999999999</v>
      </c>
      <c r="T64" s="192">
        <f>'IS 2024'!O73</f>
        <v>17513.2</v>
      </c>
      <c r="U64" s="192">
        <f>'IS 2024'!P73</f>
        <v>17580.400000000001</v>
      </c>
      <c r="V64" s="192">
        <f>'IS 2024'!Q73</f>
        <v>16258</v>
      </c>
    </row>
    <row r="65" spans="2:22" x14ac:dyDescent="0.3">
      <c r="B65" t="s">
        <v>13</v>
      </c>
      <c r="E65" s="2">
        <f>'Statements Summary 2023'!V64</f>
        <v>0.56101668606907251</v>
      </c>
      <c r="F65" s="2">
        <f t="shared" si="1"/>
        <v>0.58093332380475948</v>
      </c>
      <c r="G65" s="2">
        <f>'Statements Summary 2025'!V65</f>
        <v>0.53294528521536666</v>
      </c>
      <c r="H65" s="2">
        <f>'Statements Summary 2026'!V65</f>
        <v>0.56136592937524254</v>
      </c>
      <c r="I65" s="2">
        <f>'Statements Summary 2027'!V65</f>
        <v>0.56170741171905314</v>
      </c>
      <c r="K65" s="2">
        <f>K64/K45</f>
        <v>0.57089527463204104</v>
      </c>
      <c r="L65" s="2">
        <f t="shared" ref="L65:V65" si="11">L64/L45</f>
        <v>0.58059912392256596</v>
      </c>
      <c r="M65" s="2">
        <f t="shared" si="11"/>
        <v>0.58867642055120795</v>
      </c>
      <c r="N65" s="2">
        <f t="shared" si="11"/>
        <v>0.59164681807507802</v>
      </c>
      <c r="O65" s="2">
        <f t="shared" si="11"/>
        <v>0.60895724392494621</v>
      </c>
      <c r="P65" s="2">
        <f t="shared" si="11"/>
        <v>0.61615605482047175</v>
      </c>
      <c r="Q65" s="2">
        <f t="shared" si="11"/>
        <v>0.61956363847651141</v>
      </c>
      <c r="R65" s="2">
        <f t="shared" si="11"/>
        <v>0.62093700446879052</v>
      </c>
      <c r="S65" s="2">
        <f t="shared" si="11"/>
        <v>0.59768063065997779</v>
      </c>
      <c r="T65" s="2">
        <f t="shared" si="11"/>
        <v>0.59056482886528416</v>
      </c>
      <c r="U65" s="2">
        <f t="shared" si="11"/>
        <v>0.59115639396079223</v>
      </c>
      <c r="V65" s="2">
        <f t="shared" si="11"/>
        <v>0.58093332380475948</v>
      </c>
    </row>
    <row r="67" spans="2:22" x14ac:dyDescent="0.3">
      <c r="B67" s="177" t="s">
        <v>225</v>
      </c>
      <c r="C67" s="151"/>
      <c r="D67" s="151"/>
      <c r="E67" s="151"/>
      <c r="F67" s="151"/>
      <c r="G67" s="151"/>
      <c r="H67" s="151"/>
      <c r="I67" s="151"/>
      <c r="K67" s="349" t="s">
        <v>201</v>
      </c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</row>
    <row r="85" spans="2:22" x14ac:dyDescent="0.3">
      <c r="B85" s="177" t="s">
        <v>226</v>
      </c>
      <c r="C85" s="177"/>
      <c r="D85" s="177"/>
      <c r="E85" s="177"/>
      <c r="F85" s="151"/>
      <c r="G85" s="151"/>
      <c r="H85" s="151"/>
      <c r="I85" s="151"/>
      <c r="J85" s="151"/>
      <c r="K85" s="349" t="s">
        <v>202</v>
      </c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</row>
    <row r="87" spans="2:22" x14ac:dyDescent="0.3">
      <c r="B87" s="190" t="s">
        <v>20</v>
      </c>
      <c r="C87" s="190"/>
      <c r="D87" s="190"/>
      <c r="E87" s="191">
        <v>2023</v>
      </c>
      <c r="F87" s="191">
        <v>2024</v>
      </c>
      <c r="G87" s="191">
        <v>2025</v>
      </c>
      <c r="H87" s="191">
        <v>2026</v>
      </c>
      <c r="I87" s="191">
        <v>2027</v>
      </c>
      <c r="J87" s="190"/>
      <c r="K87" s="191" t="s">
        <v>25</v>
      </c>
      <c r="L87" s="191" t="s">
        <v>26</v>
      </c>
      <c r="M87" s="191" t="s">
        <v>27</v>
      </c>
      <c r="N87" s="191" t="s">
        <v>28</v>
      </c>
      <c r="O87" s="191" t="s">
        <v>29</v>
      </c>
      <c r="P87" s="191" t="s">
        <v>30</v>
      </c>
      <c r="Q87" s="191" t="s">
        <v>31</v>
      </c>
      <c r="R87" s="191" t="s">
        <v>32</v>
      </c>
      <c r="S87" s="191" t="s">
        <v>33</v>
      </c>
      <c r="T87" s="191" t="s">
        <v>34</v>
      </c>
      <c r="U87" s="191" t="s">
        <v>35</v>
      </c>
      <c r="V87" s="191" t="s">
        <v>36</v>
      </c>
    </row>
    <row r="88" spans="2:22" x14ac:dyDescent="0.3">
      <c r="B88" t="s">
        <v>48</v>
      </c>
      <c r="E88" s="203">
        <f>'Statements Summary 2023'!V86</f>
        <v>132558.79999999999</v>
      </c>
      <c r="F88" s="203">
        <f t="shared" ref="F88:F99" si="12">V88</f>
        <v>405541.71787996864</v>
      </c>
      <c r="G88" s="203">
        <f>'Statements Summary 2025'!V88</f>
        <v>711191.8304843161</v>
      </c>
      <c r="H88" s="203">
        <f>'Statements Summary 2026'!V88</f>
        <v>1023265.343088664</v>
      </c>
      <c r="I88" s="203">
        <f>'Statements Summary 2027'!V88</f>
        <v>1399460.2556930115</v>
      </c>
      <c r="K88" s="203">
        <f>'BS 2024'!F14</f>
        <v>141136.19999999998</v>
      </c>
      <c r="L88" s="203">
        <f>'BS 2024'!G14</f>
        <v>162185.73047034763</v>
      </c>
      <c r="M88" s="203">
        <f>'BS 2024'!H14</f>
        <v>183557.84201295819</v>
      </c>
      <c r="N88" s="203">
        <f>'BS 2024'!I14</f>
        <v>204503.05998981075</v>
      </c>
      <c r="O88" s="203">
        <f>'BS 2024'!J14</f>
        <v>226005.09856669989</v>
      </c>
      <c r="P88" s="203">
        <f>'BS 2024'!K14</f>
        <v>248605.52815996777</v>
      </c>
      <c r="Q88" s="203">
        <f>'BS 2024'!L14</f>
        <v>272107.34366111748</v>
      </c>
      <c r="R88" s="203">
        <f>'BS 2024'!M14</f>
        <v>296513.3697192308</v>
      </c>
      <c r="S88" s="203">
        <f>'BS 2024'!N14</f>
        <v>322889.79598497227</v>
      </c>
      <c r="T88" s="203">
        <f>'BS 2024'!O14</f>
        <v>350997.84194739605</v>
      </c>
      <c r="U88" s="203">
        <f>'BS 2024'!P14</f>
        <v>380618.06133791257</v>
      </c>
      <c r="V88" s="203">
        <f>'BS 2024'!Q14</f>
        <v>405541.71787996864</v>
      </c>
    </row>
    <row r="89" spans="2:22" x14ac:dyDescent="0.3">
      <c r="B89" t="s">
        <v>49</v>
      </c>
      <c r="E89" s="203">
        <f>'Statements Summary 2023'!V87</f>
        <v>270532</v>
      </c>
      <c r="F89" s="203">
        <f t="shared" si="12"/>
        <v>288332</v>
      </c>
      <c r="G89" s="203">
        <f>'Statements Summary 2025'!V89</f>
        <v>309481</v>
      </c>
      <c r="H89" s="203">
        <f>'Statements Summary 2026'!V89</f>
        <v>331018</v>
      </c>
      <c r="I89" s="203">
        <f>'Statements Summary 2027'!V89</f>
        <v>352400</v>
      </c>
      <c r="K89" s="203">
        <f>'BS 2024'!F19</f>
        <v>271982</v>
      </c>
      <c r="L89" s="203">
        <f>'BS 2024'!G19</f>
        <v>273432</v>
      </c>
      <c r="M89" s="203">
        <f>'BS 2024'!H19</f>
        <v>274882</v>
      </c>
      <c r="N89" s="203">
        <f>'BS 2024'!I19</f>
        <v>276332</v>
      </c>
      <c r="O89" s="203">
        <f>'BS 2024'!J19</f>
        <v>277782</v>
      </c>
      <c r="P89" s="203">
        <f>'BS 2024'!K19</f>
        <v>279232</v>
      </c>
      <c r="Q89" s="203">
        <f>'BS 2024'!L19</f>
        <v>280682</v>
      </c>
      <c r="R89" s="203">
        <f>'BS 2024'!M19</f>
        <v>282132</v>
      </c>
      <c r="S89" s="203">
        <f>'BS 2024'!N19</f>
        <v>283582</v>
      </c>
      <c r="T89" s="203">
        <f>'BS 2024'!O19</f>
        <v>285032</v>
      </c>
      <c r="U89" s="203">
        <f>'BS 2024'!P19</f>
        <v>286482</v>
      </c>
      <c r="V89" s="203">
        <f>'BS 2024'!Q19</f>
        <v>288332</v>
      </c>
    </row>
    <row r="90" spans="2:22" x14ac:dyDescent="0.3">
      <c r="B90" t="s">
        <v>50</v>
      </c>
      <c r="E90" s="203">
        <f>'Statements Summary 2023'!V88</f>
        <v>403090.8</v>
      </c>
      <c r="F90" s="203">
        <f t="shared" si="12"/>
        <v>693873.7178799687</v>
      </c>
      <c r="G90" s="203">
        <f>'Statements Summary 2025'!V90</f>
        <v>1020672.8304843161</v>
      </c>
      <c r="H90" s="203">
        <f>'Statements Summary 2026'!V90</f>
        <v>1354283.3430886641</v>
      </c>
      <c r="I90" s="203">
        <f>'Statements Summary 2027'!V90</f>
        <v>1751860.2556930115</v>
      </c>
      <c r="K90" s="203">
        <f>'BS 2024'!F20</f>
        <v>413118.19999999995</v>
      </c>
      <c r="L90" s="203">
        <f>'BS 2024'!G20</f>
        <v>435617.73047034763</v>
      </c>
      <c r="M90" s="203">
        <f>'BS 2024'!H20</f>
        <v>458439.84201295819</v>
      </c>
      <c r="N90" s="203">
        <f>'BS 2024'!I20</f>
        <v>480835.05998981075</v>
      </c>
      <c r="O90" s="203">
        <f>'BS 2024'!J20</f>
        <v>503787.09856669989</v>
      </c>
      <c r="P90" s="203">
        <f>'BS 2024'!K20</f>
        <v>527837.52815996774</v>
      </c>
      <c r="Q90" s="203">
        <f>'BS 2024'!L20</f>
        <v>552789.34366111748</v>
      </c>
      <c r="R90" s="203">
        <f>'BS 2024'!M20</f>
        <v>578645.3697192308</v>
      </c>
      <c r="S90" s="203">
        <f>'BS 2024'!N20</f>
        <v>606471.79598497227</v>
      </c>
      <c r="T90" s="203">
        <f>'BS 2024'!O20</f>
        <v>636029.84194739605</v>
      </c>
      <c r="U90" s="203">
        <f>'BS 2024'!P20</f>
        <v>667100.06133791257</v>
      </c>
      <c r="V90" s="203">
        <f>'BS 2024'!Q20</f>
        <v>693873.7178799687</v>
      </c>
    </row>
    <row r="91" spans="2:22" x14ac:dyDescent="0.3">
      <c r="B91" t="s">
        <v>51</v>
      </c>
      <c r="E91" s="203">
        <f>'Statements Summary 2023'!V89</f>
        <v>-3186.6000000000004</v>
      </c>
      <c r="F91" s="203">
        <f t="shared" si="12"/>
        <v>-3602</v>
      </c>
      <c r="G91" s="203">
        <f>'Statements Summary 2025'!V91</f>
        <v>-3910</v>
      </c>
      <c r="H91" s="203">
        <f>'Statements Summary 2026'!V91</f>
        <v>-3177.6000000000004</v>
      </c>
      <c r="I91" s="203">
        <f>'Statements Summary 2027'!V91</f>
        <v>-3168.8</v>
      </c>
      <c r="K91" s="203"/>
      <c r="L91" s="203">
        <f>'BS 2024'!G25</f>
        <v>-3746.4</v>
      </c>
      <c r="M91" s="203">
        <f>'BS 2024'!H25</f>
        <v>-3962.8</v>
      </c>
      <c r="N91" s="203">
        <f>'BS 2024'!I25</f>
        <v>-4046.6000000000004</v>
      </c>
      <c r="O91" s="203">
        <f>'BS 2024'!J25</f>
        <v>-4586.8</v>
      </c>
      <c r="P91" s="203">
        <f>'BS 2024'!K25</f>
        <v>-4841.4000000000005</v>
      </c>
      <c r="Q91" s="203">
        <f>'BS 2024'!L25</f>
        <v>-4969</v>
      </c>
      <c r="R91" s="203">
        <f>'BS 2024'!M25</f>
        <v>-5021.8</v>
      </c>
      <c r="S91" s="203">
        <f>'BS 2024'!N25</f>
        <v>-4224.4000000000005</v>
      </c>
      <c r="T91" s="203">
        <f>'BS 2024'!O25</f>
        <v>-4015.8</v>
      </c>
      <c r="U91" s="203">
        <f>'BS 2024'!P25</f>
        <v>-4032.6000000000004</v>
      </c>
      <c r="V91" s="203">
        <f>'BS 2024'!Q25</f>
        <v>-3602</v>
      </c>
    </row>
    <row r="92" spans="2:22" x14ac:dyDescent="0.3">
      <c r="B92" t="s">
        <v>198</v>
      </c>
      <c r="E92" s="203">
        <f>'Statements Summary 2023'!V90</f>
        <v>-189500</v>
      </c>
      <c r="F92" s="203">
        <f t="shared" si="12"/>
        <v>-123500</v>
      </c>
      <c r="G92" s="203">
        <f>'Statements Summary 2025'!V92</f>
        <v>-57500</v>
      </c>
      <c r="H92" s="203">
        <f>'Statements Summary 2026'!V92</f>
        <v>0</v>
      </c>
      <c r="I92" s="203">
        <f>'Statements Summary 2027'!V92</f>
        <v>0</v>
      </c>
      <c r="K92" s="203">
        <f>'BS 2024'!F27</f>
        <v>-184000</v>
      </c>
      <c r="L92" s="203">
        <f>'BS 2024'!G27</f>
        <v>-178500</v>
      </c>
      <c r="M92" s="203">
        <f>'BS 2024'!H27</f>
        <v>-173000</v>
      </c>
      <c r="N92" s="203">
        <f>'BS 2024'!I27</f>
        <v>-167500</v>
      </c>
      <c r="O92" s="203">
        <f>'BS 2024'!J27</f>
        <v>-162000</v>
      </c>
      <c r="P92" s="203">
        <f>'BS 2024'!K27</f>
        <v>-156500</v>
      </c>
      <c r="Q92" s="203">
        <f>'BS 2024'!L27</f>
        <v>-151000</v>
      </c>
      <c r="R92" s="203">
        <f>'BS 2024'!M27</f>
        <v>-145500</v>
      </c>
      <c r="S92" s="203">
        <f>'BS 2024'!N27</f>
        <v>-140000</v>
      </c>
      <c r="T92" s="203">
        <f>'BS 2024'!O27</f>
        <v>-134500</v>
      </c>
      <c r="U92" s="203">
        <f>'BS 2024'!P27</f>
        <v>-129000</v>
      </c>
      <c r="V92" s="203">
        <f>'BS 2024'!Q27</f>
        <v>-123500</v>
      </c>
    </row>
    <row r="93" spans="2:22" x14ac:dyDescent="0.3">
      <c r="B93" t="s">
        <v>53</v>
      </c>
      <c r="E93" s="203">
        <f>'Statements Summary 2023'!V91</f>
        <v>-192686.6</v>
      </c>
      <c r="F93" s="203">
        <f t="shared" si="12"/>
        <v>-127102</v>
      </c>
      <c r="G93" s="203">
        <f>'Statements Summary 2025'!V93</f>
        <v>-61410</v>
      </c>
      <c r="H93" s="203">
        <f>'Statements Summary 2026'!V93</f>
        <v>-3177.6000000000004</v>
      </c>
      <c r="I93" s="203">
        <f>'Statements Summary 2027'!V93</f>
        <v>-3168.8</v>
      </c>
      <c r="K93" s="203">
        <f>'BS 2024'!F32</f>
        <v>-187506.6</v>
      </c>
      <c r="L93" s="203">
        <f>'BS 2024'!G32</f>
        <v>-182246.39999999999</v>
      </c>
      <c r="M93" s="203">
        <f>'BS 2024'!H32</f>
        <v>-176962.8</v>
      </c>
      <c r="N93" s="203">
        <f>'BS 2024'!I32</f>
        <v>-171546.6</v>
      </c>
      <c r="O93" s="203">
        <f>'BS 2024'!J32</f>
        <v>-166586.79999999999</v>
      </c>
      <c r="P93" s="203">
        <f>'BS 2024'!K32</f>
        <v>-161341.4</v>
      </c>
      <c r="Q93" s="203">
        <f>'BS 2024'!L32</f>
        <v>-155969</v>
      </c>
      <c r="R93" s="203">
        <f>'BS 2024'!M32</f>
        <v>-150521.79999999999</v>
      </c>
      <c r="S93" s="203">
        <f>'BS 2024'!N32</f>
        <v>-144224.4</v>
      </c>
      <c r="T93" s="203">
        <f>'BS 2024'!O32</f>
        <v>-138515.79999999999</v>
      </c>
      <c r="U93" s="203">
        <f>'BS 2024'!P32</f>
        <v>-133032.6</v>
      </c>
      <c r="V93" s="203">
        <f>'BS 2024'!Q32</f>
        <v>-127102</v>
      </c>
    </row>
    <row r="94" spans="2:22" x14ac:dyDescent="0.3">
      <c r="B94" t="s">
        <v>54</v>
      </c>
      <c r="E94" s="203">
        <f>'Statements Summary 2023'!V92</f>
        <v>210404.19999999998</v>
      </c>
      <c r="F94" s="203">
        <f t="shared" si="12"/>
        <v>566771.7178799687</v>
      </c>
      <c r="G94" s="203">
        <f>'Statements Summary 2025'!V94</f>
        <v>901762.8304843161</v>
      </c>
      <c r="H94" s="203">
        <f>'Statements Summary 2026'!V94</f>
        <v>1351105.743088664</v>
      </c>
      <c r="I94" s="203">
        <f>'Statements Summary 2027'!V94</f>
        <v>1748691.4556930114</v>
      </c>
      <c r="K94" s="203">
        <f>'BS 2024'!F33</f>
        <v>225611.59999999995</v>
      </c>
      <c r="L94" s="203">
        <f>'BS 2024'!G33</f>
        <v>253371.33047034763</v>
      </c>
      <c r="M94" s="203">
        <f>'BS 2024'!H33</f>
        <v>281477.04201295821</v>
      </c>
      <c r="N94" s="203">
        <f>'BS 2024'!I33</f>
        <v>309288.45998981071</v>
      </c>
      <c r="O94" s="203">
        <f>'BS 2024'!J33</f>
        <v>337200.2985666999</v>
      </c>
      <c r="P94" s="203">
        <f>'BS 2024'!K33</f>
        <v>366496.12815996772</v>
      </c>
      <c r="Q94" s="203">
        <f>'BS 2024'!L33</f>
        <v>396820.34366111748</v>
      </c>
      <c r="R94" s="203">
        <f>'BS 2024'!M33</f>
        <v>428123.56971923081</v>
      </c>
      <c r="S94" s="203">
        <f>'BS 2024'!N33</f>
        <v>462247.39598497225</v>
      </c>
      <c r="T94" s="203">
        <f>'BS 2024'!O33</f>
        <v>497514.04194739606</v>
      </c>
      <c r="U94" s="203">
        <f>'BS 2024'!P33</f>
        <v>534067.46133791259</v>
      </c>
      <c r="V94" s="203">
        <f>'BS 2024'!Q33</f>
        <v>566771.7178799687</v>
      </c>
    </row>
    <row r="95" spans="2:22" x14ac:dyDescent="0.3">
      <c r="B95" t="s">
        <v>55</v>
      </c>
      <c r="E95" s="203">
        <f>'Statements Summary 2023'!V93</f>
        <v>132558.79999999999</v>
      </c>
      <c r="F95" s="203">
        <f t="shared" si="12"/>
        <v>405541.71787996864</v>
      </c>
      <c r="G95" s="203">
        <f>'Statements Summary 2025'!V95</f>
        <v>711191.8304843161</v>
      </c>
      <c r="H95" s="203">
        <f>'Statements Summary 2026'!V95</f>
        <v>1023265.343088664</v>
      </c>
      <c r="I95" s="203">
        <f>'Statements Summary 2027'!V95</f>
        <v>1399460.2556930115</v>
      </c>
      <c r="K95" s="203">
        <f>'BS 2024'!F14</f>
        <v>141136.19999999998</v>
      </c>
      <c r="L95" s="203">
        <f>'BS 2024'!G14</f>
        <v>162185.73047034763</v>
      </c>
      <c r="M95" s="203">
        <f>'BS 2024'!H14</f>
        <v>183557.84201295819</v>
      </c>
      <c r="N95" s="203">
        <f>'BS 2024'!I14</f>
        <v>204503.05998981075</v>
      </c>
      <c r="O95" s="203">
        <f>'BS 2024'!J14</f>
        <v>226005.09856669989</v>
      </c>
      <c r="P95" s="203">
        <f>'BS 2024'!K14</f>
        <v>248605.52815996777</v>
      </c>
      <c r="Q95" s="203">
        <f>'BS 2024'!L14</f>
        <v>272107.34366111748</v>
      </c>
      <c r="R95" s="203">
        <f>'BS 2024'!M14</f>
        <v>296513.3697192308</v>
      </c>
      <c r="S95" s="203">
        <f>'BS 2024'!N14</f>
        <v>322889.79598497227</v>
      </c>
      <c r="T95" s="203">
        <f>'BS 2024'!O14</f>
        <v>350997.84194739605</v>
      </c>
      <c r="U95" s="203">
        <f>'BS 2024'!P14</f>
        <v>380618.06133791257</v>
      </c>
      <c r="V95" s="203">
        <f>'BS 2024'!Q14</f>
        <v>405541.71787996864</v>
      </c>
    </row>
    <row r="96" spans="2:22" x14ac:dyDescent="0.3">
      <c r="B96" t="s">
        <v>56</v>
      </c>
      <c r="E96" s="203" t="str">
        <f>'Statements Summary 2023'!V94</f>
        <v>-</v>
      </c>
      <c r="F96" s="203" t="str">
        <f t="shared" si="12"/>
        <v>-</v>
      </c>
      <c r="G96" s="203" t="str">
        <f>'Statements Summary 2025'!V96</f>
        <v>-</v>
      </c>
      <c r="H96" s="203" t="str">
        <f>'Statements Summary 2026'!V96</f>
        <v>-</v>
      </c>
      <c r="I96" s="203" t="str">
        <f>'Statements Summary 2027'!V96</f>
        <v>-</v>
      </c>
      <c r="K96" s="203" t="s">
        <v>192</v>
      </c>
      <c r="L96" s="203" t="s">
        <v>192</v>
      </c>
      <c r="M96" s="203" t="s">
        <v>192</v>
      </c>
      <c r="N96" s="203" t="s">
        <v>192</v>
      </c>
      <c r="O96" s="203" t="s">
        <v>192</v>
      </c>
      <c r="P96" s="203" t="s">
        <v>192</v>
      </c>
      <c r="Q96" s="203" t="s">
        <v>192</v>
      </c>
      <c r="R96" s="203" t="s">
        <v>192</v>
      </c>
      <c r="S96" s="203" t="s">
        <v>192</v>
      </c>
      <c r="T96" s="203" t="s">
        <v>192</v>
      </c>
      <c r="U96" s="203" t="s">
        <v>192</v>
      </c>
      <c r="V96" s="203" t="s">
        <v>192</v>
      </c>
    </row>
    <row r="97" spans="2:22" x14ac:dyDescent="0.3">
      <c r="B97" t="s">
        <v>57</v>
      </c>
      <c r="E97" s="203">
        <f>'Statements Summary 2023'!V95</f>
        <v>0</v>
      </c>
      <c r="F97" s="203">
        <f t="shared" si="12"/>
        <v>0</v>
      </c>
      <c r="G97" s="203">
        <f>'Statements Summary 2025'!V97</f>
        <v>0</v>
      </c>
      <c r="H97" s="203">
        <f>'Statements Summary 2026'!V97</f>
        <v>0</v>
      </c>
      <c r="I97" s="203">
        <f>'Statements Summary 2027'!V97</f>
        <v>0</v>
      </c>
      <c r="K97" s="203" t="s">
        <v>192</v>
      </c>
      <c r="L97" s="203" t="s">
        <v>192</v>
      </c>
      <c r="M97" s="203" t="s">
        <v>192</v>
      </c>
      <c r="N97" s="203" t="s">
        <v>192</v>
      </c>
      <c r="O97" s="203" t="s">
        <v>192</v>
      </c>
      <c r="P97" s="203" t="s">
        <v>192</v>
      </c>
      <c r="Q97" s="203" t="s">
        <v>192</v>
      </c>
      <c r="R97" s="203" t="s">
        <v>192</v>
      </c>
      <c r="S97" s="203" t="s">
        <v>192</v>
      </c>
      <c r="T97" s="203" t="s">
        <v>192</v>
      </c>
      <c r="U97" s="203" t="s">
        <v>192</v>
      </c>
      <c r="V97" s="203"/>
    </row>
    <row r="98" spans="2:22" x14ac:dyDescent="0.3">
      <c r="B98" t="s">
        <v>58</v>
      </c>
      <c r="E98" s="203">
        <f>'Statements Summary 2023'!V96</f>
        <v>210404.19999999998</v>
      </c>
      <c r="F98" s="203">
        <f t="shared" si="12"/>
        <v>566771.7178799687</v>
      </c>
      <c r="G98" s="203">
        <f>'Statements Summary 2025'!V98</f>
        <v>901762.8304843161</v>
      </c>
      <c r="H98" s="203">
        <f>'Statements Summary 2026'!V98</f>
        <v>1351105.743088664</v>
      </c>
      <c r="I98" s="203">
        <f>'Statements Summary 2027'!V98</f>
        <v>1748691.4556930114</v>
      </c>
      <c r="K98" s="203">
        <f>K94</f>
        <v>225611.59999999995</v>
      </c>
      <c r="L98" s="203">
        <f t="shared" ref="L98:V98" si="13">L94</f>
        <v>253371.33047034763</v>
      </c>
      <c r="M98" s="203">
        <f t="shared" si="13"/>
        <v>281477.04201295821</v>
      </c>
      <c r="N98" s="203">
        <f t="shared" si="13"/>
        <v>309288.45998981071</v>
      </c>
      <c r="O98" s="203">
        <f t="shared" si="13"/>
        <v>337200.2985666999</v>
      </c>
      <c r="P98" s="203">
        <f t="shared" si="13"/>
        <v>366496.12815996772</v>
      </c>
      <c r="Q98" s="203">
        <f t="shared" si="13"/>
        <v>396820.34366111748</v>
      </c>
      <c r="R98" s="203">
        <f t="shared" si="13"/>
        <v>428123.56971923081</v>
      </c>
      <c r="S98" s="203">
        <f t="shared" si="13"/>
        <v>462247.39598497225</v>
      </c>
      <c r="T98" s="203">
        <f t="shared" si="13"/>
        <v>497514.04194739606</v>
      </c>
      <c r="U98" s="203">
        <f t="shared" si="13"/>
        <v>534067.46133791259</v>
      </c>
      <c r="V98" s="203">
        <f t="shared" si="13"/>
        <v>566771.7178799687</v>
      </c>
    </row>
    <row r="99" spans="2:22" x14ac:dyDescent="0.3">
      <c r="B99" t="s">
        <v>59</v>
      </c>
      <c r="E99" s="203">
        <f>'Statements Summary 2023'!V97</f>
        <v>210404.19999999998</v>
      </c>
      <c r="F99" s="203">
        <f t="shared" si="12"/>
        <v>566771.7178799687</v>
      </c>
      <c r="G99" s="203">
        <f>'Statements Summary 2025'!V99</f>
        <v>901762.8304843161</v>
      </c>
      <c r="H99" s="203">
        <f>'Statements Summary 2026'!V99</f>
        <v>1351105.743088664</v>
      </c>
      <c r="I99" s="203">
        <f>'Statements Summary 2027'!V99</f>
        <v>1748691.4556930114</v>
      </c>
      <c r="K99" s="203">
        <f>K98</f>
        <v>225611.59999999995</v>
      </c>
      <c r="L99" s="203">
        <f t="shared" ref="L99:V99" si="14">L98</f>
        <v>253371.33047034763</v>
      </c>
      <c r="M99" s="203">
        <f t="shared" si="14"/>
        <v>281477.04201295821</v>
      </c>
      <c r="N99" s="203">
        <f t="shared" si="14"/>
        <v>309288.45998981071</v>
      </c>
      <c r="O99" s="203">
        <f t="shared" si="14"/>
        <v>337200.2985666999</v>
      </c>
      <c r="P99" s="203">
        <f t="shared" si="14"/>
        <v>366496.12815996772</v>
      </c>
      <c r="Q99" s="203">
        <f t="shared" si="14"/>
        <v>396820.34366111748</v>
      </c>
      <c r="R99" s="203">
        <f t="shared" si="14"/>
        <v>428123.56971923081</v>
      </c>
      <c r="S99" s="203">
        <f t="shared" si="14"/>
        <v>462247.39598497225</v>
      </c>
      <c r="T99" s="203">
        <f t="shared" si="14"/>
        <v>497514.04194739606</v>
      </c>
      <c r="U99" s="203">
        <f t="shared" si="14"/>
        <v>534067.46133791259</v>
      </c>
      <c r="V99" s="203">
        <f t="shared" si="14"/>
        <v>566771.7178799687</v>
      </c>
    </row>
    <row r="101" spans="2:22" x14ac:dyDescent="0.3">
      <c r="B101" s="177" t="s">
        <v>226</v>
      </c>
      <c r="C101" s="151"/>
      <c r="D101" s="151"/>
      <c r="E101" s="151"/>
      <c r="F101" s="151"/>
      <c r="G101" s="151"/>
      <c r="H101" s="151"/>
      <c r="I101" s="151"/>
      <c r="K101" s="349" t="s">
        <v>202</v>
      </c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</row>
  </sheetData>
  <mergeCells count="6">
    <mergeCell ref="K101:V101"/>
    <mergeCell ref="K19:V19"/>
    <mergeCell ref="K2:V2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90"/>
  <sheetViews>
    <sheetView showGridLines="0" topLeftCell="A29" workbookViewId="0">
      <selection activeCell="F46" sqref="F46:T46"/>
    </sheetView>
  </sheetViews>
  <sheetFormatPr defaultRowHeight="14.4" x14ac:dyDescent="0.3"/>
  <cols>
    <col min="1" max="1" width="5" customWidth="1"/>
    <col min="2" max="2" width="3.88671875" customWidth="1"/>
    <col min="5" max="5" width="13.6640625" customWidth="1"/>
    <col min="6" max="6" width="10.21875" style="127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7" t="s">
        <v>140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7"/>
      <c r="B5" s="150" t="s">
        <v>172</v>
      </c>
      <c r="C5" s="147"/>
      <c r="D5" s="147"/>
      <c r="E5" s="147"/>
      <c r="F5" s="200">
        <v>2025</v>
      </c>
      <c r="G5" s="200">
        <v>2025</v>
      </c>
      <c r="H5" s="200">
        <v>2025</v>
      </c>
      <c r="I5" s="200">
        <v>2025</v>
      </c>
      <c r="J5" s="200">
        <v>2025</v>
      </c>
      <c r="K5" s="200">
        <v>2025</v>
      </c>
      <c r="L5" s="200">
        <v>2025</v>
      </c>
      <c r="M5" s="200">
        <v>2025</v>
      </c>
      <c r="N5" s="200">
        <v>2025</v>
      </c>
      <c r="O5" s="200">
        <v>2025</v>
      </c>
      <c r="P5" s="200">
        <v>2025</v>
      </c>
      <c r="Q5" s="200">
        <v>2025</v>
      </c>
      <c r="R5" s="200">
        <v>2026</v>
      </c>
      <c r="S5" s="200">
        <v>2026</v>
      </c>
      <c r="T5" s="200">
        <v>2026</v>
      </c>
      <c r="U5" s="177" t="s">
        <v>72</v>
      </c>
    </row>
    <row r="6" spans="1:42" ht="15" thickBot="1" x14ac:dyDescent="0.35">
      <c r="A6" s="149"/>
      <c r="B6" s="156" t="s">
        <v>64</v>
      </c>
      <c r="C6" s="149"/>
      <c r="D6" s="149"/>
      <c r="E6" s="149"/>
      <c r="F6" s="199" t="s">
        <v>25</v>
      </c>
      <c r="G6" s="199" t="s">
        <v>26</v>
      </c>
      <c r="H6" s="199" t="s">
        <v>27</v>
      </c>
      <c r="I6" s="199" t="s">
        <v>28</v>
      </c>
      <c r="J6" s="199" t="s">
        <v>29</v>
      </c>
      <c r="K6" s="199" t="s">
        <v>30</v>
      </c>
      <c r="L6" s="199" t="s">
        <v>31</v>
      </c>
      <c r="M6" s="199" t="s">
        <v>32</v>
      </c>
      <c r="N6" s="199" t="s">
        <v>33</v>
      </c>
      <c r="O6" s="199" t="s">
        <v>34</v>
      </c>
      <c r="P6" s="199" t="s">
        <v>35</v>
      </c>
      <c r="Q6" s="199" t="s">
        <v>36</v>
      </c>
      <c r="R6" s="199" t="s">
        <v>25</v>
      </c>
      <c r="S6" s="199" t="s">
        <v>26</v>
      </c>
      <c r="T6" s="199" t="s">
        <v>27</v>
      </c>
      <c r="U6" s="162"/>
    </row>
    <row r="7" spans="1:42" s="12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30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9" t="s">
        <v>141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39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0.199999999999999" customHeight="1" x14ac:dyDescent="0.3">
      <c r="A10" s="9"/>
      <c r="B10" s="9"/>
      <c r="C10" s="139" t="s">
        <v>281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x14ac:dyDescent="0.3">
      <c r="A11" s="9"/>
      <c r="B11" s="9"/>
      <c r="C11" s="140" t="s">
        <v>273</v>
      </c>
      <c r="D11" s="9"/>
      <c r="E11" s="9"/>
      <c r="F11" s="328">
        <v>5086</v>
      </c>
      <c r="G11" s="328">
        <v>5191</v>
      </c>
      <c r="H11" s="328">
        <v>5322</v>
      </c>
      <c r="I11" s="328">
        <v>5442</v>
      </c>
      <c r="J11" s="328">
        <v>5704</v>
      </c>
      <c r="K11" s="328">
        <v>5915</v>
      </c>
      <c r="L11" s="328">
        <v>6029</v>
      </c>
      <c r="M11" s="328">
        <v>6226</v>
      </c>
      <c r="N11" s="328">
        <v>6430</v>
      </c>
      <c r="O11" s="328">
        <v>6799</v>
      </c>
      <c r="P11" s="328">
        <v>6964</v>
      </c>
      <c r="Q11" s="328">
        <v>5058</v>
      </c>
      <c r="R11" s="328">
        <f>'IS 2026'!F11</f>
        <v>5086</v>
      </c>
      <c r="S11" s="328">
        <f>'IS 2026'!G11</f>
        <v>5191</v>
      </c>
      <c r="T11" s="328">
        <f>'IS 2026'!H11</f>
        <v>5322</v>
      </c>
      <c r="U11" s="9"/>
    </row>
    <row r="12" spans="1:42" x14ac:dyDescent="0.3">
      <c r="A12" s="9"/>
      <c r="B12" s="9"/>
      <c r="C12" s="140" t="s">
        <v>274</v>
      </c>
      <c r="D12" s="9"/>
      <c r="E12" s="9"/>
      <c r="F12" s="328">
        <v>6357</v>
      </c>
      <c r="G12" s="328">
        <v>6357</v>
      </c>
      <c r="H12" s="328">
        <v>6489</v>
      </c>
      <c r="I12" s="328">
        <v>6653</v>
      </c>
      <c r="J12" s="328">
        <v>6802</v>
      </c>
      <c r="K12" s="328">
        <v>7130</v>
      </c>
      <c r="L12" s="328">
        <v>7393</v>
      </c>
      <c r="M12" s="328">
        <v>7537</v>
      </c>
      <c r="N12" s="328">
        <v>7782</v>
      </c>
      <c r="O12" s="328">
        <v>8037</v>
      </c>
      <c r="P12" s="328">
        <v>8499</v>
      </c>
      <c r="Q12" s="328">
        <v>7704</v>
      </c>
      <c r="R12" s="328">
        <f>'IS 2026'!F12</f>
        <v>6357</v>
      </c>
      <c r="S12" s="328">
        <f>'IS 2026'!G12</f>
        <v>6357</v>
      </c>
      <c r="T12" s="328">
        <f>'IS 2026'!H12</f>
        <v>6489</v>
      </c>
      <c r="U12" s="9"/>
    </row>
    <row r="13" spans="1:42" x14ac:dyDescent="0.3">
      <c r="A13" s="9"/>
      <c r="B13" s="9"/>
      <c r="C13" s="140" t="s">
        <v>276</v>
      </c>
      <c r="D13" s="9"/>
      <c r="E13" s="9"/>
      <c r="F13" s="328">
        <f>SUM(F11:F12)</f>
        <v>11443</v>
      </c>
      <c r="G13" s="328">
        <f t="shared" ref="G13:P13" si="0">SUM(G11:G12)</f>
        <v>11548</v>
      </c>
      <c r="H13" s="328">
        <f t="shared" si="0"/>
        <v>11811</v>
      </c>
      <c r="I13" s="328">
        <f t="shared" si="0"/>
        <v>12095</v>
      </c>
      <c r="J13" s="328">
        <f t="shared" si="0"/>
        <v>12506</v>
      </c>
      <c r="K13" s="328">
        <f t="shared" si="0"/>
        <v>13045</v>
      </c>
      <c r="L13" s="328">
        <f t="shared" si="0"/>
        <v>13422</v>
      </c>
      <c r="M13" s="328">
        <f t="shared" si="0"/>
        <v>13763</v>
      </c>
      <c r="N13" s="328">
        <f t="shared" si="0"/>
        <v>14212</v>
      </c>
      <c r="O13" s="328">
        <f t="shared" si="0"/>
        <v>14836</v>
      </c>
      <c r="P13" s="328">
        <f t="shared" si="0"/>
        <v>15463</v>
      </c>
      <c r="Q13" s="328">
        <f>SUM(Q11:Q12)</f>
        <v>12762</v>
      </c>
      <c r="R13" s="328">
        <f t="shared" ref="R13:T13" si="1">SUM(R11:R12)</f>
        <v>11443</v>
      </c>
      <c r="S13" s="328">
        <f t="shared" si="1"/>
        <v>11548</v>
      </c>
      <c r="T13" s="328">
        <f t="shared" si="1"/>
        <v>11811</v>
      </c>
      <c r="U13" s="9"/>
    </row>
    <row r="14" spans="1:42" x14ac:dyDescent="0.3">
      <c r="A14" s="9"/>
      <c r="B14" s="9"/>
      <c r="C14" s="140" t="s">
        <v>277</v>
      </c>
      <c r="D14" s="9"/>
      <c r="E14" s="9"/>
      <c r="F14" s="330">
        <v>15000</v>
      </c>
      <c r="G14" s="330">
        <v>15000</v>
      </c>
      <c r="H14" s="330">
        <v>15000</v>
      </c>
      <c r="I14" s="330">
        <v>15000</v>
      </c>
      <c r="J14" s="330">
        <v>15000</v>
      </c>
      <c r="K14" s="330">
        <v>15000</v>
      </c>
      <c r="L14" s="330">
        <v>15000</v>
      </c>
      <c r="M14" s="330">
        <v>15000</v>
      </c>
      <c r="N14" s="330">
        <v>15000</v>
      </c>
      <c r="O14" s="330">
        <v>15000</v>
      </c>
      <c r="P14" s="330">
        <v>15000</v>
      </c>
      <c r="Q14" s="330">
        <v>15000</v>
      </c>
      <c r="R14" s="330">
        <v>15001</v>
      </c>
      <c r="S14" s="330">
        <v>15002</v>
      </c>
      <c r="T14" s="330">
        <v>15003</v>
      </c>
      <c r="U14" s="9"/>
    </row>
    <row r="15" spans="1:42" x14ac:dyDescent="0.3">
      <c r="A15" s="9"/>
      <c r="B15" s="9"/>
      <c r="C15" s="140" t="s">
        <v>275</v>
      </c>
      <c r="D15" s="9"/>
      <c r="E15" s="9"/>
      <c r="F15" s="329">
        <f>F13/F$14</f>
        <v>0.76286666666666669</v>
      </c>
      <c r="G15" s="329">
        <f t="shared" ref="G15:T15" si="2">G13/G$14</f>
        <v>0.7698666666666667</v>
      </c>
      <c r="H15" s="329">
        <f t="shared" si="2"/>
        <v>0.78739999999999999</v>
      </c>
      <c r="I15" s="329">
        <f t="shared" si="2"/>
        <v>0.80633333333333335</v>
      </c>
      <c r="J15" s="329">
        <f t="shared" si="2"/>
        <v>0.83373333333333333</v>
      </c>
      <c r="K15" s="329">
        <f t="shared" si="2"/>
        <v>0.8696666666666667</v>
      </c>
      <c r="L15" s="329">
        <f t="shared" si="2"/>
        <v>0.89480000000000004</v>
      </c>
      <c r="M15" s="329">
        <f t="shared" si="2"/>
        <v>0.91753333333333331</v>
      </c>
      <c r="N15" s="329">
        <f t="shared" si="2"/>
        <v>0.94746666666666668</v>
      </c>
      <c r="O15" s="329">
        <f t="shared" si="2"/>
        <v>0.98906666666666665</v>
      </c>
      <c r="P15" s="329">
        <f t="shared" si="2"/>
        <v>1.0308666666666666</v>
      </c>
      <c r="Q15" s="329">
        <f t="shared" si="2"/>
        <v>0.8508</v>
      </c>
      <c r="R15" s="329">
        <f t="shared" si="2"/>
        <v>0.76281581227918138</v>
      </c>
      <c r="S15" s="329">
        <f t="shared" si="2"/>
        <v>0.76976403146247163</v>
      </c>
      <c r="T15" s="329">
        <f t="shared" si="2"/>
        <v>0.78724255148970201</v>
      </c>
      <c r="U15" s="9"/>
    </row>
    <row r="16" spans="1:42" x14ac:dyDescent="0.3">
      <c r="A16" s="9"/>
      <c r="B16" s="9"/>
      <c r="C16" s="140"/>
      <c r="D16" s="9"/>
      <c r="E16" s="9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9"/>
    </row>
    <row r="17" spans="1:21" x14ac:dyDescent="0.3">
      <c r="A17" s="9"/>
      <c r="B17" s="9"/>
      <c r="C17" s="139" t="s">
        <v>280</v>
      </c>
      <c r="D17" s="9"/>
      <c r="E17" s="9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9"/>
    </row>
    <row r="18" spans="1:21" x14ac:dyDescent="0.3">
      <c r="A18" s="9"/>
      <c r="B18" s="9"/>
      <c r="C18" s="140" t="s">
        <v>278</v>
      </c>
      <c r="D18" s="9"/>
      <c r="E18" s="9"/>
      <c r="F18" s="328">
        <v>7393</v>
      </c>
      <c r="G18" s="328">
        <v>7537</v>
      </c>
      <c r="H18" s="328">
        <v>7782</v>
      </c>
      <c r="I18" s="328">
        <v>8037</v>
      </c>
      <c r="J18" s="328">
        <v>8499</v>
      </c>
      <c r="K18" s="328">
        <v>8704</v>
      </c>
      <c r="L18" s="328">
        <v>8877</v>
      </c>
      <c r="M18" s="328">
        <v>8800</v>
      </c>
      <c r="N18" s="328">
        <v>7782</v>
      </c>
      <c r="O18" s="328">
        <v>6037</v>
      </c>
      <c r="P18" s="328">
        <v>5499</v>
      </c>
      <c r="Q18" s="328">
        <v>5704</v>
      </c>
      <c r="R18" s="328">
        <f>'IS 2026'!F18</f>
        <v>7393</v>
      </c>
      <c r="S18" s="328">
        <f>'IS 2026'!G18</f>
        <v>7537</v>
      </c>
      <c r="T18" s="328">
        <f>'IS 2026'!H18</f>
        <v>7782</v>
      </c>
      <c r="U18" s="9"/>
    </row>
    <row r="19" spans="1:21" x14ac:dyDescent="0.3">
      <c r="A19" s="9"/>
      <c r="B19" s="9"/>
      <c r="C19" s="140" t="s">
        <v>279</v>
      </c>
      <c r="D19" s="9"/>
      <c r="E19" s="9"/>
      <c r="F19" s="328">
        <v>8037</v>
      </c>
      <c r="G19" s="328">
        <v>8499</v>
      </c>
      <c r="H19" s="328">
        <v>9204</v>
      </c>
      <c r="I19" s="328">
        <v>9204</v>
      </c>
      <c r="J19" s="328">
        <v>11294</v>
      </c>
      <c r="K19" s="328">
        <v>12034</v>
      </c>
      <c r="L19" s="328">
        <v>12122</v>
      </c>
      <c r="M19" s="328">
        <v>12122</v>
      </c>
      <c r="N19" s="328">
        <v>8704</v>
      </c>
      <c r="O19" s="328">
        <v>7037</v>
      </c>
      <c r="P19" s="328">
        <v>7499</v>
      </c>
      <c r="Q19" s="328">
        <v>7304</v>
      </c>
      <c r="R19" s="328">
        <f>'IS 2026'!F19</f>
        <v>8037</v>
      </c>
      <c r="S19" s="328">
        <f>'IS 2026'!G19</f>
        <v>8499</v>
      </c>
      <c r="T19" s="328">
        <f>'IS 2026'!H19</f>
        <v>9204</v>
      </c>
      <c r="U19" s="9"/>
    </row>
    <row r="20" spans="1:21" x14ac:dyDescent="0.3">
      <c r="A20" s="9"/>
      <c r="B20" s="9"/>
      <c r="C20" s="140" t="s">
        <v>276</v>
      </c>
      <c r="D20" s="9"/>
      <c r="E20" s="9"/>
      <c r="F20" s="328">
        <f>SUM(F18:F19)</f>
        <v>15430</v>
      </c>
      <c r="G20" s="328">
        <f t="shared" ref="G20:T20" si="3">SUM(G18:G19)</f>
        <v>16036</v>
      </c>
      <c r="H20" s="328">
        <f t="shared" si="3"/>
        <v>16986</v>
      </c>
      <c r="I20" s="328">
        <f t="shared" si="3"/>
        <v>17241</v>
      </c>
      <c r="J20" s="328">
        <f t="shared" si="3"/>
        <v>19793</v>
      </c>
      <c r="K20" s="328">
        <f t="shared" si="3"/>
        <v>20738</v>
      </c>
      <c r="L20" s="328">
        <f t="shared" si="3"/>
        <v>20999</v>
      </c>
      <c r="M20" s="328">
        <f t="shared" si="3"/>
        <v>20922</v>
      </c>
      <c r="N20" s="328">
        <f t="shared" si="3"/>
        <v>16486</v>
      </c>
      <c r="O20" s="328">
        <f t="shared" si="3"/>
        <v>13074</v>
      </c>
      <c r="P20" s="328">
        <f t="shared" si="3"/>
        <v>12998</v>
      </c>
      <c r="Q20" s="328">
        <f t="shared" si="3"/>
        <v>13008</v>
      </c>
      <c r="R20" s="328">
        <f t="shared" si="3"/>
        <v>15430</v>
      </c>
      <c r="S20" s="328">
        <f t="shared" si="3"/>
        <v>16036</v>
      </c>
      <c r="T20" s="328">
        <f t="shared" si="3"/>
        <v>16986</v>
      </c>
      <c r="U20" s="9"/>
    </row>
    <row r="21" spans="1:21" x14ac:dyDescent="0.3">
      <c r="A21" s="9"/>
      <c r="B21" s="9"/>
      <c r="C21" s="140" t="s">
        <v>277</v>
      </c>
      <c r="D21" s="9"/>
      <c r="E21" s="9"/>
      <c r="F21" s="327">
        <v>21000</v>
      </c>
      <c r="G21" s="327">
        <v>21000</v>
      </c>
      <c r="H21" s="327">
        <v>21000</v>
      </c>
      <c r="I21" s="327">
        <v>21000</v>
      </c>
      <c r="J21" s="327">
        <v>21000</v>
      </c>
      <c r="K21" s="327">
        <v>21000</v>
      </c>
      <c r="L21" s="327">
        <v>21000</v>
      </c>
      <c r="M21" s="327">
        <v>21000</v>
      </c>
      <c r="N21" s="327">
        <v>21000</v>
      </c>
      <c r="O21" s="327">
        <v>21000</v>
      </c>
      <c r="P21" s="327">
        <v>21000</v>
      </c>
      <c r="Q21" s="327">
        <v>21000</v>
      </c>
      <c r="R21" s="327">
        <v>21001</v>
      </c>
      <c r="S21" s="327">
        <v>21002</v>
      </c>
      <c r="T21" s="327">
        <v>21003</v>
      </c>
      <c r="U21" s="9"/>
    </row>
    <row r="22" spans="1:21" x14ac:dyDescent="0.3">
      <c r="A22" s="9"/>
      <c r="B22" s="9"/>
      <c r="C22" s="140" t="s">
        <v>275</v>
      </c>
      <c r="D22" s="9"/>
      <c r="E22" s="9"/>
      <c r="F22" s="329">
        <f>F20/F$21</f>
        <v>0.73476190476190473</v>
      </c>
      <c r="G22" s="329">
        <f t="shared" ref="G22:T22" si="4">G20/G$21</f>
        <v>0.76361904761904764</v>
      </c>
      <c r="H22" s="329">
        <f t="shared" si="4"/>
        <v>0.80885714285714283</v>
      </c>
      <c r="I22" s="329">
        <f t="shared" si="4"/>
        <v>0.82099999999999995</v>
      </c>
      <c r="J22" s="329">
        <f t="shared" si="4"/>
        <v>0.94252380952380954</v>
      </c>
      <c r="K22" s="329">
        <f t="shared" si="4"/>
        <v>0.98752380952380947</v>
      </c>
      <c r="L22" s="329">
        <f t="shared" si="4"/>
        <v>0.99995238095238093</v>
      </c>
      <c r="M22" s="329">
        <f t="shared" si="4"/>
        <v>0.99628571428571433</v>
      </c>
      <c r="N22" s="329">
        <f t="shared" si="4"/>
        <v>0.78504761904761899</v>
      </c>
      <c r="O22" s="329">
        <f t="shared" si="4"/>
        <v>0.62257142857142855</v>
      </c>
      <c r="P22" s="329">
        <f t="shared" si="4"/>
        <v>0.61895238095238092</v>
      </c>
      <c r="Q22" s="329">
        <f t="shared" si="4"/>
        <v>0.61942857142857144</v>
      </c>
      <c r="R22" s="329">
        <f t="shared" si="4"/>
        <v>0.73472691776582066</v>
      </c>
      <c r="S22" s="329">
        <f t="shared" si="4"/>
        <v>0.76354632892105512</v>
      </c>
      <c r="T22" s="329">
        <f t="shared" si="4"/>
        <v>0.80874160834166553</v>
      </c>
      <c r="U22" s="9"/>
    </row>
    <row r="23" spans="1:21" x14ac:dyDescent="0.3">
      <c r="A23" s="9"/>
      <c r="B23" s="9"/>
      <c r="C23" s="140"/>
      <c r="D23" s="9"/>
      <c r="E23" s="9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9"/>
    </row>
    <row r="24" spans="1:21" x14ac:dyDescent="0.3">
      <c r="A24" s="147"/>
      <c r="B24" s="147"/>
      <c r="C24" s="150" t="s">
        <v>115</v>
      </c>
      <c r="D24" s="147"/>
      <c r="E24" s="147"/>
      <c r="F24" s="148">
        <f>F13+F20</f>
        <v>26873</v>
      </c>
      <c r="G24" s="148">
        <f>G13+G20</f>
        <v>27584</v>
      </c>
      <c r="H24" s="148">
        <f>H13+H20</f>
        <v>28797</v>
      </c>
      <c r="I24" s="148">
        <f t="shared" ref="I24:U24" si="5">I13+I20</f>
        <v>29336</v>
      </c>
      <c r="J24" s="148">
        <f t="shared" si="5"/>
        <v>32299</v>
      </c>
      <c r="K24" s="148">
        <f t="shared" si="5"/>
        <v>33783</v>
      </c>
      <c r="L24" s="148">
        <f t="shared" si="5"/>
        <v>34421</v>
      </c>
      <c r="M24" s="148">
        <f t="shared" si="5"/>
        <v>34685</v>
      </c>
      <c r="N24" s="148">
        <f t="shared" si="5"/>
        <v>30698</v>
      </c>
      <c r="O24" s="148">
        <f>O13+O20</f>
        <v>27910</v>
      </c>
      <c r="P24" s="148">
        <f t="shared" si="5"/>
        <v>28461</v>
      </c>
      <c r="Q24" s="148">
        <f t="shared" si="5"/>
        <v>25770</v>
      </c>
      <c r="R24" s="148">
        <f t="shared" si="5"/>
        <v>26873</v>
      </c>
      <c r="S24" s="148">
        <f t="shared" si="5"/>
        <v>27584</v>
      </c>
      <c r="T24" s="148">
        <f t="shared" si="5"/>
        <v>28797</v>
      </c>
      <c r="U24" s="148">
        <f>SUM(F24:Q24)</f>
        <v>360617</v>
      </c>
    </row>
    <row r="25" spans="1:21" x14ac:dyDescent="0.3">
      <c r="A25" s="149"/>
      <c r="B25" s="149"/>
      <c r="C25" s="156" t="s">
        <v>116</v>
      </c>
      <c r="D25" s="149"/>
      <c r="E25" s="149"/>
      <c r="F25" s="157">
        <f>SUM(F26:F31)</f>
        <v>-2045</v>
      </c>
      <c r="G25" s="157">
        <f t="shared" ref="G25:T25" si="6">SUM(G26:G31)</f>
        <v>-2045</v>
      </c>
      <c r="H25" s="157">
        <f t="shared" si="6"/>
        <v>-2045</v>
      </c>
      <c r="I25" s="157">
        <f t="shared" si="6"/>
        <v>-2045</v>
      </c>
      <c r="J25" s="157">
        <f t="shared" si="6"/>
        <v>-2045</v>
      </c>
      <c r="K25" s="157">
        <f t="shared" si="6"/>
        <v>-2045</v>
      </c>
      <c r="L25" s="157">
        <f t="shared" si="6"/>
        <v>-2045</v>
      </c>
      <c r="M25" s="157">
        <f t="shared" si="6"/>
        <v>-2045</v>
      </c>
      <c r="N25" s="157">
        <f t="shared" si="6"/>
        <v>-2045</v>
      </c>
      <c r="O25" s="157">
        <f t="shared" si="6"/>
        <v>-2045</v>
      </c>
      <c r="P25" s="157">
        <f t="shared" si="6"/>
        <v>-2045</v>
      </c>
      <c r="Q25" s="157">
        <f t="shared" si="6"/>
        <v>-2045</v>
      </c>
      <c r="R25" s="157">
        <f t="shared" si="6"/>
        <v>-2045</v>
      </c>
      <c r="S25" s="157">
        <f t="shared" si="6"/>
        <v>-2045</v>
      </c>
      <c r="T25" s="157">
        <f t="shared" si="6"/>
        <v>-2045</v>
      </c>
      <c r="U25" s="153">
        <f t="shared" ref="U25:U72" si="7">SUM(F25:Q25)</f>
        <v>-24540</v>
      </c>
    </row>
    <row r="26" spans="1:21" x14ac:dyDescent="0.3">
      <c r="A26" s="9"/>
      <c r="B26" s="9"/>
      <c r="C26" s="140" t="s">
        <v>203</v>
      </c>
      <c r="D26" s="9"/>
      <c r="E26" s="9"/>
      <c r="F26" s="432">
        <v>-1655</v>
      </c>
      <c r="G26" s="432">
        <v>-1655</v>
      </c>
      <c r="H26" s="432">
        <v>-1655</v>
      </c>
      <c r="I26" s="432">
        <v>-1655</v>
      </c>
      <c r="J26" s="432">
        <v>-1655</v>
      </c>
      <c r="K26" s="432">
        <v>-1655</v>
      </c>
      <c r="L26" s="432">
        <v>-1655</v>
      </c>
      <c r="M26" s="432">
        <v>-1655</v>
      </c>
      <c r="N26" s="432">
        <v>-1655</v>
      </c>
      <c r="O26" s="432">
        <v>-1655</v>
      </c>
      <c r="P26" s="432">
        <v>-1655</v>
      </c>
      <c r="Q26" s="432">
        <v>-1655</v>
      </c>
      <c r="R26" s="432">
        <v>-1655</v>
      </c>
      <c r="S26" s="432">
        <v>-1655</v>
      </c>
      <c r="T26" s="432">
        <v>-1655</v>
      </c>
      <c r="U26" s="432">
        <f t="shared" ref="U26:U29" si="8">SUM(F26:Q26)</f>
        <v>-19860</v>
      </c>
    </row>
    <row r="27" spans="1:21" x14ac:dyDescent="0.3">
      <c r="A27" s="9"/>
      <c r="B27" s="9"/>
      <c r="C27" s="140" t="s">
        <v>271</v>
      </c>
      <c r="D27" s="9"/>
      <c r="E27" s="9"/>
      <c r="F27" s="434">
        <v>-200</v>
      </c>
      <c r="G27" s="434">
        <v>-200</v>
      </c>
      <c r="H27" s="434">
        <v>-200</v>
      </c>
      <c r="I27" s="434">
        <v>-200</v>
      </c>
      <c r="J27" s="434">
        <v>-200</v>
      </c>
      <c r="K27" s="434">
        <v>-200</v>
      </c>
      <c r="L27" s="434">
        <v>-200</v>
      </c>
      <c r="M27" s="434">
        <v>-200</v>
      </c>
      <c r="N27" s="434">
        <v>-200</v>
      </c>
      <c r="O27" s="434">
        <v>-200</v>
      </c>
      <c r="P27" s="434">
        <v>-200</v>
      </c>
      <c r="Q27" s="434">
        <v>-200</v>
      </c>
      <c r="R27" s="434">
        <v>-200</v>
      </c>
      <c r="S27" s="434">
        <v>-200</v>
      </c>
      <c r="T27" s="434">
        <v>-200</v>
      </c>
      <c r="U27" s="432">
        <f t="shared" si="8"/>
        <v>-2400</v>
      </c>
    </row>
    <row r="28" spans="1:21" x14ac:dyDescent="0.3">
      <c r="A28" s="9"/>
      <c r="B28" s="9"/>
      <c r="C28" s="140" t="s">
        <v>126</v>
      </c>
      <c r="D28" s="9"/>
      <c r="E28" s="9"/>
      <c r="F28" s="434">
        <v>-125</v>
      </c>
      <c r="G28" s="434">
        <v>-125</v>
      </c>
      <c r="H28" s="434">
        <v>-125</v>
      </c>
      <c r="I28" s="434">
        <v>-125</v>
      </c>
      <c r="J28" s="434">
        <v>-125</v>
      </c>
      <c r="K28" s="434">
        <v>-125</v>
      </c>
      <c r="L28" s="434">
        <v>-125</v>
      </c>
      <c r="M28" s="434">
        <v>-125</v>
      </c>
      <c r="N28" s="434">
        <v>-125</v>
      </c>
      <c r="O28" s="434">
        <v>-125</v>
      </c>
      <c r="P28" s="434">
        <v>-125</v>
      </c>
      <c r="Q28" s="434">
        <v>-125</v>
      </c>
      <c r="R28" s="434">
        <v>-125</v>
      </c>
      <c r="S28" s="434">
        <v>-125</v>
      </c>
      <c r="T28" s="434">
        <v>-125</v>
      </c>
      <c r="U28" s="432">
        <f t="shared" si="8"/>
        <v>-1500</v>
      </c>
    </row>
    <row r="29" spans="1:21" x14ac:dyDescent="0.3">
      <c r="A29" s="9"/>
      <c r="B29" s="9"/>
      <c r="C29" s="140" t="s">
        <v>270</v>
      </c>
      <c r="D29" s="9"/>
      <c r="E29" s="9"/>
      <c r="F29" s="434">
        <v>-65</v>
      </c>
      <c r="G29" s="434">
        <v>-65</v>
      </c>
      <c r="H29" s="434">
        <v>-65</v>
      </c>
      <c r="I29" s="434">
        <v>-65</v>
      </c>
      <c r="J29" s="434">
        <v>-65</v>
      </c>
      <c r="K29" s="434">
        <v>-65</v>
      </c>
      <c r="L29" s="434">
        <v>-65</v>
      </c>
      <c r="M29" s="434">
        <v>-65</v>
      </c>
      <c r="N29" s="434">
        <v>-65</v>
      </c>
      <c r="O29" s="434">
        <v>-65</v>
      </c>
      <c r="P29" s="434">
        <v>-65</v>
      </c>
      <c r="Q29" s="434">
        <v>-65</v>
      </c>
      <c r="R29" s="434">
        <v>-65</v>
      </c>
      <c r="S29" s="434">
        <v>-65</v>
      </c>
      <c r="T29" s="434">
        <v>-65</v>
      </c>
      <c r="U29" s="432">
        <f t="shared" si="8"/>
        <v>-780</v>
      </c>
    </row>
    <row r="30" spans="1:21" x14ac:dyDescent="0.3">
      <c r="A30" s="9"/>
      <c r="B30" s="9"/>
      <c r="C30" s="140" t="s">
        <v>61</v>
      </c>
      <c r="D30" s="9"/>
      <c r="E30" s="9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2"/>
    </row>
    <row r="31" spans="1:21" x14ac:dyDescent="0.3">
      <c r="A31" s="9"/>
      <c r="B31" s="9"/>
      <c r="C31" s="140" t="s">
        <v>208</v>
      </c>
      <c r="D31" s="9"/>
      <c r="E31" s="9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2"/>
    </row>
    <row r="32" spans="1:21" x14ac:dyDescent="0.3">
      <c r="A32" s="9"/>
      <c r="B32" s="9"/>
      <c r="C32" s="138"/>
      <c r="D32" s="9"/>
      <c r="E32" s="9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2"/>
    </row>
    <row r="33" spans="1:21" x14ac:dyDescent="0.3">
      <c r="A33" s="159"/>
      <c r="B33" s="159"/>
      <c r="C33" s="160" t="s">
        <v>4</v>
      </c>
      <c r="D33" s="159"/>
      <c r="E33" s="159"/>
      <c r="F33" s="161">
        <f>SUM(F24+F25)</f>
        <v>24828</v>
      </c>
      <c r="G33" s="161">
        <f t="shared" ref="G33:T33" si="9">SUM(G24+G25)</f>
        <v>25539</v>
      </c>
      <c r="H33" s="161">
        <f t="shared" si="9"/>
        <v>26752</v>
      </c>
      <c r="I33" s="161">
        <f t="shared" si="9"/>
        <v>27291</v>
      </c>
      <c r="J33" s="161">
        <f t="shared" si="9"/>
        <v>30254</v>
      </c>
      <c r="K33" s="161">
        <f t="shared" si="9"/>
        <v>31738</v>
      </c>
      <c r="L33" s="161">
        <f t="shared" si="9"/>
        <v>32376</v>
      </c>
      <c r="M33" s="161">
        <f t="shared" si="9"/>
        <v>32640</v>
      </c>
      <c r="N33" s="161">
        <f t="shared" si="9"/>
        <v>28653</v>
      </c>
      <c r="O33" s="161">
        <f t="shared" si="9"/>
        <v>25865</v>
      </c>
      <c r="P33" s="161">
        <f t="shared" si="9"/>
        <v>26416</v>
      </c>
      <c r="Q33" s="161">
        <f t="shared" si="9"/>
        <v>23725</v>
      </c>
      <c r="R33" s="161">
        <f t="shared" si="9"/>
        <v>24828</v>
      </c>
      <c r="S33" s="161">
        <f t="shared" si="9"/>
        <v>25539</v>
      </c>
      <c r="T33" s="161">
        <f t="shared" si="9"/>
        <v>26752</v>
      </c>
      <c r="U33" s="303">
        <f t="shared" si="7"/>
        <v>336077</v>
      </c>
    </row>
    <row r="34" spans="1:21" ht="15" customHeight="1" x14ac:dyDescent="0.3">
      <c r="A34" s="9"/>
      <c r="B34" s="9"/>
      <c r="C34" s="138"/>
      <c r="D34" s="9"/>
      <c r="E34" s="9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2"/>
    </row>
    <row r="35" spans="1:21" ht="15" customHeight="1" x14ac:dyDescent="0.3">
      <c r="A35" s="9"/>
      <c r="B35" s="9"/>
      <c r="C35" s="139" t="s">
        <v>5</v>
      </c>
      <c r="D35" s="9"/>
      <c r="E35" s="9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2"/>
    </row>
    <row r="36" spans="1:21" ht="15" customHeight="1" x14ac:dyDescent="0.3">
      <c r="A36" s="9"/>
      <c r="B36" s="9"/>
      <c r="C36" s="140" t="s">
        <v>269</v>
      </c>
      <c r="D36" s="9"/>
      <c r="E36" s="9"/>
      <c r="F36" s="432">
        <v>-975</v>
      </c>
      <c r="G36" s="432">
        <v>-975</v>
      </c>
      <c r="H36" s="432">
        <v>-975</v>
      </c>
      <c r="I36" s="432">
        <v>-975</v>
      </c>
      <c r="J36" s="432">
        <v>-975</v>
      </c>
      <c r="K36" s="432">
        <v>-975</v>
      </c>
      <c r="L36" s="432">
        <v>-975</v>
      </c>
      <c r="M36" s="432">
        <v>-975</v>
      </c>
      <c r="N36" s="432">
        <v>-975</v>
      </c>
      <c r="O36" s="432">
        <v>-975</v>
      </c>
      <c r="P36" s="432">
        <v>-975</v>
      </c>
      <c r="Q36" s="432">
        <v>-975</v>
      </c>
      <c r="R36" s="432">
        <v>-975</v>
      </c>
      <c r="S36" s="432">
        <v>-975</v>
      </c>
      <c r="T36" s="432">
        <v>-975</v>
      </c>
      <c r="U36" s="432">
        <f t="shared" si="7"/>
        <v>-11700</v>
      </c>
    </row>
    <row r="37" spans="1:21" ht="15" customHeight="1" x14ac:dyDescent="0.3">
      <c r="A37" s="9"/>
      <c r="B37" s="9"/>
      <c r="C37" s="140" t="s">
        <v>268</v>
      </c>
      <c r="D37" s="9"/>
      <c r="E37" s="9"/>
      <c r="F37" s="432">
        <v>-493</v>
      </c>
      <c r="G37" s="432">
        <v>-493</v>
      </c>
      <c r="H37" s="432">
        <v>-493</v>
      </c>
      <c r="I37" s="432">
        <v>-493</v>
      </c>
      <c r="J37" s="432">
        <v>-493</v>
      </c>
      <c r="K37" s="432">
        <v>-493</v>
      </c>
      <c r="L37" s="432">
        <v>-493</v>
      </c>
      <c r="M37" s="432">
        <v>-493</v>
      </c>
      <c r="N37" s="432">
        <v>-493</v>
      </c>
      <c r="O37" s="432">
        <v>-493</v>
      </c>
      <c r="P37" s="432">
        <v>-493</v>
      </c>
      <c r="Q37" s="432">
        <v>-493</v>
      </c>
      <c r="R37" s="432">
        <v>-493</v>
      </c>
      <c r="S37" s="432">
        <v>-493</v>
      </c>
      <c r="T37" s="432">
        <v>-493</v>
      </c>
      <c r="U37" s="432">
        <f t="shared" si="7"/>
        <v>-5916</v>
      </c>
    </row>
    <row r="38" spans="1:21" ht="15" customHeight="1" x14ac:dyDescent="0.3">
      <c r="A38" s="9"/>
      <c r="B38" s="9"/>
      <c r="C38" s="140" t="s">
        <v>283</v>
      </c>
      <c r="D38" s="9"/>
      <c r="E38" s="9"/>
      <c r="F38" s="432">
        <v>-493</v>
      </c>
      <c r="G38" s="432">
        <v>-493</v>
      </c>
      <c r="H38" s="432">
        <v>-493</v>
      </c>
      <c r="I38" s="432">
        <v>-493</v>
      </c>
      <c r="J38" s="432">
        <v>-493</v>
      </c>
      <c r="K38" s="432">
        <v>-493</v>
      </c>
      <c r="L38" s="432">
        <v>-493</v>
      </c>
      <c r="M38" s="432">
        <v>-493</v>
      </c>
      <c r="N38" s="432">
        <v>-493</v>
      </c>
      <c r="O38" s="432">
        <v>-493</v>
      </c>
      <c r="P38" s="432">
        <v>-493</v>
      </c>
      <c r="Q38" s="432">
        <v>-493</v>
      </c>
      <c r="R38" s="432">
        <v>-493</v>
      </c>
      <c r="S38" s="432">
        <v>-493</v>
      </c>
      <c r="T38" s="432">
        <v>-493</v>
      </c>
      <c r="U38" s="432">
        <f t="shared" si="7"/>
        <v>-5916</v>
      </c>
    </row>
    <row r="39" spans="1:21" ht="15" customHeight="1" x14ac:dyDescent="0.3">
      <c r="A39" s="9"/>
      <c r="B39" s="9"/>
      <c r="C39" s="140" t="s">
        <v>282</v>
      </c>
      <c r="D39" s="9"/>
      <c r="E39" s="9"/>
      <c r="F39" s="433">
        <v>-1070</v>
      </c>
      <c r="G39" s="433">
        <v>-1070</v>
      </c>
      <c r="H39" s="433">
        <v>-1070</v>
      </c>
      <c r="I39" s="433">
        <v>-1070</v>
      </c>
      <c r="J39" s="433">
        <v>-1070</v>
      </c>
      <c r="K39" s="433">
        <v>-1070</v>
      </c>
      <c r="L39" s="433">
        <v>-1070</v>
      </c>
      <c r="M39" s="433">
        <v>-1070</v>
      </c>
      <c r="N39" s="433">
        <v>-1070</v>
      </c>
      <c r="O39" s="433">
        <v>-1070</v>
      </c>
      <c r="P39" s="433">
        <v>-1070</v>
      </c>
      <c r="Q39" s="433">
        <v>-1070</v>
      </c>
      <c r="R39" s="433">
        <v>-1070</v>
      </c>
      <c r="S39" s="433">
        <v>-1070</v>
      </c>
      <c r="T39" s="433">
        <v>-1070</v>
      </c>
      <c r="U39" s="432">
        <f t="shared" si="7"/>
        <v>-12840</v>
      </c>
    </row>
    <row r="40" spans="1:21" ht="15" customHeight="1" x14ac:dyDescent="0.3">
      <c r="A40" s="9"/>
      <c r="B40" s="9"/>
      <c r="C40" s="140" t="s">
        <v>120</v>
      </c>
      <c r="D40" s="9"/>
      <c r="E40" s="9"/>
      <c r="F40" s="155" t="s">
        <v>143</v>
      </c>
      <c r="G40" s="155" t="s">
        <v>143</v>
      </c>
      <c r="H40" s="155" t="s">
        <v>143</v>
      </c>
      <c r="I40" s="155" t="s">
        <v>143</v>
      </c>
      <c r="J40" s="155" t="s">
        <v>143</v>
      </c>
      <c r="K40" s="155" t="s">
        <v>143</v>
      </c>
      <c r="L40" s="155" t="s">
        <v>143</v>
      </c>
      <c r="M40" s="155" t="s">
        <v>143</v>
      </c>
      <c r="N40" s="155" t="s">
        <v>143</v>
      </c>
      <c r="O40" s="155" t="s">
        <v>143</v>
      </c>
      <c r="P40" s="155" t="s">
        <v>143</v>
      </c>
      <c r="Q40" s="155" t="s">
        <v>143</v>
      </c>
      <c r="R40" s="155" t="s">
        <v>143</v>
      </c>
      <c r="S40" s="155" t="s">
        <v>143</v>
      </c>
      <c r="T40" s="155" t="s">
        <v>143</v>
      </c>
      <c r="U40" s="132"/>
    </row>
    <row r="41" spans="1:21" ht="15" customHeight="1" x14ac:dyDescent="0.3">
      <c r="A41" s="9"/>
      <c r="B41" s="9"/>
      <c r="C41" s="140" t="s">
        <v>121</v>
      </c>
      <c r="D41" s="9"/>
      <c r="E41" s="9"/>
      <c r="F41" s="301" t="s">
        <v>143</v>
      </c>
      <c r="G41" s="301" t="s">
        <v>143</v>
      </c>
      <c r="H41" s="301" t="s">
        <v>143</v>
      </c>
      <c r="I41" s="301" t="s">
        <v>143</v>
      </c>
      <c r="J41" s="301" t="s">
        <v>143</v>
      </c>
      <c r="K41" s="301" t="s">
        <v>143</v>
      </c>
      <c r="L41" s="301" t="s">
        <v>143</v>
      </c>
      <c r="M41" s="301" t="s">
        <v>143</v>
      </c>
      <c r="N41" s="301" t="s">
        <v>143</v>
      </c>
      <c r="O41" s="301" t="s">
        <v>143</v>
      </c>
      <c r="P41" s="301" t="s">
        <v>143</v>
      </c>
      <c r="Q41" s="301" t="s">
        <v>143</v>
      </c>
      <c r="R41" s="301" t="s">
        <v>143</v>
      </c>
      <c r="S41" s="301" t="s">
        <v>143</v>
      </c>
      <c r="T41" s="301" t="s">
        <v>143</v>
      </c>
      <c r="U41" s="132"/>
    </row>
    <row r="42" spans="1:21" ht="15" customHeight="1" x14ac:dyDescent="0.3">
      <c r="A42" s="9"/>
      <c r="B42" s="9"/>
      <c r="C42" s="140" t="s">
        <v>122</v>
      </c>
      <c r="D42" s="9"/>
      <c r="E42" s="9"/>
      <c r="F42" s="301" t="s">
        <v>143</v>
      </c>
      <c r="G42" s="301" t="s">
        <v>143</v>
      </c>
      <c r="H42" s="301" t="s">
        <v>143</v>
      </c>
      <c r="I42" s="301" t="s">
        <v>143</v>
      </c>
      <c r="J42" s="301" t="s">
        <v>143</v>
      </c>
      <c r="K42" s="301" t="s">
        <v>143</v>
      </c>
      <c r="L42" s="301" t="s">
        <v>143</v>
      </c>
      <c r="M42" s="301" t="s">
        <v>143</v>
      </c>
      <c r="N42" s="301" t="s">
        <v>143</v>
      </c>
      <c r="O42" s="301" t="s">
        <v>143</v>
      </c>
      <c r="P42" s="301" t="s">
        <v>143</v>
      </c>
      <c r="Q42" s="301" t="s">
        <v>143</v>
      </c>
      <c r="R42" s="301" t="s">
        <v>143</v>
      </c>
      <c r="S42" s="301" t="s">
        <v>143</v>
      </c>
      <c r="T42" s="301" t="s">
        <v>143</v>
      </c>
      <c r="U42" s="132"/>
    </row>
    <row r="43" spans="1:21" ht="15" customHeight="1" x14ac:dyDescent="0.3">
      <c r="A43" s="9"/>
      <c r="B43" s="9"/>
      <c r="C43" s="140" t="s">
        <v>123</v>
      </c>
      <c r="D43" s="9"/>
      <c r="E43" s="9"/>
      <c r="F43" s="301" t="s">
        <v>143</v>
      </c>
      <c r="G43" s="301" t="s">
        <v>143</v>
      </c>
      <c r="H43" s="301" t="s">
        <v>143</v>
      </c>
      <c r="I43" s="301" t="s">
        <v>143</v>
      </c>
      <c r="J43" s="301" t="s">
        <v>143</v>
      </c>
      <c r="K43" s="301" t="s">
        <v>143</v>
      </c>
      <c r="L43" s="301" t="s">
        <v>143</v>
      </c>
      <c r="M43" s="301" t="s">
        <v>143</v>
      </c>
      <c r="N43" s="301" t="s">
        <v>143</v>
      </c>
      <c r="O43" s="301" t="s">
        <v>143</v>
      </c>
      <c r="P43" s="301" t="s">
        <v>143</v>
      </c>
      <c r="Q43" s="301" t="s">
        <v>143</v>
      </c>
      <c r="R43" s="301" t="s">
        <v>143</v>
      </c>
      <c r="S43" s="301" t="s">
        <v>143</v>
      </c>
      <c r="T43" s="301" t="s">
        <v>143</v>
      </c>
      <c r="U43" s="132"/>
    </row>
    <row r="44" spans="1:21" ht="15.6" customHeight="1" x14ac:dyDescent="0.3">
      <c r="A44" s="9"/>
      <c r="B44" s="9"/>
      <c r="C44" s="140"/>
      <c r="D44" s="9"/>
      <c r="E44" s="9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32"/>
    </row>
    <row r="45" spans="1:21" x14ac:dyDescent="0.3">
      <c r="A45" s="151"/>
      <c r="B45" s="151"/>
      <c r="C45" s="177" t="s">
        <v>124</v>
      </c>
      <c r="D45" s="151"/>
      <c r="E45" s="151"/>
      <c r="F45" s="158">
        <f t="shared" ref="F45:H45" si="10">SUM(F36:F43)</f>
        <v>-3031</v>
      </c>
      <c r="G45" s="158">
        <f t="shared" si="10"/>
        <v>-3031</v>
      </c>
      <c r="H45" s="158">
        <f t="shared" si="10"/>
        <v>-3031</v>
      </c>
      <c r="I45" s="158">
        <f t="shared" ref="I45:T45" si="11">SUM(I36:I43)</f>
        <v>-3031</v>
      </c>
      <c r="J45" s="158">
        <f t="shared" si="11"/>
        <v>-3031</v>
      </c>
      <c r="K45" s="158">
        <f t="shared" si="11"/>
        <v>-3031</v>
      </c>
      <c r="L45" s="158">
        <f t="shared" si="11"/>
        <v>-3031</v>
      </c>
      <c r="M45" s="158">
        <f t="shared" si="11"/>
        <v>-3031</v>
      </c>
      <c r="N45" s="158">
        <f t="shared" si="11"/>
        <v>-3031</v>
      </c>
      <c r="O45" s="158">
        <f t="shared" si="11"/>
        <v>-3031</v>
      </c>
      <c r="P45" s="158">
        <f t="shared" si="11"/>
        <v>-3031</v>
      </c>
      <c r="Q45" s="158">
        <f t="shared" si="11"/>
        <v>-3031</v>
      </c>
      <c r="R45" s="158">
        <f t="shared" si="11"/>
        <v>-3031</v>
      </c>
      <c r="S45" s="158">
        <f t="shared" si="11"/>
        <v>-3031</v>
      </c>
      <c r="T45" s="158">
        <f t="shared" si="11"/>
        <v>-3031</v>
      </c>
      <c r="U45" s="158">
        <f t="shared" si="7"/>
        <v>-36372</v>
      </c>
    </row>
    <row r="46" spans="1:21" x14ac:dyDescent="0.3">
      <c r="A46" s="152"/>
      <c r="B46" s="152"/>
      <c r="C46" s="188" t="s">
        <v>125</v>
      </c>
      <c r="D46" s="152"/>
      <c r="E46" s="152"/>
      <c r="F46" s="153">
        <v>-3000</v>
      </c>
      <c r="G46" s="153">
        <v>-3000</v>
      </c>
      <c r="H46" s="153">
        <v>-3000</v>
      </c>
      <c r="I46" s="153">
        <v>-3000</v>
      </c>
      <c r="J46" s="153">
        <v>-3000</v>
      </c>
      <c r="K46" s="153">
        <v>-3000</v>
      </c>
      <c r="L46" s="153">
        <v>-3000</v>
      </c>
      <c r="M46" s="153">
        <v>-3000</v>
      </c>
      <c r="N46" s="153">
        <v>-3000</v>
      </c>
      <c r="O46" s="153">
        <v>-3000</v>
      </c>
      <c r="P46" s="153">
        <v>-3000</v>
      </c>
      <c r="Q46" s="153">
        <v>-3000</v>
      </c>
      <c r="R46" s="153">
        <v>-3000</v>
      </c>
      <c r="S46" s="153">
        <v>-3000</v>
      </c>
      <c r="T46" s="153">
        <v>-3000</v>
      </c>
      <c r="U46" s="153">
        <f t="shared" si="7"/>
        <v>-36000</v>
      </c>
    </row>
    <row r="47" spans="1:21" x14ac:dyDescent="0.3">
      <c r="A47" s="9"/>
      <c r="B47" s="9"/>
      <c r="C47" s="138"/>
      <c r="D47" s="9"/>
      <c r="E47" s="9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2"/>
    </row>
    <row r="48" spans="1:21" x14ac:dyDescent="0.3">
      <c r="A48" s="9"/>
      <c r="B48" s="9"/>
      <c r="C48" s="139" t="s">
        <v>24</v>
      </c>
      <c r="D48" s="9"/>
      <c r="E48" s="9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2"/>
    </row>
    <row r="49" spans="1:21" x14ac:dyDescent="0.3">
      <c r="A49" s="9"/>
      <c r="B49" s="9"/>
      <c r="C49" s="138" t="s">
        <v>73</v>
      </c>
      <c r="D49" s="9"/>
      <c r="E49" s="9"/>
      <c r="F49" s="432">
        <v>-350</v>
      </c>
      <c r="G49" s="432">
        <v>-350</v>
      </c>
      <c r="H49" s="432">
        <v>-350</v>
      </c>
      <c r="I49" s="432">
        <v>-350</v>
      </c>
      <c r="J49" s="432">
        <v>-350</v>
      </c>
      <c r="K49" s="432">
        <v>-350</v>
      </c>
      <c r="L49" s="432">
        <v>-350</v>
      </c>
      <c r="M49" s="432">
        <v>-350</v>
      </c>
      <c r="N49" s="432">
        <v>-350</v>
      </c>
      <c r="O49" s="432">
        <v>-350</v>
      </c>
      <c r="P49" s="432">
        <v>-350</v>
      </c>
      <c r="Q49" s="432">
        <v>-350</v>
      </c>
      <c r="R49" s="432">
        <v>-350</v>
      </c>
      <c r="S49" s="432">
        <v>-350</v>
      </c>
      <c r="T49" s="432">
        <v>-350</v>
      </c>
      <c r="U49" s="432">
        <f t="shared" si="7"/>
        <v>-4200</v>
      </c>
    </row>
    <row r="50" spans="1:21" x14ac:dyDescent="0.3">
      <c r="A50" s="9"/>
      <c r="B50" s="9"/>
      <c r="C50" s="138" t="s">
        <v>255</v>
      </c>
      <c r="D50" s="9"/>
      <c r="E50" s="9"/>
      <c r="F50" s="432">
        <v>-550</v>
      </c>
      <c r="G50" s="432">
        <v>-550</v>
      </c>
      <c r="H50" s="432">
        <v>-550</v>
      </c>
      <c r="I50" s="432">
        <v>-550</v>
      </c>
      <c r="J50" s="432">
        <v>-550</v>
      </c>
      <c r="K50" s="432">
        <v>-550</v>
      </c>
      <c r="L50" s="432">
        <v>-550</v>
      </c>
      <c r="M50" s="432">
        <v>-550</v>
      </c>
      <c r="N50" s="432">
        <v>-550</v>
      </c>
      <c r="O50" s="432">
        <v>-550</v>
      </c>
      <c r="P50" s="432">
        <v>-550</v>
      </c>
      <c r="Q50" s="432">
        <v>-550</v>
      </c>
      <c r="R50" s="432">
        <v>-550</v>
      </c>
      <c r="S50" s="432">
        <v>-550</v>
      </c>
      <c r="T50" s="432">
        <v>-550</v>
      </c>
      <c r="U50" s="432">
        <f t="shared" si="7"/>
        <v>-6600</v>
      </c>
    </row>
    <row r="51" spans="1:21" x14ac:dyDescent="0.3">
      <c r="A51" s="9"/>
      <c r="B51" s="9"/>
      <c r="C51" s="138" t="s">
        <v>126</v>
      </c>
      <c r="D51" s="9"/>
      <c r="E51" s="9"/>
      <c r="F51" s="432">
        <v>-700</v>
      </c>
      <c r="G51" s="432">
        <v>-700</v>
      </c>
      <c r="H51" s="432">
        <v>-700</v>
      </c>
      <c r="I51" s="432">
        <v>-700</v>
      </c>
      <c r="J51" s="432">
        <v>-700</v>
      </c>
      <c r="K51" s="432">
        <v>-700</v>
      </c>
      <c r="L51" s="432">
        <v>-700</v>
      </c>
      <c r="M51" s="432">
        <v>-700</v>
      </c>
      <c r="N51" s="432">
        <v>-700</v>
      </c>
      <c r="O51" s="432">
        <v>-700</v>
      </c>
      <c r="P51" s="432">
        <v>-700</v>
      </c>
      <c r="Q51" s="432">
        <v>-700</v>
      </c>
      <c r="R51" s="432">
        <v>-700</v>
      </c>
      <c r="S51" s="432">
        <v>-700</v>
      </c>
      <c r="T51" s="432">
        <v>-700</v>
      </c>
      <c r="U51" s="432">
        <f t="shared" si="7"/>
        <v>-8400</v>
      </c>
    </row>
    <row r="52" spans="1:21" x14ac:dyDescent="0.3">
      <c r="A52" s="9"/>
      <c r="B52" s="9"/>
      <c r="C52" s="138" t="s">
        <v>223</v>
      </c>
      <c r="D52" s="9"/>
      <c r="E52" s="9"/>
      <c r="F52" s="432">
        <v>-550</v>
      </c>
      <c r="G52" s="432">
        <v>-550</v>
      </c>
      <c r="H52" s="432">
        <v>-550</v>
      </c>
      <c r="I52" s="432">
        <v>-550</v>
      </c>
      <c r="J52" s="432">
        <v>-550</v>
      </c>
      <c r="K52" s="432">
        <v>-550</v>
      </c>
      <c r="L52" s="432">
        <v>-550</v>
      </c>
      <c r="M52" s="432">
        <v>-550</v>
      </c>
      <c r="N52" s="432">
        <v>-550</v>
      </c>
      <c r="O52" s="432">
        <v>-550</v>
      </c>
      <c r="P52" s="432">
        <v>-550</v>
      </c>
      <c r="Q52" s="432">
        <v>-550</v>
      </c>
      <c r="R52" s="432">
        <v>-550</v>
      </c>
      <c r="S52" s="432">
        <v>-550</v>
      </c>
      <c r="T52" s="432">
        <v>-550</v>
      </c>
      <c r="U52" s="432">
        <f t="shared" si="7"/>
        <v>-6600</v>
      </c>
    </row>
    <row r="53" spans="1:21" x14ac:dyDescent="0.3">
      <c r="A53" s="9"/>
      <c r="B53" s="9"/>
      <c r="C53" s="138" t="s">
        <v>256</v>
      </c>
      <c r="D53" s="9"/>
      <c r="E53" s="9"/>
      <c r="F53" s="432">
        <v>-900</v>
      </c>
      <c r="G53" s="432">
        <v>-900</v>
      </c>
      <c r="H53" s="432">
        <v>-900</v>
      </c>
      <c r="I53" s="432">
        <v>-900</v>
      </c>
      <c r="J53" s="432">
        <v>-900</v>
      </c>
      <c r="K53" s="432">
        <v>-900</v>
      </c>
      <c r="L53" s="432">
        <v>-900</v>
      </c>
      <c r="M53" s="432">
        <v>-900</v>
      </c>
      <c r="N53" s="432">
        <v>-900</v>
      </c>
      <c r="O53" s="432">
        <v>-900</v>
      </c>
      <c r="P53" s="432">
        <v>-900</v>
      </c>
      <c r="Q53" s="432">
        <v>-900</v>
      </c>
      <c r="R53" s="432">
        <v>-900</v>
      </c>
      <c r="S53" s="432">
        <v>-900</v>
      </c>
      <c r="T53" s="432">
        <v>-900</v>
      </c>
      <c r="U53" s="432">
        <f t="shared" si="7"/>
        <v>-10800</v>
      </c>
    </row>
    <row r="54" spans="1:21" x14ac:dyDescent="0.3">
      <c r="A54" s="9"/>
      <c r="B54" s="9"/>
      <c r="C54" s="138" t="s">
        <v>127</v>
      </c>
      <c r="D54" s="9"/>
      <c r="E54" s="9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2"/>
    </row>
    <row r="55" spans="1:21" x14ac:dyDescent="0.3">
      <c r="A55" s="9"/>
      <c r="B55" s="9"/>
      <c r="C55" s="140" t="s">
        <v>128</v>
      </c>
      <c r="D55" s="9"/>
      <c r="E55" s="9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2"/>
    </row>
    <row r="56" spans="1:21" x14ac:dyDescent="0.3">
      <c r="A56" s="9"/>
      <c r="B56" s="9"/>
      <c r="C56" s="140" t="s">
        <v>129</v>
      </c>
      <c r="D56" s="9"/>
      <c r="E56" s="9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2"/>
    </row>
    <row r="57" spans="1:21" x14ac:dyDescent="0.3">
      <c r="A57" s="9"/>
      <c r="B57" s="9"/>
      <c r="C57" s="140" t="s">
        <v>130</v>
      </c>
      <c r="D57" s="9"/>
      <c r="E57" s="9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2"/>
    </row>
    <row r="58" spans="1:21" x14ac:dyDescent="0.3">
      <c r="A58" s="9"/>
      <c r="B58" s="9"/>
      <c r="C58" s="140" t="s">
        <v>131</v>
      </c>
      <c r="D58" s="9"/>
      <c r="E58" s="9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2"/>
    </row>
    <row r="59" spans="1:21" x14ac:dyDescent="0.3">
      <c r="A59" s="9"/>
      <c r="B59" s="9"/>
      <c r="C59" s="140" t="s">
        <v>132</v>
      </c>
      <c r="D59" s="9"/>
      <c r="E59" s="9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2"/>
    </row>
    <row r="60" spans="1:21" x14ac:dyDescent="0.3">
      <c r="A60" s="9"/>
      <c r="B60" s="9"/>
      <c r="C60" s="140" t="s">
        <v>133</v>
      </c>
      <c r="D60" s="9"/>
      <c r="E60" s="9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2"/>
    </row>
    <row r="61" spans="1:21" x14ac:dyDescent="0.3">
      <c r="A61" s="9"/>
      <c r="B61" s="9"/>
      <c r="C61" s="140" t="s">
        <v>134</v>
      </c>
      <c r="D61" s="9"/>
      <c r="E61" s="9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2"/>
    </row>
    <row r="62" spans="1:21" x14ac:dyDescent="0.3">
      <c r="A62" s="9"/>
      <c r="B62" s="9"/>
      <c r="C62" s="140" t="s">
        <v>135</v>
      </c>
      <c r="D62" s="9"/>
      <c r="E62" s="9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2"/>
    </row>
    <row r="63" spans="1:21" x14ac:dyDescent="0.3">
      <c r="A63" s="9"/>
      <c r="B63" s="9"/>
      <c r="C63" s="140" t="s">
        <v>136</v>
      </c>
      <c r="D63" s="9"/>
      <c r="E63" s="9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2"/>
    </row>
    <row r="64" spans="1:21" x14ac:dyDescent="0.3">
      <c r="A64" s="9"/>
      <c r="B64" s="9"/>
      <c r="C64" s="140"/>
      <c r="D64" s="9"/>
      <c r="E64" s="9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2"/>
    </row>
    <row r="65" spans="1:21" s="110" customFormat="1" ht="14.4" customHeight="1" x14ac:dyDescent="0.3">
      <c r="A65" s="164"/>
      <c r="B65" s="164"/>
      <c r="C65" s="165" t="s">
        <v>137</v>
      </c>
      <c r="D65" s="164"/>
      <c r="E65" s="164"/>
      <c r="F65" s="166">
        <f t="shared" ref="F65:H65" si="12">SUM(F49:F63)</f>
        <v>-3050</v>
      </c>
      <c r="G65" s="166">
        <f t="shared" si="12"/>
        <v>-3050</v>
      </c>
      <c r="H65" s="166">
        <f t="shared" si="12"/>
        <v>-3050</v>
      </c>
      <c r="I65" s="166">
        <f t="shared" ref="I65:T65" si="13">SUM(I49:I63)</f>
        <v>-3050</v>
      </c>
      <c r="J65" s="166">
        <f t="shared" si="13"/>
        <v>-3050</v>
      </c>
      <c r="K65" s="166">
        <f t="shared" si="13"/>
        <v>-3050</v>
      </c>
      <c r="L65" s="166">
        <f t="shared" si="13"/>
        <v>-3050</v>
      </c>
      <c r="M65" s="166">
        <f t="shared" si="13"/>
        <v>-3050</v>
      </c>
      <c r="N65" s="166">
        <f t="shared" si="13"/>
        <v>-3050</v>
      </c>
      <c r="O65" s="166">
        <f t="shared" si="13"/>
        <v>-3050</v>
      </c>
      <c r="P65" s="166">
        <f t="shared" si="13"/>
        <v>-3050</v>
      </c>
      <c r="Q65" s="166">
        <f t="shared" si="13"/>
        <v>-3050</v>
      </c>
      <c r="R65" s="166">
        <f t="shared" si="13"/>
        <v>-3050</v>
      </c>
      <c r="S65" s="166">
        <f t="shared" si="13"/>
        <v>-3050</v>
      </c>
      <c r="T65" s="166">
        <f t="shared" si="13"/>
        <v>-3050</v>
      </c>
      <c r="U65" s="158">
        <f t="shared" si="7"/>
        <v>-36600</v>
      </c>
    </row>
    <row r="66" spans="1:21" s="110" customFormat="1" ht="14.4" customHeight="1" x14ac:dyDescent="0.3">
      <c r="A66" s="167"/>
      <c r="B66" s="167"/>
      <c r="C66" s="168" t="s">
        <v>6</v>
      </c>
      <c r="D66" s="167"/>
      <c r="E66" s="167"/>
      <c r="F66" s="169">
        <f>F24+F25+F45+F65</f>
        <v>18747</v>
      </c>
      <c r="G66" s="169">
        <f>G24+G25+G45+G65</f>
        <v>19458</v>
      </c>
      <c r="H66" s="169">
        <f t="shared" ref="H66:T66" si="14">H24+H25+H45+H65</f>
        <v>20671</v>
      </c>
      <c r="I66" s="169">
        <f t="shared" si="14"/>
        <v>21210</v>
      </c>
      <c r="J66" s="169">
        <f t="shared" si="14"/>
        <v>24173</v>
      </c>
      <c r="K66" s="169">
        <f t="shared" si="14"/>
        <v>25657</v>
      </c>
      <c r="L66" s="169">
        <f t="shared" si="14"/>
        <v>26295</v>
      </c>
      <c r="M66" s="169">
        <f t="shared" si="14"/>
        <v>26559</v>
      </c>
      <c r="N66" s="169">
        <f t="shared" si="14"/>
        <v>22572</v>
      </c>
      <c r="O66" s="169">
        <f t="shared" si="14"/>
        <v>19784</v>
      </c>
      <c r="P66" s="169">
        <f t="shared" si="14"/>
        <v>20335</v>
      </c>
      <c r="Q66" s="169">
        <f t="shared" si="14"/>
        <v>17644</v>
      </c>
      <c r="R66" s="169">
        <f t="shared" si="14"/>
        <v>18747</v>
      </c>
      <c r="S66" s="169">
        <f t="shared" si="14"/>
        <v>19458</v>
      </c>
      <c r="T66" s="169">
        <f t="shared" si="14"/>
        <v>20671</v>
      </c>
      <c r="U66" s="153">
        <f t="shared" si="7"/>
        <v>263105</v>
      </c>
    </row>
    <row r="67" spans="1:21" s="110" customFormat="1" ht="14.4" customHeight="1" x14ac:dyDescent="0.3">
      <c r="A67" s="108"/>
      <c r="B67" s="108"/>
      <c r="C67" s="141" t="s">
        <v>138</v>
      </c>
      <c r="D67" s="108"/>
      <c r="E67" s="108"/>
      <c r="F67" s="441">
        <v>-1850</v>
      </c>
      <c r="G67" s="441">
        <v>-1850</v>
      </c>
      <c r="H67" s="441">
        <v>-1850</v>
      </c>
      <c r="I67" s="441">
        <v>-1711</v>
      </c>
      <c r="J67" s="441">
        <v>-1711</v>
      </c>
      <c r="K67" s="441">
        <v>-1711</v>
      </c>
      <c r="L67" s="441">
        <v>-1711</v>
      </c>
      <c r="M67" s="441">
        <v>-1711</v>
      </c>
      <c r="N67" s="441">
        <v>-1711</v>
      </c>
      <c r="O67" s="441">
        <v>-1711</v>
      </c>
      <c r="P67" s="441">
        <v>-1711</v>
      </c>
      <c r="Q67" s="441">
        <v>-1911</v>
      </c>
      <c r="R67" s="441">
        <v>-1911</v>
      </c>
      <c r="S67" s="441">
        <v>-1911</v>
      </c>
      <c r="T67" s="441">
        <v>-1911</v>
      </c>
      <c r="U67" s="441">
        <f t="shared" si="7"/>
        <v>-21149</v>
      </c>
    </row>
    <row r="68" spans="1:21" s="110" customFormat="1" ht="25.05" customHeight="1" x14ac:dyDescent="0.3">
      <c r="A68" s="108"/>
      <c r="B68" s="108"/>
      <c r="C68" s="141" t="s">
        <v>8</v>
      </c>
      <c r="D68" s="108"/>
      <c r="E68" s="108"/>
      <c r="F68" s="454">
        <f t="shared" ref="F68:H68" si="15">F66+F67</f>
        <v>16897</v>
      </c>
      <c r="G68" s="454">
        <f t="shared" si="15"/>
        <v>17608</v>
      </c>
      <c r="H68" s="454">
        <f t="shared" si="15"/>
        <v>18821</v>
      </c>
      <c r="I68" s="454">
        <f t="shared" ref="I68:T68" si="16">I66-I67</f>
        <v>22921</v>
      </c>
      <c r="J68" s="454">
        <f t="shared" si="16"/>
        <v>25884</v>
      </c>
      <c r="K68" s="454">
        <f t="shared" si="16"/>
        <v>27368</v>
      </c>
      <c r="L68" s="454">
        <f t="shared" si="16"/>
        <v>28006</v>
      </c>
      <c r="M68" s="454">
        <f t="shared" si="16"/>
        <v>28270</v>
      </c>
      <c r="N68" s="454">
        <f t="shared" si="16"/>
        <v>24283</v>
      </c>
      <c r="O68" s="454">
        <f t="shared" si="16"/>
        <v>21495</v>
      </c>
      <c r="P68" s="454">
        <f t="shared" si="16"/>
        <v>22046</v>
      </c>
      <c r="Q68" s="454">
        <f t="shared" si="16"/>
        <v>19555</v>
      </c>
      <c r="R68" s="454">
        <f t="shared" si="16"/>
        <v>20658</v>
      </c>
      <c r="S68" s="454">
        <f t="shared" si="16"/>
        <v>21369</v>
      </c>
      <c r="T68" s="454">
        <f t="shared" si="16"/>
        <v>22582</v>
      </c>
      <c r="U68" s="442">
        <f t="shared" si="7"/>
        <v>273154</v>
      </c>
    </row>
    <row r="69" spans="1:21" s="110" customFormat="1" ht="25.05" customHeight="1" x14ac:dyDescent="0.3">
      <c r="A69" s="108"/>
      <c r="B69" s="108"/>
      <c r="C69" s="144" t="s">
        <v>139</v>
      </c>
      <c r="D69" s="145"/>
      <c r="E69" s="108"/>
      <c r="F69" s="441">
        <f>('BS 2025'!F27)*0.05</f>
        <v>-5900</v>
      </c>
      <c r="G69" s="441">
        <f>('BS 2025'!G27)*0.05</f>
        <v>-5625</v>
      </c>
      <c r="H69" s="441">
        <f>('BS 2025'!H27)*0.05</f>
        <v>-5350</v>
      </c>
      <c r="I69" s="441">
        <f>('BS 2025'!I27)*0.05</f>
        <v>-5075</v>
      </c>
      <c r="J69" s="441">
        <f>('BS 2025'!J27)*0.05</f>
        <v>-4800</v>
      </c>
      <c r="K69" s="441">
        <f>('BS 2025'!K27)*0.05</f>
        <v>-4525</v>
      </c>
      <c r="L69" s="441">
        <f>('BS 2025'!L27)*0.05</f>
        <v>-4250</v>
      </c>
      <c r="M69" s="441">
        <f>('BS 2025'!M27)*0.05</f>
        <v>-3975</v>
      </c>
      <c r="N69" s="441">
        <f>('BS 2025'!N27)*0.05</f>
        <v>-3700</v>
      </c>
      <c r="O69" s="441">
        <f>('BS 2025'!O27)*0.05</f>
        <v>-3425</v>
      </c>
      <c r="P69" s="441">
        <f>('BS 2025'!P27)*0.05</f>
        <v>-3150</v>
      </c>
      <c r="Q69" s="441">
        <f>('BS 2025'!Q27)*0.05</f>
        <v>-2875</v>
      </c>
      <c r="R69" s="441">
        <f>('BS 2025'!R27)*0.05</f>
        <v>-2600</v>
      </c>
      <c r="S69" s="441">
        <f>('BS 2025'!S27)*0.05</f>
        <v>-2325</v>
      </c>
      <c r="T69" s="441">
        <f>('BS 2025'!T27)*0.05</f>
        <v>-2050</v>
      </c>
      <c r="U69" s="441">
        <f t="shared" si="7"/>
        <v>-52650</v>
      </c>
    </row>
    <row r="70" spans="1:21" s="110" customFormat="1" ht="25.05" customHeight="1" x14ac:dyDescent="0.3">
      <c r="A70" s="108"/>
      <c r="B70" s="108"/>
      <c r="C70" s="141" t="s">
        <v>10</v>
      </c>
      <c r="D70" s="108"/>
      <c r="E70" s="108"/>
      <c r="F70" s="454">
        <f>F66</f>
        <v>18747</v>
      </c>
      <c r="G70" s="454">
        <f t="shared" ref="G70:T70" si="17">G66</f>
        <v>19458</v>
      </c>
      <c r="H70" s="454">
        <f t="shared" si="17"/>
        <v>20671</v>
      </c>
      <c r="I70" s="454">
        <f t="shared" si="17"/>
        <v>21210</v>
      </c>
      <c r="J70" s="454">
        <f t="shared" si="17"/>
        <v>24173</v>
      </c>
      <c r="K70" s="454">
        <f t="shared" si="17"/>
        <v>25657</v>
      </c>
      <c r="L70" s="454">
        <f t="shared" si="17"/>
        <v>26295</v>
      </c>
      <c r="M70" s="454">
        <f t="shared" si="17"/>
        <v>26559</v>
      </c>
      <c r="N70" s="454">
        <f t="shared" si="17"/>
        <v>22572</v>
      </c>
      <c r="O70" s="454">
        <f t="shared" si="17"/>
        <v>19784</v>
      </c>
      <c r="P70" s="454">
        <f t="shared" si="17"/>
        <v>20335</v>
      </c>
      <c r="Q70" s="454">
        <f t="shared" si="17"/>
        <v>17644</v>
      </c>
      <c r="R70" s="454">
        <f t="shared" si="17"/>
        <v>18747</v>
      </c>
      <c r="S70" s="454">
        <f t="shared" si="17"/>
        <v>19458</v>
      </c>
      <c r="T70" s="454">
        <f t="shared" si="17"/>
        <v>20671</v>
      </c>
      <c r="U70" s="442">
        <f t="shared" si="7"/>
        <v>263105</v>
      </c>
    </row>
    <row r="71" spans="1:21" s="110" customFormat="1" ht="25.05" customHeight="1" x14ac:dyDescent="0.3">
      <c r="A71" s="108"/>
      <c r="B71" s="108"/>
      <c r="C71" s="144" t="s">
        <v>11</v>
      </c>
      <c r="D71" s="108"/>
      <c r="E71" s="108"/>
      <c r="F71" s="450">
        <f t="shared" ref="F71:T71" si="18">((F68*0.2)-1)*-1</f>
        <v>-3378.4</v>
      </c>
      <c r="G71" s="450">
        <f t="shared" si="18"/>
        <v>-3520.6000000000004</v>
      </c>
      <c r="H71" s="450">
        <f t="shared" si="18"/>
        <v>-3763.2000000000003</v>
      </c>
      <c r="I71" s="450">
        <f t="shared" si="18"/>
        <v>-4583.2</v>
      </c>
      <c r="J71" s="450">
        <f t="shared" si="18"/>
        <v>-5175.8</v>
      </c>
      <c r="K71" s="450">
        <f t="shared" si="18"/>
        <v>-5472.6</v>
      </c>
      <c r="L71" s="450">
        <f t="shared" si="18"/>
        <v>-5600.2000000000007</v>
      </c>
      <c r="M71" s="450">
        <f t="shared" si="18"/>
        <v>-5653</v>
      </c>
      <c r="N71" s="450">
        <f t="shared" si="18"/>
        <v>-4855.6000000000004</v>
      </c>
      <c r="O71" s="450">
        <f t="shared" si="18"/>
        <v>-4298</v>
      </c>
      <c r="P71" s="450">
        <f t="shared" si="18"/>
        <v>-4408.2</v>
      </c>
      <c r="Q71" s="450">
        <f t="shared" si="18"/>
        <v>-3910</v>
      </c>
      <c r="R71" s="450">
        <f t="shared" si="18"/>
        <v>-4130.6000000000004</v>
      </c>
      <c r="S71" s="450">
        <f t="shared" si="18"/>
        <v>-4272.8</v>
      </c>
      <c r="T71" s="450">
        <f t="shared" si="18"/>
        <v>-4515.4000000000005</v>
      </c>
      <c r="U71" s="441">
        <f t="shared" si="7"/>
        <v>-54618.799999999996</v>
      </c>
    </row>
    <row r="72" spans="1:21" s="110" customFormat="1" ht="14.4" customHeight="1" x14ac:dyDescent="0.3">
      <c r="A72" s="170"/>
      <c r="B72" s="170"/>
      <c r="C72" s="171" t="s">
        <v>12</v>
      </c>
      <c r="D72" s="170"/>
      <c r="E72" s="170"/>
      <c r="F72" s="306">
        <f>F70+F71</f>
        <v>15368.6</v>
      </c>
      <c r="G72" s="306">
        <f t="shared" ref="G72:T72" si="19">G70+G71</f>
        <v>15937.4</v>
      </c>
      <c r="H72" s="306">
        <f t="shared" si="19"/>
        <v>16907.8</v>
      </c>
      <c r="I72" s="306">
        <f t="shared" si="19"/>
        <v>16626.8</v>
      </c>
      <c r="J72" s="306">
        <f t="shared" si="19"/>
        <v>18997.2</v>
      </c>
      <c r="K72" s="306">
        <f t="shared" si="19"/>
        <v>20184.400000000001</v>
      </c>
      <c r="L72" s="306">
        <f t="shared" si="19"/>
        <v>20694.8</v>
      </c>
      <c r="M72" s="306">
        <f t="shared" si="19"/>
        <v>20906</v>
      </c>
      <c r="N72" s="306">
        <f t="shared" si="19"/>
        <v>17716.400000000001</v>
      </c>
      <c r="O72" s="306">
        <f t="shared" si="19"/>
        <v>15486</v>
      </c>
      <c r="P72" s="306">
        <f t="shared" si="19"/>
        <v>15926.8</v>
      </c>
      <c r="Q72" s="306">
        <f t="shared" si="19"/>
        <v>13734</v>
      </c>
      <c r="R72" s="306">
        <f t="shared" si="19"/>
        <v>14616.4</v>
      </c>
      <c r="S72" s="306">
        <f t="shared" si="19"/>
        <v>15185.2</v>
      </c>
      <c r="T72" s="306">
        <f t="shared" si="19"/>
        <v>16155.599999999999</v>
      </c>
      <c r="U72" s="305">
        <f t="shared" si="7"/>
        <v>208486.19999999998</v>
      </c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67"/>
  <sheetViews>
    <sheetView showGridLines="0" topLeftCell="A13" workbookViewId="0">
      <selection activeCell="G41" sqref="G41:U41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1" t="s">
        <v>144</v>
      </c>
      <c r="C2" s="130"/>
      <c r="D2" s="9"/>
    </row>
    <row r="3" spans="1:22" x14ac:dyDescent="0.3">
      <c r="A3" s="129" t="s">
        <v>145</v>
      </c>
      <c r="C3" s="14"/>
    </row>
    <row r="4" spans="1:22" x14ac:dyDescent="0.3">
      <c r="A4" s="129" t="s">
        <v>146</v>
      </c>
      <c r="C4" s="14"/>
    </row>
    <row r="6" spans="1:22" x14ac:dyDescent="0.3">
      <c r="B6" s="14" t="s">
        <v>194</v>
      </c>
    </row>
    <row r="7" spans="1:22" x14ac:dyDescent="0.3">
      <c r="A7" s="146"/>
      <c r="B7" s="177" t="s">
        <v>64</v>
      </c>
      <c r="C7" s="151"/>
      <c r="D7" s="151"/>
      <c r="E7" s="151"/>
      <c r="F7" s="151"/>
      <c r="G7" s="178">
        <v>45658</v>
      </c>
      <c r="H7" s="178">
        <v>45689</v>
      </c>
      <c r="I7" s="178">
        <v>45717</v>
      </c>
      <c r="J7" s="178">
        <v>45748</v>
      </c>
      <c r="K7" s="178">
        <v>45778</v>
      </c>
      <c r="L7" s="178">
        <v>45809</v>
      </c>
      <c r="M7" s="178">
        <v>45839</v>
      </c>
      <c r="N7" s="178">
        <v>45870</v>
      </c>
      <c r="O7" s="178">
        <v>45901</v>
      </c>
      <c r="P7" s="178">
        <v>45931</v>
      </c>
      <c r="Q7" s="178">
        <v>45962</v>
      </c>
      <c r="R7" s="178">
        <v>45992</v>
      </c>
      <c r="S7" s="178">
        <v>46023</v>
      </c>
      <c r="T7" s="178">
        <v>46054</v>
      </c>
      <c r="U7" s="178">
        <v>46082</v>
      </c>
      <c r="V7" s="179" t="s">
        <v>72</v>
      </c>
    </row>
    <row r="9" spans="1:22" x14ac:dyDescent="0.3">
      <c r="B9" s="14" t="s">
        <v>170</v>
      </c>
    </row>
    <row r="10" spans="1:22" x14ac:dyDescent="0.3">
      <c r="A10" s="151"/>
      <c r="B10" s="177" t="s">
        <v>147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</row>
    <row r="11" spans="1:22" x14ac:dyDescent="0.3">
      <c r="B11" s="314" t="s">
        <v>37</v>
      </c>
      <c r="C11" s="315"/>
      <c r="D11" s="315"/>
      <c r="E11" s="315"/>
      <c r="F11" s="315"/>
      <c r="G11" s="316">
        <f>SUM(G15+G22)</f>
        <v>26873</v>
      </c>
      <c r="H11" s="316">
        <f t="shared" ref="H11:R11" si="0">SUM(H12:H18)</f>
        <v>38097.816580147868</v>
      </c>
      <c r="I11" s="316">
        <f t="shared" si="0"/>
        <v>38623.82015718909</v>
      </c>
      <c r="J11" s="316">
        <f t="shared" si="0"/>
        <v>39191.817976852544</v>
      </c>
      <c r="K11" s="316">
        <f t="shared" si="0"/>
        <v>40013.838576889153</v>
      </c>
      <c r="L11" s="316">
        <f t="shared" si="0"/>
        <v>41091.829593267881</v>
      </c>
      <c r="M11" s="316">
        <f t="shared" si="0"/>
        <v>41845.815501149737</v>
      </c>
      <c r="N11" s="316">
        <f t="shared" si="0"/>
        <v>42527.826058113307</v>
      </c>
      <c r="O11" s="316">
        <f t="shared" si="0"/>
        <v>43425.826265741453</v>
      </c>
      <c r="P11" s="316">
        <f t="shared" si="0"/>
        <v>44673.845962423788</v>
      </c>
      <c r="Q11" s="316">
        <f t="shared" si="0"/>
        <v>45927.819390516532</v>
      </c>
      <c r="R11" s="316">
        <f t="shared" si="0"/>
        <v>40525.656542056073</v>
      </c>
      <c r="S11" s="316">
        <f t="shared" ref="S11" si="1">SUM(S12:S18)</f>
        <v>37888.800062922761</v>
      </c>
      <c r="T11" s="316">
        <f>SUM(T12:T18)</f>
        <v>38099.816580147868</v>
      </c>
      <c r="U11" s="316">
        <f>SUM(U12:U18)</f>
        <v>38626.82015718909</v>
      </c>
      <c r="V11" s="203">
        <f>SUM(G11:R11)</f>
        <v>482818.9126043474</v>
      </c>
    </row>
    <row r="12" spans="1:22" x14ac:dyDescent="0.3">
      <c r="B12" s="331" t="s">
        <v>281</v>
      </c>
      <c r="C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3">
      <c r="B13" s="332" t="s">
        <v>273</v>
      </c>
      <c r="C13" s="9"/>
      <c r="E13" s="9"/>
      <c r="F13" s="9"/>
      <c r="G13" s="328">
        <f>'IS 2025'!R11</f>
        <v>5086</v>
      </c>
      <c r="H13" s="328">
        <f>'IS 2025'!S11</f>
        <v>5191</v>
      </c>
      <c r="I13" s="328">
        <f>'IS 2025'!T11</f>
        <v>5322</v>
      </c>
      <c r="J13" s="328">
        <v>5442</v>
      </c>
      <c r="K13" s="328">
        <v>5704</v>
      </c>
      <c r="L13" s="328">
        <v>5915</v>
      </c>
      <c r="M13" s="328">
        <v>6029</v>
      </c>
      <c r="N13" s="328">
        <v>6226</v>
      </c>
      <c r="O13" s="328">
        <v>6430</v>
      </c>
      <c r="P13" s="328">
        <v>6799</v>
      </c>
      <c r="Q13" s="328">
        <v>6964</v>
      </c>
      <c r="R13" s="328">
        <v>5058</v>
      </c>
      <c r="S13" s="328">
        <f>'CF 2026'!G13</f>
        <v>5086</v>
      </c>
      <c r="T13" s="328">
        <f>'IS 2025'!S11</f>
        <v>5191</v>
      </c>
      <c r="U13" s="328">
        <f>'IS 2025'!T11</f>
        <v>5322</v>
      </c>
      <c r="V13" s="9"/>
    </row>
    <row r="14" spans="1:22" x14ac:dyDescent="0.3">
      <c r="B14" s="332" t="s">
        <v>274</v>
      </c>
      <c r="C14" s="9"/>
      <c r="E14" s="9"/>
      <c r="F14" s="9"/>
      <c r="G14" s="328">
        <f>'IS 2025'!R12</f>
        <v>6357</v>
      </c>
      <c r="H14" s="328">
        <f>'IS 2025'!S12</f>
        <v>6357</v>
      </c>
      <c r="I14" s="328">
        <f>'IS 2025'!T12</f>
        <v>6489</v>
      </c>
      <c r="J14" s="328">
        <v>6653</v>
      </c>
      <c r="K14" s="328">
        <v>6802</v>
      </c>
      <c r="L14" s="328">
        <v>7130</v>
      </c>
      <c r="M14" s="328">
        <v>7393</v>
      </c>
      <c r="N14" s="328">
        <v>7537</v>
      </c>
      <c r="O14" s="328">
        <v>7782</v>
      </c>
      <c r="P14" s="328">
        <v>8037</v>
      </c>
      <c r="Q14" s="328">
        <v>8499</v>
      </c>
      <c r="R14" s="328">
        <v>7704</v>
      </c>
      <c r="S14" s="328">
        <f>'IS 2025'!R12</f>
        <v>6357</v>
      </c>
      <c r="T14" s="328">
        <f>'IS 2025'!S12</f>
        <v>6357</v>
      </c>
      <c r="U14" s="328">
        <f>'IS 2025'!T12</f>
        <v>6489</v>
      </c>
      <c r="V14" s="9"/>
    </row>
    <row r="15" spans="1:22" x14ac:dyDescent="0.3">
      <c r="B15" s="332" t="s">
        <v>276</v>
      </c>
      <c r="C15" s="9"/>
      <c r="E15" s="9"/>
      <c r="F15" s="9"/>
      <c r="G15" s="328">
        <f>SUM(G13:G14)</f>
        <v>11443</v>
      </c>
      <c r="H15" s="328">
        <f t="shared" ref="H15:Q15" si="2">SUM(H13:H14)</f>
        <v>11548</v>
      </c>
      <c r="I15" s="328">
        <f t="shared" si="2"/>
        <v>11811</v>
      </c>
      <c r="J15" s="328">
        <f t="shared" si="2"/>
        <v>12095</v>
      </c>
      <c r="K15" s="328">
        <f t="shared" si="2"/>
        <v>12506</v>
      </c>
      <c r="L15" s="328">
        <f t="shared" si="2"/>
        <v>13045</v>
      </c>
      <c r="M15" s="328">
        <f t="shared" si="2"/>
        <v>13422</v>
      </c>
      <c r="N15" s="328">
        <f t="shared" si="2"/>
        <v>13763</v>
      </c>
      <c r="O15" s="328">
        <f t="shared" si="2"/>
        <v>14212</v>
      </c>
      <c r="P15" s="328">
        <f t="shared" si="2"/>
        <v>14836</v>
      </c>
      <c r="Q15" s="328">
        <f t="shared" si="2"/>
        <v>15463</v>
      </c>
      <c r="R15" s="328">
        <f>SUM(R13:R14)</f>
        <v>12762</v>
      </c>
      <c r="S15" s="328">
        <f t="shared" ref="S15:U15" si="3">SUM(S13:S14)</f>
        <v>11443</v>
      </c>
      <c r="T15" s="328">
        <f t="shared" si="3"/>
        <v>11548</v>
      </c>
      <c r="U15" s="328">
        <f t="shared" si="3"/>
        <v>11811</v>
      </c>
      <c r="V15" s="9"/>
    </row>
    <row r="16" spans="1:22" x14ac:dyDescent="0.3">
      <c r="B16" s="332" t="s">
        <v>277</v>
      </c>
      <c r="C16" s="9"/>
      <c r="E16" s="9"/>
      <c r="F16" s="9"/>
      <c r="G16" s="330">
        <v>15000</v>
      </c>
      <c r="H16" s="330">
        <v>15000</v>
      </c>
      <c r="I16" s="330">
        <v>15000</v>
      </c>
      <c r="J16" s="330">
        <v>15000</v>
      </c>
      <c r="K16" s="330">
        <v>15000</v>
      </c>
      <c r="L16" s="330">
        <v>15000</v>
      </c>
      <c r="M16" s="330">
        <v>15000</v>
      </c>
      <c r="N16" s="330">
        <v>15000</v>
      </c>
      <c r="O16" s="330">
        <v>15000</v>
      </c>
      <c r="P16" s="330">
        <v>15000</v>
      </c>
      <c r="Q16" s="330">
        <v>15000</v>
      </c>
      <c r="R16" s="330">
        <v>15000</v>
      </c>
      <c r="S16" s="330">
        <v>15001</v>
      </c>
      <c r="T16" s="330">
        <v>15002</v>
      </c>
      <c r="U16" s="330">
        <v>15003</v>
      </c>
      <c r="V16" s="9"/>
    </row>
    <row r="17" spans="1:22" x14ac:dyDescent="0.3">
      <c r="B17" s="332" t="s">
        <v>275</v>
      </c>
      <c r="C17" s="9"/>
      <c r="E17" s="9"/>
      <c r="F17" s="9"/>
      <c r="G17" s="329">
        <f>G15/G$14</f>
        <v>1.8000629227623093</v>
      </c>
      <c r="H17" s="329">
        <f t="shared" ref="H17:U17" si="4">H15/H$14</f>
        <v>1.8165801478684915</v>
      </c>
      <c r="I17" s="329">
        <f t="shared" si="4"/>
        <v>1.8201571890892279</v>
      </c>
      <c r="J17" s="329">
        <f t="shared" si="4"/>
        <v>1.8179768525477229</v>
      </c>
      <c r="K17" s="329">
        <f t="shared" si="4"/>
        <v>1.8385768891502499</v>
      </c>
      <c r="L17" s="329">
        <f t="shared" si="4"/>
        <v>1.829593267882188</v>
      </c>
      <c r="M17" s="329">
        <f t="shared" si="4"/>
        <v>1.815501149736237</v>
      </c>
      <c r="N17" s="329">
        <f t="shared" si="4"/>
        <v>1.8260581133076821</v>
      </c>
      <c r="O17" s="329">
        <f t="shared" si="4"/>
        <v>1.8262657414546388</v>
      </c>
      <c r="P17" s="329">
        <f t="shared" si="4"/>
        <v>1.8459624237899714</v>
      </c>
      <c r="Q17" s="329">
        <f t="shared" si="4"/>
        <v>1.8193905165313566</v>
      </c>
      <c r="R17" s="329">
        <f t="shared" si="4"/>
        <v>1.6565420560747663</v>
      </c>
      <c r="S17" s="329">
        <f t="shared" si="4"/>
        <v>1.8000629227623093</v>
      </c>
      <c r="T17" s="329">
        <f t="shared" si="4"/>
        <v>1.8165801478684915</v>
      </c>
      <c r="U17" s="329">
        <f t="shared" si="4"/>
        <v>1.8201571890892279</v>
      </c>
      <c r="V17" s="9"/>
    </row>
    <row r="18" spans="1:22" x14ac:dyDescent="0.3">
      <c r="B18" s="332"/>
      <c r="C18" s="9"/>
      <c r="E18" s="9"/>
      <c r="F18" s="9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9"/>
    </row>
    <row r="19" spans="1:22" x14ac:dyDescent="0.3">
      <c r="B19" s="331" t="s">
        <v>280</v>
      </c>
      <c r="C19" s="9"/>
      <c r="E19" s="9"/>
      <c r="F19" s="9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9"/>
    </row>
    <row r="20" spans="1:22" x14ac:dyDescent="0.3">
      <c r="B20" s="332" t="s">
        <v>278</v>
      </c>
      <c r="C20" s="9"/>
      <c r="E20" s="9"/>
      <c r="F20" s="9"/>
      <c r="G20" s="328">
        <f>'IS 2025'!R18</f>
        <v>7393</v>
      </c>
      <c r="H20" s="328">
        <f>'IS 2025'!S18</f>
        <v>7537</v>
      </c>
      <c r="I20" s="328">
        <f>'IS 2025'!T18</f>
        <v>7782</v>
      </c>
      <c r="J20" s="328">
        <v>8037</v>
      </c>
      <c r="K20" s="328">
        <v>8499</v>
      </c>
      <c r="L20" s="328">
        <v>8704</v>
      </c>
      <c r="M20" s="328">
        <v>8877</v>
      </c>
      <c r="N20" s="328">
        <v>8800</v>
      </c>
      <c r="O20" s="328">
        <v>7782</v>
      </c>
      <c r="P20" s="328">
        <v>6037</v>
      </c>
      <c r="Q20" s="328">
        <v>5499</v>
      </c>
      <c r="R20" s="328">
        <v>5704</v>
      </c>
      <c r="S20" s="328">
        <f>'CF 2026'!G20</f>
        <v>7393</v>
      </c>
      <c r="T20" s="328">
        <f>'CF 2026'!H20</f>
        <v>7537</v>
      </c>
      <c r="U20" s="328">
        <f>'CF 2026'!I20</f>
        <v>7782</v>
      </c>
      <c r="V20" s="9"/>
    </row>
    <row r="21" spans="1:22" x14ac:dyDescent="0.3">
      <c r="B21" s="332" t="s">
        <v>279</v>
      </c>
      <c r="C21" s="9"/>
      <c r="E21" s="9"/>
      <c r="F21" s="9"/>
      <c r="G21" s="328">
        <f>'IS 2025'!R19</f>
        <v>8037</v>
      </c>
      <c r="H21" s="328">
        <f>'IS 2025'!S19</f>
        <v>8499</v>
      </c>
      <c r="I21" s="328">
        <f>'IS 2025'!T19</f>
        <v>9204</v>
      </c>
      <c r="J21" s="328">
        <v>9204</v>
      </c>
      <c r="K21" s="328">
        <v>11294</v>
      </c>
      <c r="L21" s="328">
        <v>12034</v>
      </c>
      <c r="M21" s="328">
        <v>12122</v>
      </c>
      <c r="N21" s="328">
        <v>12122</v>
      </c>
      <c r="O21" s="328">
        <v>8704</v>
      </c>
      <c r="P21" s="328">
        <v>7037</v>
      </c>
      <c r="Q21" s="328">
        <v>7499</v>
      </c>
      <c r="R21" s="328">
        <v>7304</v>
      </c>
      <c r="S21" s="328">
        <f>'CF 2026'!G21</f>
        <v>8037</v>
      </c>
      <c r="T21" s="328">
        <f>'CF 2026'!H21</f>
        <v>8499</v>
      </c>
      <c r="U21" s="328">
        <f>'CF 2026'!I21</f>
        <v>9204</v>
      </c>
      <c r="V21" s="9"/>
    </row>
    <row r="22" spans="1:22" x14ac:dyDescent="0.3">
      <c r="B22" s="332" t="s">
        <v>276</v>
      </c>
      <c r="C22" s="9"/>
      <c r="E22" s="9"/>
      <c r="F22" s="9"/>
      <c r="G22" s="328">
        <f>SUM(G20:G21)</f>
        <v>15430</v>
      </c>
      <c r="H22" s="328">
        <f t="shared" ref="H22:U22" si="5">SUM(H20:H21)</f>
        <v>16036</v>
      </c>
      <c r="I22" s="328">
        <f t="shared" si="5"/>
        <v>16986</v>
      </c>
      <c r="J22" s="328">
        <f t="shared" si="5"/>
        <v>17241</v>
      </c>
      <c r="K22" s="328">
        <f t="shared" si="5"/>
        <v>19793</v>
      </c>
      <c r="L22" s="328">
        <f t="shared" si="5"/>
        <v>20738</v>
      </c>
      <c r="M22" s="328">
        <f t="shared" si="5"/>
        <v>20999</v>
      </c>
      <c r="N22" s="328">
        <f t="shared" si="5"/>
        <v>20922</v>
      </c>
      <c r="O22" s="328">
        <f t="shared" si="5"/>
        <v>16486</v>
      </c>
      <c r="P22" s="328">
        <f t="shared" si="5"/>
        <v>13074</v>
      </c>
      <c r="Q22" s="328">
        <f t="shared" si="5"/>
        <v>12998</v>
      </c>
      <c r="R22" s="328">
        <f t="shared" si="5"/>
        <v>13008</v>
      </c>
      <c r="S22" s="328">
        <f t="shared" si="5"/>
        <v>15430</v>
      </c>
      <c r="T22" s="328">
        <f t="shared" si="5"/>
        <v>16036</v>
      </c>
      <c r="U22" s="328">
        <f t="shared" si="5"/>
        <v>16986</v>
      </c>
      <c r="V22" s="9"/>
    </row>
    <row r="23" spans="1:22" x14ac:dyDescent="0.3">
      <c r="B23" s="332" t="s">
        <v>277</v>
      </c>
      <c r="C23" s="9"/>
      <c r="E23" s="9"/>
      <c r="F23" s="9"/>
      <c r="G23" s="327">
        <v>21000</v>
      </c>
      <c r="H23" s="327">
        <v>21000</v>
      </c>
      <c r="I23" s="327">
        <v>21000</v>
      </c>
      <c r="J23" s="327">
        <v>21000</v>
      </c>
      <c r="K23" s="327">
        <v>21000</v>
      </c>
      <c r="L23" s="327">
        <v>21000</v>
      </c>
      <c r="M23" s="327">
        <v>21000</v>
      </c>
      <c r="N23" s="327">
        <v>21000</v>
      </c>
      <c r="O23" s="327">
        <v>21000</v>
      </c>
      <c r="P23" s="327">
        <v>21000</v>
      </c>
      <c r="Q23" s="327">
        <v>21000</v>
      </c>
      <c r="R23" s="327">
        <v>21000</v>
      </c>
      <c r="S23" s="327">
        <v>21001</v>
      </c>
      <c r="T23" s="327">
        <v>21002</v>
      </c>
      <c r="U23" s="327">
        <v>21003</v>
      </c>
      <c r="V23" s="9"/>
    </row>
    <row r="24" spans="1:22" x14ac:dyDescent="0.3">
      <c r="B24" s="332" t="s">
        <v>275</v>
      </c>
      <c r="C24" s="9"/>
      <c r="E24" s="9"/>
      <c r="F24" s="9"/>
      <c r="G24" s="329">
        <f>G22/G$21</f>
        <v>1.9198705984820206</v>
      </c>
      <c r="H24" s="329">
        <f t="shared" ref="H24:U24" si="6">H22/H$21</f>
        <v>1.8868102129662314</v>
      </c>
      <c r="I24" s="329">
        <f t="shared" si="6"/>
        <v>1.8455019556714471</v>
      </c>
      <c r="J24" s="329">
        <f t="shared" si="6"/>
        <v>1.8732073011734029</v>
      </c>
      <c r="K24" s="329">
        <f t="shared" si="6"/>
        <v>1.7525234637860811</v>
      </c>
      <c r="L24" s="329">
        <f t="shared" si="6"/>
        <v>1.7232840285856739</v>
      </c>
      <c r="M24" s="329">
        <f t="shared" si="6"/>
        <v>1.7323049001814883</v>
      </c>
      <c r="N24" s="329">
        <f t="shared" si="6"/>
        <v>1.7259528130671506</v>
      </c>
      <c r="O24" s="329">
        <f t="shared" si="6"/>
        <v>1.8940716911764706</v>
      </c>
      <c r="P24" s="329">
        <f t="shared" si="6"/>
        <v>1.8578939889157311</v>
      </c>
      <c r="Q24" s="329">
        <f t="shared" si="6"/>
        <v>1.7332977730364048</v>
      </c>
      <c r="R24" s="329">
        <f t="shared" si="6"/>
        <v>1.7809419496166483</v>
      </c>
      <c r="S24" s="329">
        <f t="shared" si="6"/>
        <v>1.9198705984820206</v>
      </c>
      <c r="T24" s="329">
        <f t="shared" si="6"/>
        <v>1.8868102129662314</v>
      </c>
      <c r="U24" s="329">
        <f t="shared" si="6"/>
        <v>1.8455019556714471</v>
      </c>
      <c r="V24" s="9"/>
    </row>
    <row r="25" spans="1:22" x14ac:dyDescent="0.3">
      <c r="B25" s="336" t="s">
        <v>38</v>
      </c>
      <c r="C25" s="337"/>
      <c r="D25" s="337"/>
      <c r="E25" s="337"/>
      <c r="F25" s="337"/>
      <c r="G25" s="446">
        <v>-325</v>
      </c>
      <c r="H25" s="446">
        <v>-325</v>
      </c>
      <c r="I25" s="446">
        <v>-325</v>
      </c>
      <c r="J25" s="446">
        <v>-325</v>
      </c>
      <c r="K25" s="446">
        <v>-325</v>
      </c>
      <c r="L25" s="446">
        <v>-325</v>
      </c>
      <c r="M25" s="446">
        <v>-325</v>
      </c>
      <c r="N25" s="446">
        <v>-325</v>
      </c>
      <c r="O25" s="446">
        <v>-325</v>
      </c>
      <c r="P25" s="446">
        <v>-325</v>
      </c>
      <c r="Q25" s="446">
        <v>-325</v>
      </c>
      <c r="R25" s="446">
        <v>-325</v>
      </c>
      <c r="S25" s="446">
        <v>-325</v>
      </c>
      <c r="T25" s="446">
        <v>-325</v>
      </c>
      <c r="U25" s="446">
        <v>-325</v>
      </c>
      <c r="V25" s="451">
        <f>SUM(G25:R25)</f>
        <v>-3900</v>
      </c>
    </row>
    <row r="26" spans="1:22" x14ac:dyDescent="0.3">
      <c r="B26" s="336" t="s">
        <v>148</v>
      </c>
      <c r="C26" s="337"/>
      <c r="D26" s="337"/>
      <c r="E26" s="337"/>
      <c r="F26" s="337"/>
      <c r="G26" s="446">
        <f>'IS 2025'!F69</f>
        <v>-5900</v>
      </c>
      <c r="H26" s="446">
        <f>'IS 2025'!G69</f>
        <v>-5625</v>
      </c>
      <c r="I26" s="446">
        <f>'IS 2025'!H69</f>
        <v>-5350</v>
      </c>
      <c r="J26" s="446">
        <f>'IS 2025'!I69</f>
        <v>-5075</v>
      </c>
      <c r="K26" s="446">
        <f>'IS 2025'!J69</f>
        <v>-4800</v>
      </c>
      <c r="L26" s="446">
        <f>'IS 2025'!K69</f>
        <v>-4525</v>
      </c>
      <c r="M26" s="446">
        <f>'IS 2025'!L69</f>
        <v>-4250</v>
      </c>
      <c r="N26" s="446">
        <f>'IS 2025'!M69</f>
        <v>-3975</v>
      </c>
      <c r="O26" s="446">
        <f>'IS 2025'!N69</f>
        <v>-3700</v>
      </c>
      <c r="P26" s="446">
        <f>'IS 2025'!O69</f>
        <v>-3425</v>
      </c>
      <c r="Q26" s="446">
        <f>'IS 2025'!P69</f>
        <v>-3150</v>
      </c>
      <c r="R26" s="446">
        <f>'IS 2025'!Q69</f>
        <v>-2875</v>
      </c>
      <c r="S26" s="446">
        <f>'IS 2025'!R69</f>
        <v>-2600</v>
      </c>
      <c r="T26" s="446">
        <f>'IS 2025'!S69</f>
        <v>-2325</v>
      </c>
      <c r="U26" s="446">
        <f>'IS 2025'!T69</f>
        <v>-2050</v>
      </c>
      <c r="V26" s="437"/>
    </row>
    <row r="27" spans="1:22" x14ac:dyDescent="0.3">
      <c r="B27" s="336" t="s">
        <v>149</v>
      </c>
      <c r="C27" s="337"/>
      <c r="D27" s="337"/>
      <c r="E27" s="337"/>
      <c r="F27" s="337"/>
      <c r="G27" s="446">
        <f>'IS 2025'!F71</f>
        <v>-3378.4</v>
      </c>
      <c r="H27" s="446">
        <f>'IS 2025'!G71</f>
        <v>-3520.6000000000004</v>
      </c>
      <c r="I27" s="446">
        <f>'IS 2025'!H71</f>
        <v>-3763.2000000000003</v>
      </c>
      <c r="J27" s="446">
        <f>'IS 2025'!I71</f>
        <v>-4583.2</v>
      </c>
      <c r="K27" s="446">
        <f>'IS 2025'!J71</f>
        <v>-5175.8</v>
      </c>
      <c r="L27" s="446">
        <f>'IS 2025'!K71</f>
        <v>-5472.6</v>
      </c>
      <c r="M27" s="446">
        <f>'IS 2025'!L71</f>
        <v>-5600.2000000000007</v>
      </c>
      <c r="N27" s="446">
        <f>'IS 2025'!M71</f>
        <v>-5653</v>
      </c>
      <c r="O27" s="446">
        <f>'IS 2025'!N71</f>
        <v>-4855.6000000000004</v>
      </c>
      <c r="P27" s="446">
        <f>'IS 2025'!O71</f>
        <v>-4298</v>
      </c>
      <c r="Q27" s="446">
        <f>'IS 2025'!P71</f>
        <v>-4408.2</v>
      </c>
      <c r="R27" s="446">
        <f>'IS 2025'!Q71</f>
        <v>-3910</v>
      </c>
      <c r="S27" s="446">
        <f>'IS 2025'!R71</f>
        <v>-4130.6000000000004</v>
      </c>
      <c r="T27" s="446">
        <f>'IS 2025'!S71</f>
        <v>-4272.8</v>
      </c>
      <c r="U27" s="446">
        <f>'IS 2025'!T71</f>
        <v>-4515.4000000000005</v>
      </c>
      <c r="V27" s="437"/>
    </row>
    <row r="28" spans="1:22" x14ac:dyDescent="0.3">
      <c r="A28" s="151"/>
      <c r="B28" s="180" t="s">
        <v>150</v>
      </c>
      <c r="C28" s="151"/>
      <c r="D28" s="151"/>
      <c r="E28" s="151"/>
      <c r="F28" s="151"/>
      <c r="G28" s="158">
        <f>G11</f>
        <v>26873</v>
      </c>
      <c r="H28" s="158">
        <f t="shared" ref="H28:V28" si="7">H11</f>
        <v>38097.816580147868</v>
      </c>
      <c r="I28" s="158">
        <f t="shared" si="7"/>
        <v>38623.82015718909</v>
      </c>
      <c r="J28" s="158">
        <f t="shared" si="7"/>
        <v>39191.817976852544</v>
      </c>
      <c r="K28" s="158">
        <f t="shared" si="7"/>
        <v>40013.838576889153</v>
      </c>
      <c r="L28" s="158">
        <f t="shared" si="7"/>
        <v>41091.829593267881</v>
      </c>
      <c r="M28" s="158">
        <f t="shared" si="7"/>
        <v>41845.815501149737</v>
      </c>
      <c r="N28" s="158">
        <f t="shared" si="7"/>
        <v>42527.826058113307</v>
      </c>
      <c r="O28" s="158">
        <f t="shared" si="7"/>
        <v>43425.826265741453</v>
      </c>
      <c r="P28" s="158">
        <f t="shared" si="7"/>
        <v>44673.845962423788</v>
      </c>
      <c r="Q28" s="158">
        <f t="shared" si="7"/>
        <v>45927.819390516532</v>
      </c>
      <c r="R28" s="158">
        <f t="shared" si="7"/>
        <v>40525.656542056073</v>
      </c>
      <c r="S28" s="158">
        <f t="shared" si="7"/>
        <v>37888.800062922761</v>
      </c>
      <c r="T28" s="158">
        <f t="shared" si="7"/>
        <v>38099.816580147868</v>
      </c>
      <c r="U28" s="158">
        <f t="shared" si="7"/>
        <v>38626.82015718909</v>
      </c>
      <c r="V28" s="158">
        <f t="shared" si="7"/>
        <v>482818.9126043474</v>
      </c>
    </row>
    <row r="29" spans="1:22" x14ac:dyDescent="0.3">
      <c r="A29" s="152"/>
      <c r="B29" s="202" t="s">
        <v>151</v>
      </c>
      <c r="C29" s="152"/>
      <c r="D29" s="152"/>
      <c r="E29" s="152"/>
      <c r="F29" s="152"/>
      <c r="G29" s="334">
        <f t="shared" ref="G29:U29" si="8">(SUM(G25:G27))*-1</f>
        <v>9603.4</v>
      </c>
      <c r="H29" s="334">
        <f t="shared" si="8"/>
        <v>9470.6</v>
      </c>
      <c r="I29" s="334">
        <f t="shared" si="8"/>
        <v>9438.2000000000007</v>
      </c>
      <c r="J29" s="334">
        <f t="shared" si="8"/>
        <v>9983.2000000000007</v>
      </c>
      <c r="K29" s="334">
        <f t="shared" si="8"/>
        <v>10300.799999999999</v>
      </c>
      <c r="L29" s="334">
        <f t="shared" si="8"/>
        <v>10322.6</v>
      </c>
      <c r="M29" s="334">
        <f t="shared" si="8"/>
        <v>10175.200000000001</v>
      </c>
      <c r="N29" s="334">
        <f t="shared" si="8"/>
        <v>9953</v>
      </c>
      <c r="O29" s="334">
        <f t="shared" si="8"/>
        <v>8880.6</v>
      </c>
      <c r="P29" s="334">
        <f t="shared" si="8"/>
        <v>8048</v>
      </c>
      <c r="Q29" s="334">
        <f t="shared" si="8"/>
        <v>7883.2</v>
      </c>
      <c r="R29" s="334">
        <f t="shared" si="8"/>
        <v>7110</v>
      </c>
      <c r="S29" s="334">
        <f t="shared" si="8"/>
        <v>7055.6</v>
      </c>
      <c r="T29" s="334">
        <f t="shared" si="8"/>
        <v>6922.8</v>
      </c>
      <c r="U29" s="334">
        <f t="shared" si="8"/>
        <v>6890.4000000000005</v>
      </c>
      <c r="V29" s="153">
        <f>SUM(G29:R29)</f>
        <v>111168.8</v>
      </c>
    </row>
    <row r="30" spans="1:22" x14ac:dyDescent="0.3">
      <c r="B30" s="340" t="s">
        <v>152</v>
      </c>
      <c r="C30" s="340"/>
      <c r="D30" s="340"/>
      <c r="E30" s="340"/>
      <c r="F30" s="340"/>
      <c r="G30" s="154">
        <f>SUM(G28:G29)</f>
        <v>36476.400000000001</v>
      </c>
      <c r="H30" s="154">
        <f t="shared" ref="H30:R30" si="9">SUM(H28:H29)</f>
        <v>47568.416580147867</v>
      </c>
      <c r="I30" s="154">
        <f t="shared" si="9"/>
        <v>48062.020157189094</v>
      </c>
      <c r="J30" s="154">
        <f t="shared" si="9"/>
        <v>49175.017976852541</v>
      </c>
      <c r="K30" s="154">
        <f t="shared" si="9"/>
        <v>50314.638576889149</v>
      </c>
      <c r="L30" s="154">
        <f t="shared" si="9"/>
        <v>51414.42959326788</v>
      </c>
      <c r="M30" s="154">
        <f t="shared" si="9"/>
        <v>52021.015501149741</v>
      </c>
      <c r="N30" s="154">
        <f t="shared" si="9"/>
        <v>52480.826058113307</v>
      </c>
      <c r="O30" s="154">
        <f t="shared" si="9"/>
        <v>52306.426265741451</v>
      </c>
      <c r="P30" s="154">
        <f t="shared" si="9"/>
        <v>52721.845962423788</v>
      </c>
      <c r="Q30" s="154">
        <f t="shared" si="9"/>
        <v>53811.019390516529</v>
      </c>
      <c r="R30" s="154">
        <f t="shared" si="9"/>
        <v>47635.656542056073</v>
      </c>
      <c r="S30" s="154">
        <f>'CF 2026'!G30</f>
        <v>16697.400000000001</v>
      </c>
      <c r="T30" s="154">
        <f>'CF 2026'!H30</f>
        <v>27875.016580147869</v>
      </c>
      <c r="U30" s="154">
        <f>'CF 2026'!I30</f>
        <v>28433.420157189088</v>
      </c>
      <c r="V30" s="154">
        <f>SUM(G30:R30)</f>
        <v>593987.7126043475</v>
      </c>
    </row>
    <row r="31" spans="1:22" ht="15" customHeight="1" x14ac:dyDescent="0.3">
      <c r="B31" s="340" t="s">
        <v>196</v>
      </c>
      <c r="C31" s="340"/>
      <c r="D31" s="340"/>
      <c r="E31" s="340"/>
      <c r="F31" s="340"/>
      <c r="G31" s="154">
        <f>G30-'IS 2025'!F67</f>
        <v>38326.400000000001</v>
      </c>
      <c r="H31" s="154">
        <f>H30-'IS 2025'!G67</f>
        <v>49418.416580147867</v>
      </c>
      <c r="I31" s="154">
        <f>I30-'IS 2025'!H67</f>
        <v>49912.020157189094</v>
      </c>
      <c r="J31" s="154">
        <f>J30-'IS 2025'!I67</f>
        <v>50886.017976852541</v>
      </c>
      <c r="K31" s="154">
        <f>K30-'IS 2025'!J67</f>
        <v>52025.638576889149</v>
      </c>
      <c r="L31" s="154">
        <f>L30-'IS 2025'!K67</f>
        <v>53125.42959326788</v>
      </c>
      <c r="M31" s="154">
        <f>M30-'IS 2025'!L67</f>
        <v>53732.015501149741</v>
      </c>
      <c r="N31" s="154">
        <f>N30-'IS 2025'!M67</f>
        <v>54191.826058113307</v>
      </c>
      <c r="O31" s="154">
        <f>O30-'IS 2025'!N67</f>
        <v>54017.426265741451</v>
      </c>
      <c r="P31" s="154">
        <f>P30-'IS 2025'!O67</f>
        <v>54432.845962423788</v>
      </c>
      <c r="Q31" s="154">
        <f>Q30-'IS 2025'!P67</f>
        <v>55522.019390516529</v>
      </c>
      <c r="R31" s="154">
        <f>R30-'IS 2025'!Q67</f>
        <v>49546.656542056073</v>
      </c>
      <c r="S31" s="154">
        <f>S30-'IS 2025'!R67</f>
        <v>18608.400000000001</v>
      </c>
      <c r="T31" s="154">
        <f>T30-'IS 2025'!S67</f>
        <v>29786.016580147869</v>
      </c>
      <c r="U31" s="154">
        <f>U30-'IS 2025'!T67</f>
        <v>30344.420157189088</v>
      </c>
      <c r="V31" s="154"/>
    </row>
    <row r="32" spans="1:22" ht="15" customHeight="1" x14ac:dyDescent="0.3">
      <c r="B32" s="341" t="s">
        <v>153</v>
      </c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154">
        <f>'CF 2026'!G32</f>
        <v>0</v>
      </c>
      <c r="T32" s="154">
        <f>'CF 2026'!H32</f>
        <v>0</v>
      </c>
      <c r="U32" s="154">
        <f>'CF 2026'!I32</f>
        <v>0</v>
      </c>
      <c r="V32" s="337"/>
    </row>
    <row r="33" spans="2:22" ht="15" customHeight="1" x14ac:dyDescent="0.3">
      <c r="B33" s="343" t="s">
        <v>154</v>
      </c>
      <c r="C33" s="340"/>
      <c r="D33" s="340"/>
      <c r="E33" s="340"/>
      <c r="F33" s="340"/>
      <c r="G33" s="154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154">
        <f>'CF 2026'!G33</f>
        <v>0</v>
      </c>
      <c r="T33" s="154">
        <f>'CF 2026'!H33</f>
        <v>0</v>
      </c>
      <c r="U33" s="154">
        <f>'CF 2026'!I33</f>
        <v>0</v>
      </c>
      <c r="V33" s="337"/>
    </row>
    <row r="34" spans="2:22" ht="15" customHeight="1" x14ac:dyDescent="0.3">
      <c r="B34" s="344" t="s">
        <v>117</v>
      </c>
      <c r="C34" s="340"/>
      <c r="D34" s="340"/>
      <c r="E34" s="340"/>
      <c r="F34" s="340"/>
      <c r="G34" s="154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455">
        <f>'CF 2026'!G34</f>
        <v>0</v>
      </c>
      <c r="T34" s="154">
        <f>'CF 2026'!H34</f>
        <v>0</v>
      </c>
      <c r="U34" s="154">
        <f>'CF 2026'!I34</f>
        <v>0</v>
      </c>
      <c r="V34" s="337"/>
    </row>
    <row r="35" spans="2:22" ht="15" customHeight="1" x14ac:dyDescent="0.3">
      <c r="B35" s="343" t="s">
        <v>155</v>
      </c>
      <c r="C35" s="340"/>
      <c r="D35" s="340"/>
      <c r="E35" s="340"/>
      <c r="F35" s="340"/>
      <c r="G35" s="154">
        <f>SUM(G33:G34)</f>
        <v>0</v>
      </c>
      <c r="H35" s="154">
        <f t="shared" ref="H35:R35" si="10">SUM(H33:H34)</f>
        <v>0</v>
      </c>
      <c r="I35" s="154">
        <f t="shared" si="10"/>
        <v>0</v>
      </c>
      <c r="J35" s="154">
        <f t="shared" si="10"/>
        <v>0</v>
      </c>
      <c r="K35" s="154">
        <f t="shared" si="10"/>
        <v>0</v>
      </c>
      <c r="L35" s="154">
        <f t="shared" si="10"/>
        <v>0</v>
      </c>
      <c r="M35" s="154">
        <f t="shared" si="10"/>
        <v>0</v>
      </c>
      <c r="N35" s="154">
        <f t="shared" si="10"/>
        <v>0</v>
      </c>
      <c r="O35" s="154">
        <f t="shared" si="10"/>
        <v>0</v>
      </c>
      <c r="P35" s="154">
        <f t="shared" si="10"/>
        <v>0</v>
      </c>
      <c r="Q35" s="154">
        <f t="shared" si="10"/>
        <v>0</v>
      </c>
      <c r="R35" s="154">
        <f t="shared" si="10"/>
        <v>0</v>
      </c>
      <c r="S35" s="154">
        <f>'CF 2026'!G35</f>
        <v>0</v>
      </c>
      <c r="T35" s="154">
        <f>'CF 2026'!H35</f>
        <v>0</v>
      </c>
      <c r="U35" s="154">
        <f>'CF 2026'!I35</f>
        <v>0</v>
      </c>
      <c r="V35" s="337"/>
    </row>
    <row r="36" spans="2:22" ht="15" customHeight="1" x14ac:dyDescent="0.3">
      <c r="B36" s="345" t="s">
        <v>156</v>
      </c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154">
        <f>'CF 2026'!G36</f>
        <v>0</v>
      </c>
      <c r="T36" s="154">
        <f>'CF 2026'!H36</f>
        <v>0</v>
      </c>
      <c r="U36" s="154">
        <f>'CF 2026'!I36</f>
        <v>0</v>
      </c>
      <c r="V36" s="337"/>
    </row>
    <row r="37" spans="2:22" ht="15" customHeight="1" x14ac:dyDescent="0.3">
      <c r="B37" s="336" t="s">
        <v>157</v>
      </c>
      <c r="C37" s="337"/>
      <c r="D37" s="337"/>
      <c r="E37" s="337"/>
      <c r="F37" s="337"/>
      <c r="G37" s="219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219">
        <f>'CF 2026'!G37</f>
        <v>0</v>
      </c>
      <c r="T37" s="219">
        <f>'CF 2026'!H37</f>
        <v>0</v>
      </c>
      <c r="U37" s="219">
        <f>'CF 2026'!I37</f>
        <v>0</v>
      </c>
      <c r="V37" s="337"/>
    </row>
    <row r="38" spans="2:22" ht="15" customHeight="1" x14ac:dyDescent="0.3">
      <c r="B38" s="346" t="s">
        <v>117</v>
      </c>
      <c r="C38" s="337"/>
      <c r="D38" s="337"/>
      <c r="E38" s="337"/>
      <c r="F38" s="337"/>
      <c r="G38" s="219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219">
        <f>'CF 2026'!G38</f>
        <v>0</v>
      </c>
      <c r="T38" s="219">
        <f>'CF 2026'!H38</f>
        <v>0</v>
      </c>
      <c r="U38" s="219">
        <f>'CF 2026'!I38</f>
        <v>0</v>
      </c>
      <c r="V38" s="337"/>
    </row>
    <row r="39" spans="2:22" ht="15" customHeight="1" x14ac:dyDescent="0.3">
      <c r="B39" s="346" t="s">
        <v>118</v>
      </c>
      <c r="C39" s="337"/>
      <c r="D39" s="337"/>
      <c r="E39" s="337"/>
      <c r="F39" s="337"/>
      <c r="G39" s="219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219">
        <f>'CF 2026'!G39</f>
        <v>0</v>
      </c>
      <c r="T39" s="219">
        <f>'CF 2026'!H39</f>
        <v>0</v>
      </c>
      <c r="U39" s="219">
        <f>'CF 2026'!I39</f>
        <v>0</v>
      </c>
      <c r="V39" s="337"/>
    </row>
    <row r="40" spans="2:22" ht="15" customHeight="1" x14ac:dyDescent="0.3">
      <c r="B40" s="346" t="s">
        <v>119</v>
      </c>
      <c r="C40" s="337"/>
      <c r="D40" s="337"/>
      <c r="E40" s="337"/>
      <c r="F40" s="337"/>
      <c r="G40" s="219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219">
        <f>'CF 2026'!G40</f>
        <v>0</v>
      </c>
      <c r="T40" s="219">
        <f>'CF 2026'!H40</f>
        <v>0</v>
      </c>
      <c r="U40" s="219">
        <f>'CF 2026'!I40</f>
        <v>0</v>
      </c>
      <c r="V40" s="337"/>
    </row>
    <row r="41" spans="2:22" ht="15" customHeight="1" x14ac:dyDescent="0.3">
      <c r="B41" s="336" t="s">
        <v>158</v>
      </c>
      <c r="C41" s="337"/>
      <c r="D41" s="337"/>
      <c r="E41" s="337"/>
      <c r="F41" s="337"/>
      <c r="G41" s="437">
        <v>-5500</v>
      </c>
      <c r="H41" s="437">
        <v>-5500</v>
      </c>
      <c r="I41" s="437">
        <v>-5500</v>
      </c>
      <c r="J41" s="437">
        <v>-5500</v>
      </c>
      <c r="K41" s="437">
        <v>-5500</v>
      </c>
      <c r="L41" s="437">
        <v>-5500</v>
      </c>
      <c r="M41" s="437">
        <v>-5500</v>
      </c>
      <c r="N41" s="437">
        <v>-5500</v>
      </c>
      <c r="O41" s="437">
        <v>-5500</v>
      </c>
      <c r="P41" s="437">
        <v>-5500</v>
      </c>
      <c r="Q41" s="437">
        <v>-5500</v>
      </c>
      <c r="R41" s="437">
        <v>-5500</v>
      </c>
      <c r="S41" s="437">
        <v>-5500</v>
      </c>
      <c r="T41" s="437">
        <v>-5500</v>
      </c>
      <c r="U41" s="437">
        <v>-5500</v>
      </c>
      <c r="V41" s="451">
        <f>SUM(G37:R41)</f>
        <v>-66000</v>
      </c>
    </row>
    <row r="42" spans="2:22" ht="15" customHeight="1" x14ac:dyDescent="0.3">
      <c r="B42" s="346" t="s">
        <v>117</v>
      </c>
      <c r="C42" s="337"/>
      <c r="D42" s="337"/>
      <c r="E42" s="337"/>
      <c r="F42" s="337"/>
      <c r="G42" s="337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>
        <f>'CF 2026'!G42</f>
        <v>0</v>
      </c>
      <c r="T42" s="219">
        <f>'CF 2026'!H42</f>
        <v>0</v>
      </c>
      <c r="U42" s="219">
        <f>'CF 2026'!I42</f>
        <v>0</v>
      </c>
      <c r="V42" s="337"/>
    </row>
    <row r="43" spans="2:22" ht="15" customHeight="1" x14ac:dyDescent="0.3">
      <c r="B43" s="336" t="s">
        <v>159</v>
      </c>
      <c r="C43" s="337"/>
      <c r="D43" s="337"/>
      <c r="E43" s="337"/>
      <c r="F43" s="337"/>
      <c r="G43" s="219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219">
        <f>'CF 2026'!G43</f>
        <v>0</v>
      </c>
      <c r="T43" s="219">
        <f>'CF 2026'!H43</f>
        <v>0</v>
      </c>
      <c r="U43" s="219">
        <f>'CF 2026'!I43</f>
        <v>0</v>
      </c>
      <c r="V43" s="337"/>
    </row>
    <row r="44" spans="2:22" ht="15" customHeight="1" x14ac:dyDescent="0.3">
      <c r="B44" s="346" t="s">
        <v>117</v>
      </c>
      <c r="C44" s="337"/>
      <c r="D44" s="337"/>
      <c r="E44" s="337"/>
      <c r="F44" s="337"/>
      <c r="G44" s="219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219">
        <f>'CF 2026'!G44</f>
        <v>0</v>
      </c>
      <c r="T44" s="219">
        <f>'CF 2026'!H44</f>
        <v>0</v>
      </c>
      <c r="U44" s="219">
        <f>'CF 2026'!I44</f>
        <v>0</v>
      </c>
      <c r="V44" s="337"/>
    </row>
    <row r="45" spans="2:22" ht="15" customHeight="1" x14ac:dyDescent="0.3">
      <c r="B45" s="336" t="s">
        <v>160</v>
      </c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219">
        <f>'CF 2026'!G45</f>
        <v>0</v>
      </c>
      <c r="T45" s="219">
        <f>'CF 2026'!H45</f>
        <v>0</v>
      </c>
      <c r="U45" s="219">
        <f>'CF 2026'!I45</f>
        <v>0</v>
      </c>
      <c r="V45" s="337"/>
    </row>
    <row r="46" spans="2:22" ht="15" customHeight="1" x14ac:dyDescent="0.3">
      <c r="B46" s="346" t="s">
        <v>117</v>
      </c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219">
        <f>'CF 2026'!G46</f>
        <v>0</v>
      </c>
      <c r="T46" s="219">
        <f>'CF 2026'!H46</f>
        <v>0</v>
      </c>
      <c r="U46" s="219">
        <f>'CF 2026'!I46</f>
        <v>0</v>
      </c>
      <c r="V46" s="337"/>
    </row>
    <row r="47" spans="2:22" ht="15" customHeight="1" x14ac:dyDescent="0.3">
      <c r="B47" s="336" t="s">
        <v>161</v>
      </c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219">
        <f>'CF 2026'!G47</f>
        <v>0</v>
      </c>
      <c r="T47" s="219">
        <f>'CF 2026'!H47</f>
        <v>0</v>
      </c>
      <c r="U47" s="219">
        <f>'CF 2026'!I47</f>
        <v>0</v>
      </c>
      <c r="V47" s="337"/>
    </row>
    <row r="48" spans="2:22" ht="15" customHeight="1" x14ac:dyDescent="0.3">
      <c r="B48" s="346" t="s">
        <v>117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219">
        <f>'CF 2026'!G48</f>
        <v>0</v>
      </c>
      <c r="T48" s="219">
        <f>'CF 2026'!H48</f>
        <v>0</v>
      </c>
      <c r="U48" s="219">
        <f>'CF 2026'!I48</f>
        <v>0</v>
      </c>
      <c r="V48" s="337"/>
    </row>
    <row r="49" spans="1:22" ht="15" customHeight="1" x14ac:dyDescent="0.3">
      <c r="B49" s="336" t="s">
        <v>45</v>
      </c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219">
        <f>'CF 2026'!G49</f>
        <v>0</v>
      </c>
      <c r="T49" s="219">
        <f>'CF 2026'!H49</f>
        <v>0</v>
      </c>
      <c r="U49" s="219">
        <f>'CF 2026'!I49</f>
        <v>0</v>
      </c>
      <c r="V49" s="337"/>
    </row>
    <row r="50" spans="1:22" ht="15" customHeight="1" x14ac:dyDescent="0.3">
      <c r="B50" s="336" t="s">
        <v>162</v>
      </c>
      <c r="C50" s="337"/>
      <c r="D50" s="337"/>
      <c r="E50" s="337"/>
      <c r="F50" s="337"/>
      <c r="G50" s="451">
        <f>SUM(G37:G49)</f>
        <v>-5500</v>
      </c>
      <c r="H50" s="451">
        <f t="shared" ref="H50:R50" si="11">SUM(H37:H49)</f>
        <v>-5500</v>
      </c>
      <c r="I50" s="451">
        <f t="shared" si="11"/>
        <v>-5500</v>
      </c>
      <c r="J50" s="451">
        <f t="shared" si="11"/>
        <v>-5500</v>
      </c>
      <c r="K50" s="451">
        <f t="shared" si="11"/>
        <v>-5500</v>
      </c>
      <c r="L50" s="451">
        <f t="shared" si="11"/>
        <v>-5500</v>
      </c>
      <c r="M50" s="451">
        <f t="shared" si="11"/>
        <v>-5500</v>
      </c>
      <c r="N50" s="451">
        <f t="shared" si="11"/>
        <v>-5500</v>
      </c>
      <c r="O50" s="451">
        <f t="shared" si="11"/>
        <v>-5500</v>
      </c>
      <c r="P50" s="451">
        <f t="shared" si="11"/>
        <v>-5500</v>
      </c>
      <c r="Q50" s="451">
        <f t="shared" si="11"/>
        <v>-5500</v>
      </c>
      <c r="R50" s="451">
        <f t="shared" si="11"/>
        <v>-5500</v>
      </c>
      <c r="S50" s="451">
        <f>'CF 2026'!G50</f>
        <v>-5500</v>
      </c>
      <c r="T50" s="451">
        <f>'CF 2026'!H50</f>
        <v>-5500</v>
      </c>
      <c r="U50" s="451">
        <f>'CF 2026'!I50</f>
        <v>-5500</v>
      </c>
      <c r="V50" s="437"/>
    </row>
    <row r="51" spans="1:22" ht="15" customHeight="1" x14ac:dyDescent="0.3">
      <c r="B51" s="456" t="s">
        <v>163</v>
      </c>
      <c r="C51" s="457"/>
      <c r="D51" s="457"/>
      <c r="E51" s="457"/>
      <c r="F51" s="457"/>
      <c r="G51" s="462">
        <f>G60</f>
        <v>11769.6</v>
      </c>
      <c r="H51" s="462">
        <f>H30+H50</f>
        <v>42068.416580147867</v>
      </c>
      <c r="I51" s="462">
        <f>I30+I50</f>
        <v>42562.020157189094</v>
      </c>
      <c r="J51" s="462">
        <f>J30+J50</f>
        <v>43675.017976852541</v>
      </c>
      <c r="K51" s="462">
        <f t="shared" ref="K51:U51" si="12">K30+K50</f>
        <v>44814.638576889149</v>
      </c>
      <c r="L51" s="462">
        <f t="shared" si="12"/>
        <v>45914.42959326788</v>
      </c>
      <c r="M51" s="462">
        <f t="shared" si="12"/>
        <v>46521.015501149741</v>
      </c>
      <c r="N51" s="462">
        <f t="shared" si="12"/>
        <v>46980.826058113307</v>
      </c>
      <c r="O51" s="462">
        <f t="shared" si="12"/>
        <v>46806.426265741451</v>
      </c>
      <c r="P51" s="462">
        <f t="shared" si="12"/>
        <v>47221.845962423788</v>
      </c>
      <c r="Q51" s="462">
        <f t="shared" si="12"/>
        <v>48311.019390516529</v>
      </c>
      <c r="R51" s="462">
        <f t="shared" si="12"/>
        <v>42135.656542056073</v>
      </c>
      <c r="S51" s="462">
        <f t="shared" si="12"/>
        <v>11197.400000000001</v>
      </c>
      <c r="T51" s="462">
        <f t="shared" si="12"/>
        <v>22375.016580147869</v>
      </c>
      <c r="U51" s="462">
        <f t="shared" si="12"/>
        <v>22933.420157189088</v>
      </c>
      <c r="V51" s="459">
        <f>SUM(G51:R51)</f>
        <v>508780.9126043474</v>
      </c>
    </row>
    <row r="52" spans="1:22" x14ac:dyDescent="0.3">
      <c r="A52" s="151"/>
      <c r="B52" s="177" t="s">
        <v>164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</row>
    <row r="53" spans="1:22" x14ac:dyDescent="0.3">
      <c r="B53" s="347" t="s">
        <v>155</v>
      </c>
      <c r="C53" s="347"/>
      <c r="D53" s="347"/>
      <c r="E53" s="347"/>
      <c r="F53" s="347"/>
      <c r="G53" s="460">
        <f>G35</f>
        <v>0</v>
      </c>
      <c r="H53" s="460">
        <f t="shared" ref="H53:U53" si="13">H35</f>
        <v>0</v>
      </c>
      <c r="I53" s="460">
        <f t="shared" si="13"/>
        <v>0</v>
      </c>
      <c r="J53" s="460">
        <f t="shared" si="13"/>
        <v>0</v>
      </c>
      <c r="K53" s="460">
        <f t="shared" si="13"/>
        <v>0</v>
      </c>
      <c r="L53" s="460">
        <f t="shared" si="13"/>
        <v>0</v>
      </c>
      <c r="M53" s="460">
        <f t="shared" si="13"/>
        <v>0</v>
      </c>
      <c r="N53" s="460">
        <f t="shared" si="13"/>
        <v>0</v>
      </c>
      <c r="O53" s="460">
        <f t="shared" si="13"/>
        <v>0</v>
      </c>
      <c r="P53" s="460">
        <f t="shared" si="13"/>
        <v>0</v>
      </c>
      <c r="Q53" s="460">
        <f t="shared" si="13"/>
        <v>0</v>
      </c>
      <c r="R53" s="460">
        <f t="shared" si="13"/>
        <v>0</v>
      </c>
      <c r="S53" s="460">
        <f t="shared" si="13"/>
        <v>0</v>
      </c>
      <c r="T53" s="460">
        <f t="shared" si="13"/>
        <v>0</v>
      </c>
      <c r="U53" s="460">
        <f t="shared" si="13"/>
        <v>0</v>
      </c>
    </row>
    <row r="54" spans="1:22" x14ac:dyDescent="0.3">
      <c r="B54" s="340" t="s">
        <v>162</v>
      </c>
      <c r="C54" s="340"/>
      <c r="D54" s="340"/>
      <c r="E54" s="340"/>
      <c r="F54" s="340"/>
      <c r="G54" s="432">
        <f>G50</f>
        <v>-5500</v>
      </c>
      <c r="H54" s="432">
        <f t="shared" ref="H54:U54" si="14">H50</f>
        <v>-5500</v>
      </c>
      <c r="I54" s="432">
        <f t="shared" si="14"/>
        <v>-5500</v>
      </c>
      <c r="J54" s="432">
        <f t="shared" si="14"/>
        <v>-5500</v>
      </c>
      <c r="K54" s="432">
        <f t="shared" si="14"/>
        <v>-5500</v>
      </c>
      <c r="L54" s="432">
        <f t="shared" si="14"/>
        <v>-5500</v>
      </c>
      <c r="M54" s="432">
        <f t="shared" si="14"/>
        <v>-5500</v>
      </c>
      <c r="N54" s="432">
        <f t="shared" si="14"/>
        <v>-5500</v>
      </c>
      <c r="O54" s="432">
        <f t="shared" si="14"/>
        <v>-5500</v>
      </c>
      <c r="P54" s="432">
        <f t="shared" si="14"/>
        <v>-5500</v>
      </c>
      <c r="Q54" s="432">
        <f t="shared" si="14"/>
        <v>-5500</v>
      </c>
      <c r="R54" s="432">
        <f t="shared" si="14"/>
        <v>-5500</v>
      </c>
      <c r="S54" s="432">
        <f t="shared" si="14"/>
        <v>-5500</v>
      </c>
      <c r="T54" s="432">
        <f t="shared" si="14"/>
        <v>-5500</v>
      </c>
      <c r="U54" s="432">
        <f t="shared" si="14"/>
        <v>-5500</v>
      </c>
    </row>
    <row r="55" spans="1:22" x14ac:dyDescent="0.3">
      <c r="B55" s="340" t="s">
        <v>37</v>
      </c>
      <c r="C55" s="340"/>
      <c r="D55" s="340"/>
      <c r="E55" s="340"/>
      <c r="F55" s="340"/>
      <c r="G55" s="154">
        <f>G11</f>
        <v>26873</v>
      </c>
      <c r="H55" s="154">
        <f t="shared" ref="H55:U55" si="15">H11</f>
        <v>38097.816580147868</v>
      </c>
      <c r="I55" s="154">
        <f t="shared" si="15"/>
        <v>38623.82015718909</v>
      </c>
      <c r="J55" s="154">
        <f t="shared" si="15"/>
        <v>39191.817976852544</v>
      </c>
      <c r="K55" s="154">
        <f t="shared" si="15"/>
        <v>40013.838576889153</v>
      </c>
      <c r="L55" s="154">
        <f t="shared" si="15"/>
        <v>41091.829593267881</v>
      </c>
      <c r="M55" s="154">
        <f t="shared" si="15"/>
        <v>41845.815501149737</v>
      </c>
      <c r="N55" s="154">
        <f t="shared" si="15"/>
        <v>42527.826058113307</v>
      </c>
      <c r="O55" s="154">
        <f t="shared" si="15"/>
        <v>43425.826265741453</v>
      </c>
      <c r="P55" s="154">
        <f t="shared" si="15"/>
        <v>44673.845962423788</v>
      </c>
      <c r="Q55" s="154">
        <f t="shared" si="15"/>
        <v>45927.819390516532</v>
      </c>
      <c r="R55" s="154">
        <f t="shared" si="15"/>
        <v>40525.656542056073</v>
      </c>
      <c r="S55" s="154">
        <f t="shared" si="15"/>
        <v>37888.800062922761</v>
      </c>
      <c r="T55" s="154">
        <f t="shared" si="15"/>
        <v>38099.816580147868</v>
      </c>
      <c r="U55" s="154">
        <f t="shared" si="15"/>
        <v>38626.82015718909</v>
      </c>
    </row>
    <row r="56" spans="1:22" x14ac:dyDescent="0.3">
      <c r="B56" s="340" t="s">
        <v>38</v>
      </c>
      <c r="C56" s="340"/>
      <c r="D56" s="340"/>
      <c r="E56" s="340"/>
      <c r="F56" s="340"/>
      <c r="G56" s="154">
        <f>G25</f>
        <v>-325</v>
      </c>
      <c r="H56" s="154">
        <f t="shared" ref="H56:U56" si="16">H25</f>
        <v>-325</v>
      </c>
      <c r="I56" s="154">
        <f t="shared" si="16"/>
        <v>-325</v>
      </c>
      <c r="J56" s="154">
        <f t="shared" si="16"/>
        <v>-325</v>
      </c>
      <c r="K56" s="154">
        <f t="shared" si="16"/>
        <v>-325</v>
      </c>
      <c r="L56" s="154">
        <f t="shared" si="16"/>
        <v>-325</v>
      </c>
      <c r="M56" s="154">
        <f t="shared" si="16"/>
        <v>-325</v>
      </c>
      <c r="N56" s="154">
        <f t="shared" si="16"/>
        <v>-325</v>
      </c>
      <c r="O56" s="154">
        <f t="shared" si="16"/>
        <v>-325</v>
      </c>
      <c r="P56" s="154">
        <f t="shared" si="16"/>
        <v>-325</v>
      </c>
      <c r="Q56" s="154">
        <f t="shared" si="16"/>
        <v>-325</v>
      </c>
      <c r="R56" s="154">
        <f t="shared" si="16"/>
        <v>-325</v>
      </c>
      <c r="S56" s="154">
        <f t="shared" si="16"/>
        <v>-325</v>
      </c>
      <c r="T56" s="154">
        <f t="shared" si="16"/>
        <v>-325</v>
      </c>
      <c r="U56" s="154">
        <f t="shared" si="16"/>
        <v>-325</v>
      </c>
    </row>
    <row r="57" spans="1:22" x14ac:dyDescent="0.3">
      <c r="B57" s="340" t="s">
        <v>165</v>
      </c>
      <c r="C57" s="340"/>
      <c r="D57" s="340"/>
      <c r="E57" s="340"/>
      <c r="F57" s="340"/>
      <c r="G57" s="154">
        <f>SUM(G53:G56)</f>
        <v>21048</v>
      </c>
      <c r="H57" s="154">
        <f t="shared" ref="H57:U57" si="17">SUM(H53:H56)</f>
        <v>32272.816580147868</v>
      </c>
      <c r="I57" s="154">
        <f t="shared" si="17"/>
        <v>32798.82015718909</v>
      </c>
      <c r="J57" s="154">
        <f t="shared" si="17"/>
        <v>33366.817976852544</v>
      </c>
      <c r="K57" s="154">
        <f t="shared" si="17"/>
        <v>34188.838576889153</v>
      </c>
      <c r="L57" s="154">
        <f t="shared" si="17"/>
        <v>35266.829593267881</v>
      </c>
      <c r="M57" s="154">
        <f t="shared" si="17"/>
        <v>36020.815501149737</v>
      </c>
      <c r="N57" s="154">
        <f t="shared" si="17"/>
        <v>36702.826058113307</v>
      </c>
      <c r="O57" s="154">
        <f t="shared" si="17"/>
        <v>37600.826265741453</v>
      </c>
      <c r="P57" s="154">
        <f t="shared" si="17"/>
        <v>38848.845962423788</v>
      </c>
      <c r="Q57" s="154">
        <f t="shared" si="17"/>
        <v>40102.819390516532</v>
      </c>
      <c r="R57" s="154">
        <f t="shared" si="17"/>
        <v>34700.656542056073</v>
      </c>
      <c r="S57" s="154">
        <f t="shared" si="17"/>
        <v>32063.800062922761</v>
      </c>
      <c r="T57" s="154">
        <f t="shared" si="17"/>
        <v>32274.816580147868</v>
      </c>
      <c r="U57" s="154">
        <f t="shared" si="17"/>
        <v>32801.82015718909</v>
      </c>
    </row>
    <row r="58" spans="1:22" x14ac:dyDescent="0.3">
      <c r="B58" s="340" t="s">
        <v>148</v>
      </c>
      <c r="C58" s="340"/>
      <c r="D58" s="340"/>
      <c r="E58" s="340"/>
      <c r="F58" s="340"/>
      <c r="G58" s="432">
        <f>G26</f>
        <v>-5900</v>
      </c>
      <c r="H58" s="432">
        <f t="shared" ref="H58:U58" si="18">H26</f>
        <v>-5625</v>
      </c>
      <c r="I58" s="432">
        <f t="shared" si="18"/>
        <v>-5350</v>
      </c>
      <c r="J58" s="432">
        <f t="shared" si="18"/>
        <v>-5075</v>
      </c>
      <c r="K58" s="432">
        <f t="shared" si="18"/>
        <v>-4800</v>
      </c>
      <c r="L58" s="432">
        <f t="shared" si="18"/>
        <v>-4525</v>
      </c>
      <c r="M58" s="432">
        <f t="shared" si="18"/>
        <v>-4250</v>
      </c>
      <c r="N58" s="432">
        <f t="shared" si="18"/>
        <v>-3975</v>
      </c>
      <c r="O58" s="432">
        <f t="shared" si="18"/>
        <v>-3700</v>
      </c>
      <c r="P58" s="432">
        <f t="shared" si="18"/>
        <v>-3425</v>
      </c>
      <c r="Q58" s="432">
        <f t="shared" si="18"/>
        <v>-3150</v>
      </c>
      <c r="R58" s="432">
        <f t="shared" si="18"/>
        <v>-2875</v>
      </c>
      <c r="S58" s="432">
        <f t="shared" si="18"/>
        <v>-2600</v>
      </c>
      <c r="T58" s="432">
        <f t="shared" si="18"/>
        <v>-2325</v>
      </c>
      <c r="U58" s="432">
        <f t="shared" si="18"/>
        <v>-2050</v>
      </c>
    </row>
    <row r="59" spans="1:22" x14ac:dyDescent="0.3">
      <c r="B59" s="340" t="s">
        <v>149</v>
      </c>
      <c r="C59" s="340"/>
      <c r="D59" s="340"/>
      <c r="E59" s="340"/>
      <c r="F59" s="340"/>
      <c r="G59" s="463">
        <f>'IS 2025'!F71</f>
        <v>-3378.4</v>
      </c>
      <c r="H59" s="463">
        <f>'IS 2025'!G71</f>
        <v>-3520.6000000000004</v>
      </c>
      <c r="I59" s="463">
        <f>'IS 2025'!H71</f>
        <v>-3763.2000000000003</v>
      </c>
      <c r="J59" s="463">
        <f>'IS 2025'!I71</f>
        <v>-4583.2</v>
      </c>
      <c r="K59" s="463">
        <f>'IS 2025'!J71</f>
        <v>-5175.8</v>
      </c>
      <c r="L59" s="463">
        <f>'IS 2025'!K71</f>
        <v>-5472.6</v>
      </c>
      <c r="M59" s="463">
        <f>'IS 2025'!L71</f>
        <v>-5600.2000000000007</v>
      </c>
      <c r="N59" s="463">
        <f>'IS 2025'!M71</f>
        <v>-5653</v>
      </c>
      <c r="O59" s="463">
        <f>'IS 2025'!N71</f>
        <v>-4855.6000000000004</v>
      </c>
      <c r="P59" s="463">
        <f>'IS 2025'!O71</f>
        <v>-4298</v>
      </c>
      <c r="Q59" s="463">
        <f>'IS 2025'!P71</f>
        <v>-4408.2</v>
      </c>
      <c r="R59" s="463">
        <f>'IS 2025'!Q71</f>
        <v>-3910</v>
      </c>
      <c r="S59" s="463">
        <f>'IS 2025'!R71</f>
        <v>-4130.6000000000004</v>
      </c>
      <c r="T59" s="463">
        <f>'IS 2025'!S71</f>
        <v>-4272.8</v>
      </c>
      <c r="U59" s="463">
        <f>'IS 2025'!T71</f>
        <v>-4515.4000000000005</v>
      </c>
    </row>
    <row r="60" spans="1:22" x14ac:dyDescent="0.3">
      <c r="B60" s="340" t="s">
        <v>163</v>
      </c>
      <c r="C60" s="340"/>
      <c r="D60" s="340"/>
      <c r="E60" s="340"/>
      <c r="F60" s="340"/>
      <c r="G60" s="154">
        <f>SUM(G57:G59)</f>
        <v>11769.6</v>
      </c>
      <c r="H60" s="154">
        <f>SUM(H57:H59)</f>
        <v>23127.21658014787</v>
      </c>
      <c r="I60" s="154">
        <f t="shared" ref="I60:U60" si="19">SUM(I57:I59)</f>
        <v>23685.620157189089</v>
      </c>
      <c r="J60" s="154">
        <f t="shared" si="19"/>
        <v>23708.617976852544</v>
      </c>
      <c r="K60" s="154">
        <f t="shared" si="19"/>
        <v>24213.038576889154</v>
      </c>
      <c r="L60" s="154">
        <f t="shared" si="19"/>
        <v>25269.229593267883</v>
      </c>
      <c r="M60" s="154">
        <f t="shared" si="19"/>
        <v>26170.615501149736</v>
      </c>
      <c r="N60" s="154">
        <f t="shared" si="19"/>
        <v>27074.826058113307</v>
      </c>
      <c r="O60" s="154">
        <f t="shared" si="19"/>
        <v>29045.226265741454</v>
      </c>
      <c r="P60" s="154">
        <f t="shared" si="19"/>
        <v>31125.845962423788</v>
      </c>
      <c r="Q60" s="154">
        <f t="shared" si="19"/>
        <v>32544.619390516531</v>
      </c>
      <c r="R60" s="154">
        <f t="shared" si="19"/>
        <v>27915.656542056073</v>
      </c>
      <c r="S60" s="154">
        <f t="shared" si="19"/>
        <v>25333.200062922762</v>
      </c>
      <c r="T60" s="154">
        <f t="shared" si="19"/>
        <v>25677.016580147869</v>
      </c>
      <c r="U60" s="154">
        <f t="shared" si="19"/>
        <v>26236.420157189088</v>
      </c>
    </row>
    <row r="61" spans="1:22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2" x14ac:dyDescent="0.3">
      <c r="A62" s="151"/>
      <c r="B62" s="177" t="s">
        <v>166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</row>
    <row r="63" spans="1:22" x14ac:dyDescent="0.3">
      <c r="B63" s="337" t="s">
        <v>167</v>
      </c>
      <c r="C63" s="337"/>
      <c r="D63" s="337"/>
      <c r="E63" s="337"/>
      <c r="F63" s="337"/>
      <c r="G63" s="219">
        <f>SUM(G30+G35)</f>
        <v>36476.400000000001</v>
      </c>
      <c r="H63" s="219">
        <f t="shared" ref="H63:U63" si="20">SUM(H30+H35)</f>
        <v>47568.416580147867</v>
      </c>
      <c r="I63" s="219">
        <f t="shared" si="20"/>
        <v>48062.020157189094</v>
      </c>
      <c r="J63" s="219">
        <f t="shared" si="20"/>
        <v>49175.017976852541</v>
      </c>
      <c r="K63" s="219">
        <f t="shared" si="20"/>
        <v>50314.638576889149</v>
      </c>
      <c r="L63" s="219">
        <f t="shared" si="20"/>
        <v>51414.42959326788</v>
      </c>
      <c r="M63" s="219">
        <f t="shared" si="20"/>
        <v>52021.015501149741</v>
      </c>
      <c r="N63" s="219">
        <f t="shared" si="20"/>
        <v>52480.826058113307</v>
      </c>
      <c r="O63" s="219">
        <f t="shared" si="20"/>
        <v>52306.426265741451</v>
      </c>
      <c r="P63" s="219">
        <f t="shared" si="20"/>
        <v>52721.845962423788</v>
      </c>
      <c r="Q63" s="219">
        <f t="shared" si="20"/>
        <v>53811.019390516529</v>
      </c>
      <c r="R63" s="219">
        <f t="shared" si="20"/>
        <v>47635.656542056073</v>
      </c>
      <c r="S63" s="219">
        <f t="shared" si="20"/>
        <v>16697.400000000001</v>
      </c>
      <c r="T63" s="219">
        <f t="shared" si="20"/>
        <v>27875.016580147869</v>
      </c>
      <c r="U63" s="219">
        <f t="shared" si="20"/>
        <v>28433.420157189088</v>
      </c>
    </row>
    <row r="64" spans="1:22" x14ac:dyDescent="0.3">
      <c r="B64" s="337" t="s">
        <v>168</v>
      </c>
      <c r="C64" s="337"/>
      <c r="D64" s="337"/>
      <c r="E64" s="337"/>
      <c r="F64" s="337"/>
      <c r="G64" s="219">
        <f>G60</f>
        <v>11769.6</v>
      </c>
      <c r="H64" s="219">
        <f t="shared" ref="H64:U64" si="21">H60</f>
        <v>23127.21658014787</v>
      </c>
      <c r="I64" s="219">
        <f t="shared" si="21"/>
        <v>23685.620157189089</v>
      </c>
      <c r="J64" s="219">
        <f t="shared" si="21"/>
        <v>23708.617976852544</v>
      </c>
      <c r="K64" s="219">
        <f t="shared" si="21"/>
        <v>24213.038576889154</v>
      </c>
      <c r="L64" s="219">
        <f t="shared" si="21"/>
        <v>25269.229593267883</v>
      </c>
      <c r="M64" s="219">
        <f t="shared" si="21"/>
        <v>26170.615501149736</v>
      </c>
      <c r="N64" s="219">
        <f t="shared" si="21"/>
        <v>27074.826058113307</v>
      </c>
      <c r="O64" s="219">
        <f t="shared" si="21"/>
        <v>29045.226265741454</v>
      </c>
      <c r="P64" s="219">
        <f t="shared" si="21"/>
        <v>31125.845962423788</v>
      </c>
      <c r="Q64" s="219">
        <f t="shared" si="21"/>
        <v>32544.619390516531</v>
      </c>
      <c r="R64" s="219">
        <f t="shared" si="21"/>
        <v>27915.656542056073</v>
      </c>
      <c r="S64" s="219">
        <f t="shared" si="21"/>
        <v>25333.200062922762</v>
      </c>
      <c r="T64" s="219">
        <f t="shared" si="21"/>
        <v>25677.016580147869</v>
      </c>
      <c r="U64" s="219">
        <f t="shared" si="21"/>
        <v>26236.420157189088</v>
      </c>
    </row>
    <row r="65" spans="2:21" x14ac:dyDescent="0.3">
      <c r="B65" s="337" t="s">
        <v>169</v>
      </c>
      <c r="C65" s="337"/>
      <c r="D65" s="337"/>
      <c r="E65" s="337"/>
      <c r="F65" s="337"/>
      <c r="G65" s="219">
        <f>G60</f>
        <v>11769.6</v>
      </c>
      <c r="H65" s="219">
        <f t="shared" ref="H65:T65" si="22">H60</f>
        <v>23127.21658014787</v>
      </c>
      <c r="I65" s="219">
        <f t="shared" si="22"/>
        <v>23685.620157189089</v>
      </c>
      <c r="J65" s="219">
        <f t="shared" si="22"/>
        <v>23708.617976852544</v>
      </c>
      <c r="K65" s="219">
        <f t="shared" si="22"/>
        <v>24213.038576889154</v>
      </c>
      <c r="L65" s="219">
        <f t="shared" si="22"/>
        <v>25269.229593267883</v>
      </c>
      <c r="M65" s="219">
        <f t="shared" si="22"/>
        <v>26170.615501149736</v>
      </c>
      <c r="N65" s="219">
        <f t="shared" si="22"/>
        <v>27074.826058113307</v>
      </c>
      <c r="O65" s="219">
        <f t="shared" si="22"/>
        <v>29045.226265741454</v>
      </c>
      <c r="P65" s="219">
        <f t="shared" si="22"/>
        <v>31125.845962423788</v>
      </c>
      <c r="Q65" s="219">
        <f t="shared" si="22"/>
        <v>32544.619390516531</v>
      </c>
      <c r="R65" s="219">
        <f t="shared" si="22"/>
        <v>27915.656542056073</v>
      </c>
      <c r="S65" s="219">
        <f t="shared" si="22"/>
        <v>25333.200062922762</v>
      </c>
      <c r="T65" s="219">
        <f t="shared" si="22"/>
        <v>25677.016580147869</v>
      </c>
      <c r="U65" s="219">
        <f>U60</f>
        <v>26236.420157189088</v>
      </c>
    </row>
    <row r="66" spans="2:21" x14ac:dyDescent="0.3">
      <c r="B66" s="337" t="s">
        <v>161</v>
      </c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</row>
    <row r="67" spans="2:21" x14ac:dyDescent="0.3">
      <c r="B67" s="337" t="s">
        <v>163</v>
      </c>
      <c r="C67" s="337"/>
      <c r="D67" s="337"/>
      <c r="E67" s="337"/>
      <c r="F67" s="337"/>
      <c r="G67" s="219">
        <f>G60</f>
        <v>11769.6</v>
      </c>
      <c r="H67" s="219">
        <f t="shared" ref="H67:U67" si="23">H60</f>
        <v>23127.21658014787</v>
      </c>
      <c r="I67" s="219">
        <f t="shared" si="23"/>
        <v>23685.620157189089</v>
      </c>
      <c r="J67" s="219">
        <f t="shared" si="23"/>
        <v>23708.617976852544</v>
      </c>
      <c r="K67" s="219">
        <f t="shared" si="23"/>
        <v>24213.038576889154</v>
      </c>
      <c r="L67" s="219">
        <f t="shared" si="23"/>
        <v>25269.229593267883</v>
      </c>
      <c r="M67" s="219">
        <f t="shared" si="23"/>
        <v>26170.615501149736</v>
      </c>
      <c r="N67" s="219">
        <f t="shared" si="23"/>
        <v>27074.826058113307</v>
      </c>
      <c r="O67" s="219">
        <f t="shared" si="23"/>
        <v>29045.226265741454</v>
      </c>
      <c r="P67" s="219">
        <f t="shared" si="23"/>
        <v>31125.845962423788</v>
      </c>
      <c r="Q67" s="219">
        <f t="shared" si="23"/>
        <v>32544.619390516531</v>
      </c>
      <c r="R67" s="219">
        <f t="shared" si="23"/>
        <v>27915.656542056073</v>
      </c>
      <c r="S67" s="219">
        <f t="shared" si="23"/>
        <v>25333.200062922762</v>
      </c>
      <c r="T67" s="219">
        <f t="shared" si="23"/>
        <v>25677.016580147869</v>
      </c>
      <c r="U67" s="219">
        <f t="shared" si="23"/>
        <v>26236.420157189088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topLeftCell="A4" workbookViewId="0">
      <selection activeCell="R27" sqref="R2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7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171</v>
      </c>
      <c r="F2"/>
    </row>
    <row r="3" spans="1:25" x14ac:dyDescent="0.3">
      <c r="B3" t="s">
        <v>142</v>
      </c>
      <c r="F3"/>
    </row>
    <row r="4" spans="1:25" x14ac:dyDescent="0.3">
      <c r="F4"/>
    </row>
    <row r="5" spans="1:25" x14ac:dyDescent="0.3">
      <c r="A5" s="151"/>
      <c r="B5" s="177" t="s">
        <v>172</v>
      </c>
      <c r="C5" s="151"/>
      <c r="D5" s="151"/>
      <c r="E5" s="151"/>
      <c r="F5" s="205">
        <v>2025</v>
      </c>
      <c r="G5" s="205">
        <v>2025</v>
      </c>
      <c r="H5" s="205">
        <v>2025</v>
      </c>
      <c r="I5" s="205">
        <v>2025</v>
      </c>
      <c r="J5" s="205">
        <v>2025</v>
      </c>
      <c r="K5" s="205">
        <v>2025</v>
      </c>
      <c r="L5" s="205">
        <v>2025</v>
      </c>
      <c r="M5" s="205">
        <v>2025</v>
      </c>
      <c r="N5" s="205">
        <v>2025</v>
      </c>
      <c r="O5" s="205">
        <v>2025</v>
      </c>
      <c r="P5" s="205">
        <v>2025</v>
      </c>
      <c r="Q5" s="205">
        <v>2025</v>
      </c>
      <c r="R5" s="205">
        <v>2026</v>
      </c>
      <c r="S5" s="205">
        <v>2026</v>
      </c>
      <c r="T5" s="205">
        <v>2026</v>
      </c>
      <c r="U5" s="151"/>
    </row>
    <row r="6" spans="1:25" ht="15" thickBot="1" x14ac:dyDescent="0.35">
      <c r="A6" s="162"/>
      <c r="B6" s="163" t="s">
        <v>64</v>
      </c>
      <c r="C6" s="152"/>
      <c r="D6" s="152"/>
      <c r="E6" s="152"/>
      <c r="F6" s="204" t="s">
        <v>25</v>
      </c>
      <c r="G6" s="204" t="s">
        <v>26</v>
      </c>
      <c r="H6" s="204" t="s">
        <v>27</v>
      </c>
      <c r="I6" s="204" t="s">
        <v>28</v>
      </c>
      <c r="J6" s="204" t="s">
        <v>29</v>
      </c>
      <c r="K6" s="204" t="s">
        <v>30</v>
      </c>
      <c r="L6" s="204" t="s">
        <v>31</v>
      </c>
      <c r="M6" s="204" t="s">
        <v>32</v>
      </c>
      <c r="N6" s="204" t="s">
        <v>33</v>
      </c>
      <c r="O6" s="204" t="s">
        <v>34</v>
      </c>
      <c r="P6" s="204" t="s">
        <v>35</v>
      </c>
      <c r="Q6" s="204" t="s">
        <v>36</v>
      </c>
      <c r="R6" s="204" t="s">
        <v>25</v>
      </c>
      <c r="S6" s="204" t="s">
        <v>26</v>
      </c>
      <c r="T6" s="204" t="s">
        <v>27</v>
      </c>
      <c r="U6" s="201" t="s">
        <v>72</v>
      </c>
    </row>
    <row r="7" spans="1:25" s="12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2" t="s">
        <v>173</v>
      </c>
      <c r="F8"/>
    </row>
    <row r="9" spans="1:25" x14ac:dyDescent="0.3">
      <c r="C9" s="173"/>
      <c r="F9"/>
    </row>
    <row r="10" spans="1:25" x14ac:dyDescent="0.3">
      <c r="C10" s="172" t="s">
        <v>48</v>
      </c>
      <c r="F10"/>
      <c r="G10" s="174"/>
      <c r="H10" s="174"/>
      <c r="I10" s="174"/>
      <c r="J10" s="174"/>
      <c r="K10" s="174"/>
      <c r="L10" s="173"/>
      <c r="M10" s="174"/>
      <c r="N10" s="174"/>
      <c r="O10" s="174"/>
      <c r="P10" s="174"/>
      <c r="Q10" s="174"/>
      <c r="R10" s="174"/>
      <c r="S10" s="174"/>
      <c r="T10" s="174"/>
      <c r="V10" s="1"/>
    </row>
    <row r="11" spans="1:25" x14ac:dyDescent="0.3">
      <c r="C11" s="173" t="s">
        <v>174</v>
      </c>
      <c r="F11" s="174">
        <f>'BS 2024'!Q14+'CF 2025'!G60</f>
        <v>417311.31787996861</v>
      </c>
      <c r="G11" s="174">
        <f>F14+'CF 2025'!H60</f>
        <v>440438.53446011647</v>
      </c>
      <c r="H11" s="174">
        <f>G14+'CF 2025'!I60</f>
        <v>464124.15461730555</v>
      </c>
      <c r="I11" s="174">
        <f>H14+'CF 2025'!J60</f>
        <v>487832.77259415807</v>
      </c>
      <c r="J11" s="174">
        <f>I14+'CF 2025'!K60</f>
        <v>512045.81117104721</v>
      </c>
      <c r="K11" s="174">
        <f>J14+'CF 2025'!L60</f>
        <v>537315.04076431505</v>
      </c>
      <c r="L11" s="174">
        <f>K14+'CF 2025'!M60</f>
        <v>563485.65626546484</v>
      </c>
      <c r="M11" s="174">
        <f>L14+'CF 2025'!N60</f>
        <v>590560.48232357809</v>
      </c>
      <c r="N11" s="174">
        <f>M14+'CF 2025'!O60</f>
        <v>619605.70858931961</v>
      </c>
      <c r="O11" s="174">
        <f>N14+'CF 2025'!P60</f>
        <v>650731.55455174344</v>
      </c>
      <c r="P11" s="174">
        <f>O14+'CF 2025'!Q60</f>
        <v>683276.17394225998</v>
      </c>
      <c r="Q11" s="174">
        <f>P14+'CF 2025'!R60</f>
        <v>711191.8304843161</v>
      </c>
      <c r="R11" s="174">
        <f>'BS 2026'!F11</f>
        <v>722389.23048431613</v>
      </c>
      <c r="S11" s="174">
        <f>'BS 2026'!G11</f>
        <v>744764.24706446403</v>
      </c>
      <c r="T11" s="174">
        <f>'BS 2026'!H11</f>
        <v>767697.66722165316</v>
      </c>
      <c r="V11" s="1"/>
    </row>
    <row r="12" spans="1:25" x14ac:dyDescent="0.3">
      <c r="C12" s="173" t="s">
        <v>175</v>
      </c>
      <c r="F12" s="174"/>
      <c r="G12" s="173"/>
      <c r="H12" s="173"/>
      <c r="I12" s="173" t="s">
        <v>192</v>
      </c>
      <c r="J12" s="173"/>
      <c r="K12" s="173" t="s">
        <v>192</v>
      </c>
      <c r="L12" s="173"/>
      <c r="M12" s="173"/>
      <c r="N12" s="173"/>
      <c r="O12" s="173"/>
      <c r="P12" s="173"/>
      <c r="Q12" s="173"/>
      <c r="R12" s="173"/>
      <c r="S12" s="173" t="s">
        <v>192</v>
      </c>
      <c r="T12" s="173" t="s">
        <v>192</v>
      </c>
      <c r="V12" s="1"/>
    </row>
    <row r="13" spans="1:25" x14ac:dyDescent="0.3">
      <c r="C13" s="173" t="s">
        <v>176</v>
      </c>
      <c r="F13"/>
      <c r="I13" s="174"/>
      <c r="K13" s="174"/>
      <c r="S13" s="174"/>
      <c r="T13" s="174"/>
      <c r="V13" s="1"/>
    </row>
    <row r="14" spans="1:25" x14ac:dyDescent="0.3">
      <c r="C14" s="173" t="s">
        <v>177</v>
      </c>
      <c r="F14" s="174">
        <f>SUM(F11:F13)</f>
        <v>417311.31787996861</v>
      </c>
      <c r="G14" s="174">
        <f t="shared" ref="G14:Q14" si="0">SUM(G11:G13)</f>
        <v>440438.53446011647</v>
      </c>
      <c r="H14" s="174">
        <f t="shared" si="0"/>
        <v>464124.15461730555</v>
      </c>
      <c r="I14" s="174">
        <f t="shared" si="0"/>
        <v>487832.77259415807</v>
      </c>
      <c r="J14" s="174">
        <f t="shared" si="0"/>
        <v>512045.81117104721</v>
      </c>
      <c r="K14" s="174">
        <f t="shared" si="0"/>
        <v>537315.04076431505</v>
      </c>
      <c r="L14" s="174">
        <f t="shared" si="0"/>
        <v>563485.65626546484</v>
      </c>
      <c r="M14" s="174">
        <f t="shared" si="0"/>
        <v>590560.48232357809</v>
      </c>
      <c r="N14" s="174">
        <f t="shared" si="0"/>
        <v>619605.70858931961</v>
      </c>
      <c r="O14" s="174">
        <f t="shared" si="0"/>
        <v>650731.55455174344</v>
      </c>
      <c r="P14" s="174">
        <f t="shared" si="0"/>
        <v>683276.17394225998</v>
      </c>
      <c r="Q14" s="174">
        <f t="shared" si="0"/>
        <v>711191.8304843161</v>
      </c>
      <c r="R14" s="174">
        <f t="shared" ref="R14" si="1">SUM(R11:R13)</f>
        <v>722389.23048431613</v>
      </c>
      <c r="S14" s="174">
        <f t="shared" ref="S14" si="2">SUM(S11:S13)</f>
        <v>744764.24706446403</v>
      </c>
      <c r="T14" s="174">
        <f t="shared" ref="T14" si="3">SUM(T11:T13)</f>
        <v>767697.66722165316</v>
      </c>
      <c r="U14" s="219">
        <f>SUM(F14:Q14)</f>
        <v>6677919.0376435928</v>
      </c>
      <c r="V14" s="1"/>
    </row>
    <row r="15" spans="1:25" x14ac:dyDescent="0.3">
      <c r="C15" s="172" t="s">
        <v>49</v>
      </c>
      <c r="F15"/>
      <c r="G15" s="173"/>
      <c r="H15" s="173"/>
      <c r="I15" s="173"/>
      <c r="J15" s="176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V15" s="1"/>
    </row>
    <row r="16" spans="1:25" x14ac:dyDescent="0.3">
      <c r="C16" s="175" t="s">
        <v>178</v>
      </c>
      <c r="F16" s="174">
        <f>'BS 2024'!Q16-'IS 2025'!F67</f>
        <v>290182</v>
      </c>
      <c r="G16" s="174">
        <f>F16-'IS 2025'!G67</f>
        <v>292032</v>
      </c>
      <c r="H16" s="174">
        <f>G16-'IS 2025'!H67</f>
        <v>293882</v>
      </c>
      <c r="I16" s="174">
        <f>H16-'IS 2025'!I67</f>
        <v>295593</v>
      </c>
      <c r="J16" s="174">
        <f>I16-'IS 2025'!J67</f>
        <v>297304</v>
      </c>
      <c r="K16" s="174">
        <f>J16-'IS 2025'!K67</f>
        <v>299015</v>
      </c>
      <c r="L16" s="174">
        <f>K16-'IS 2025'!L67</f>
        <v>300726</v>
      </c>
      <c r="M16" s="174">
        <f>L16-'IS 2025'!M67</f>
        <v>302437</v>
      </c>
      <c r="N16" s="174">
        <f>M16-'IS 2025'!N67</f>
        <v>304148</v>
      </c>
      <c r="O16" s="174">
        <f>N16-'IS 2025'!O67</f>
        <v>305859</v>
      </c>
      <c r="P16" s="174">
        <f>O16-'IS 2025'!P67</f>
        <v>307570</v>
      </c>
      <c r="Q16" s="174">
        <f>P16-'IS 2025'!Q67</f>
        <v>309481</v>
      </c>
      <c r="R16" s="174">
        <f>'BS 2026'!F16</f>
        <v>311392</v>
      </c>
      <c r="S16" s="181">
        <f>R16-'IS 2025'!G67</f>
        <v>313242</v>
      </c>
      <c r="T16" s="181">
        <f>S16-'IS 2025'!H67</f>
        <v>315092</v>
      </c>
      <c r="V16" s="1"/>
    </row>
    <row r="17" spans="1:22" x14ac:dyDescent="0.3">
      <c r="C17" s="175" t="s">
        <v>179</v>
      </c>
      <c r="F17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V17" s="1"/>
    </row>
    <row r="18" spans="1:22" x14ac:dyDescent="0.3">
      <c r="C18" s="175" t="s">
        <v>180</v>
      </c>
      <c r="F18" s="181">
        <f>SUM(F16:F17)</f>
        <v>290182</v>
      </c>
      <c r="G18" s="181">
        <f t="shared" ref="G18:T19" si="4">SUM(G16:G17)</f>
        <v>292032</v>
      </c>
      <c r="H18" s="181">
        <f t="shared" si="4"/>
        <v>293882</v>
      </c>
      <c r="I18" s="181">
        <f t="shared" si="4"/>
        <v>295593</v>
      </c>
      <c r="J18" s="181">
        <f t="shared" si="4"/>
        <v>297304</v>
      </c>
      <c r="K18" s="181">
        <f t="shared" si="4"/>
        <v>299015</v>
      </c>
      <c r="L18" s="181">
        <f t="shared" si="4"/>
        <v>300726</v>
      </c>
      <c r="M18" s="181">
        <f t="shared" si="4"/>
        <v>302437</v>
      </c>
      <c r="N18" s="181">
        <f t="shared" si="4"/>
        <v>304148</v>
      </c>
      <c r="O18" s="181">
        <f t="shared" si="4"/>
        <v>305859</v>
      </c>
      <c r="P18" s="181">
        <f t="shared" si="4"/>
        <v>307570</v>
      </c>
      <c r="Q18" s="181">
        <f t="shared" si="4"/>
        <v>309481</v>
      </c>
      <c r="R18" s="181">
        <f t="shared" si="4"/>
        <v>311392</v>
      </c>
      <c r="S18" s="181">
        <f t="shared" si="4"/>
        <v>313242</v>
      </c>
      <c r="T18" s="181">
        <f t="shared" si="4"/>
        <v>315092</v>
      </c>
      <c r="V18" s="1"/>
    </row>
    <row r="19" spans="1:22" x14ac:dyDescent="0.3">
      <c r="A19" s="146"/>
      <c r="B19" s="151"/>
      <c r="C19" s="184" t="s">
        <v>181</v>
      </c>
      <c r="D19" s="151"/>
      <c r="E19" s="151"/>
      <c r="F19" s="185">
        <f>SUM(F17:F18)</f>
        <v>290182</v>
      </c>
      <c r="G19" s="185">
        <f t="shared" si="4"/>
        <v>292032</v>
      </c>
      <c r="H19" s="185">
        <f t="shared" si="4"/>
        <v>293882</v>
      </c>
      <c r="I19" s="185">
        <f t="shared" si="4"/>
        <v>295593</v>
      </c>
      <c r="J19" s="185">
        <f t="shared" si="4"/>
        <v>297304</v>
      </c>
      <c r="K19" s="185">
        <f t="shared" si="4"/>
        <v>299015</v>
      </c>
      <c r="L19" s="185">
        <f t="shared" si="4"/>
        <v>300726</v>
      </c>
      <c r="M19" s="185">
        <f t="shared" si="4"/>
        <v>302437</v>
      </c>
      <c r="N19" s="185">
        <f t="shared" si="4"/>
        <v>304148</v>
      </c>
      <c r="O19" s="185">
        <f t="shared" si="4"/>
        <v>305859</v>
      </c>
      <c r="P19" s="185">
        <f t="shared" si="4"/>
        <v>307570</v>
      </c>
      <c r="Q19" s="185">
        <f t="shared" si="4"/>
        <v>309481</v>
      </c>
      <c r="R19" s="185">
        <f t="shared" si="4"/>
        <v>311392</v>
      </c>
      <c r="S19" s="185">
        <f t="shared" si="4"/>
        <v>313242</v>
      </c>
      <c r="T19" s="185">
        <f t="shared" si="4"/>
        <v>315092</v>
      </c>
      <c r="U19" s="158">
        <f>SUM(F19:Q19)</f>
        <v>3598229</v>
      </c>
      <c r="V19" s="1"/>
    </row>
    <row r="20" spans="1:22" x14ac:dyDescent="0.3">
      <c r="A20" s="162"/>
      <c r="B20" s="152"/>
      <c r="C20" s="186" t="s">
        <v>50</v>
      </c>
      <c r="D20" s="152"/>
      <c r="E20" s="152"/>
      <c r="F20" s="187">
        <f>F14+F19</f>
        <v>707493.31787996856</v>
      </c>
      <c r="G20" s="187">
        <f>G14+G19</f>
        <v>732470.53446011641</v>
      </c>
      <c r="H20" s="187">
        <f t="shared" ref="H20:T20" si="5">H14+H19</f>
        <v>758006.15461730561</v>
      </c>
      <c r="I20" s="187">
        <f t="shared" si="5"/>
        <v>783425.77259415807</v>
      </c>
      <c r="J20" s="187">
        <f t="shared" si="5"/>
        <v>809349.81117104716</v>
      </c>
      <c r="K20" s="187">
        <f t="shared" si="5"/>
        <v>836330.04076431505</v>
      </c>
      <c r="L20" s="187">
        <f t="shared" si="5"/>
        <v>864211.65626546484</v>
      </c>
      <c r="M20" s="187">
        <f t="shared" si="5"/>
        <v>892997.48232357809</v>
      </c>
      <c r="N20" s="187">
        <f t="shared" si="5"/>
        <v>923753.70858931961</v>
      </c>
      <c r="O20" s="187">
        <f t="shared" si="5"/>
        <v>956590.55455174344</v>
      </c>
      <c r="P20" s="187">
        <f t="shared" si="5"/>
        <v>990846.17394225998</v>
      </c>
      <c r="Q20" s="187">
        <f t="shared" si="5"/>
        <v>1020672.8304843161</v>
      </c>
      <c r="R20" s="187">
        <f t="shared" si="5"/>
        <v>1033781.2304843161</v>
      </c>
      <c r="S20" s="187">
        <f t="shared" si="5"/>
        <v>1058006.247064464</v>
      </c>
      <c r="T20" s="187">
        <f t="shared" si="5"/>
        <v>1082789.6672216533</v>
      </c>
      <c r="U20" s="153">
        <f>SUM(F20:Q20)</f>
        <v>10276148.037643591</v>
      </c>
      <c r="V20" s="1"/>
    </row>
    <row r="21" spans="1:22" x14ac:dyDescent="0.3">
      <c r="C21" s="183" t="s">
        <v>51</v>
      </c>
      <c r="F21"/>
      <c r="I21" s="176"/>
      <c r="K21" s="176"/>
      <c r="S21" s="176"/>
      <c r="T21" s="176"/>
      <c r="V21" s="1"/>
    </row>
    <row r="22" spans="1:22" x14ac:dyDescent="0.3">
      <c r="C22" s="175" t="s">
        <v>182</v>
      </c>
      <c r="F22" s="176"/>
      <c r="G22" s="176"/>
      <c r="Q22" s="176"/>
      <c r="V22" s="1"/>
    </row>
    <row r="23" spans="1:22" x14ac:dyDescent="0.3">
      <c r="C23" s="175" t="s">
        <v>183</v>
      </c>
      <c r="F23"/>
      <c r="H23" s="176"/>
      <c r="J23" s="176"/>
      <c r="V23" s="1"/>
    </row>
    <row r="24" spans="1:22" x14ac:dyDescent="0.3">
      <c r="C24" s="173" t="s">
        <v>184</v>
      </c>
      <c r="F24" s="451">
        <f>'IS 2025'!F71</f>
        <v>-3378.4</v>
      </c>
      <c r="G24" s="451">
        <f>'IS 2025'!G71</f>
        <v>-3520.6000000000004</v>
      </c>
      <c r="H24" s="451">
        <f>'IS 2025'!H71</f>
        <v>-3763.2000000000003</v>
      </c>
      <c r="I24" s="451">
        <f>'IS 2025'!I71</f>
        <v>-4583.2</v>
      </c>
      <c r="J24" s="451">
        <f>'IS 2025'!J71</f>
        <v>-5175.8</v>
      </c>
      <c r="K24" s="451">
        <f>'IS 2025'!K71</f>
        <v>-5472.6</v>
      </c>
      <c r="L24" s="451">
        <f>'IS 2025'!L71</f>
        <v>-5600.2000000000007</v>
      </c>
      <c r="M24" s="451">
        <f>'IS 2025'!M71</f>
        <v>-5653</v>
      </c>
      <c r="N24" s="451">
        <f>'IS 2025'!N71</f>
        <v>-4855.6000000000004</v>
      </c>
      <c r="O24" s="451">
        <f>'IS 2025'!O71</f>
        <v>-4298</v>
      </c>
      <c r="P24" s="451">
        <f>'IS 2025'!P71</f>
        <v>-4408.2</v>
      </c>
      <c r="Q24" s="451">
        <f>'IS 2025'!Q71</f>
        <v>-3910</v>
      </c>
      <c r="R24" s="451">
        <f>'IS 2025'!R71</f>
        <v>-4130.6000000000004</v>
      </c>
      <c r="S24" s="451">
        <f>'IS 2025'!S71</f>
        <v>-4272.8</v>
      </c>
      <c r="T24" s="451">
        <f>'IS 2025'!T71</f>
        <v>-4515.4000000000005</v>
      </c>
      <c r="V24" s="1"/>
    </row>
    <row r="25" spans="1:22" x14ac:dyDescent="0.3">
      <c r="A25" s="151"/>
      <c r="B25" s="151"/>
      <c r="C25" s="177" t="s">
        <v>185</v>
      </c>
      <c r="D25" s="151"/>
      <c r="E25" s="151"/>
      <c r="F25" s="158">
        <f>SUM(F22:F24)</f>
        <v>-3378.4</v>
      </c>
      <c r="G25" s="158">
        <f t="shared" ref="G25:T25" si="6">SUM(G22:G24)</f>
        <v>-3520.6000000000004</v>
      </c>
      <c r="H25" s="158">
        <f t="shared" si="6"/>
        <v>-3763.2000000000003</v>
      </c>
      <c r="I25" s="158">
        <f t="shared" si="6"/>
        <v>-4583.2</v>
      </c>
      <c r="J25" s="158">
        <f t="shared" si="6"/>
        <v>-5175.8</v>
      </c>
      <c r="K25" s="158">
        <f t="shared" si="6"/>
        <v>-5472.6</v>
      </c>
      <c r="L25" s="158">
        <f t="shared" si="6"/>
        <v>-5600.2000000000007</v>
      </c>
      <c r="M25" s="158">
        <f t="shared" si="6"/>
        <v>-5653</v>
      </c>
      <c r="N25" s="158">
        <f t="shared" si="6"/>
        <v>-4855.6000000000004</v>
      </c>
      <c r="O25" s="158">
        <f t="shared" si="6"/>
        <v>-4298</v>
      </c>
      <c r="P25" s="158">
        <f t="shared" si="6"/>
        <v>-4408.2</v>
      </c>
      <c r="Q25" s="158">
        <f t="shared" si="6"/>
        <v>-3910</v>
      </c>
      <c r="R25" s="158">
        <f t="shared" si="6"/>
        <v>-4130.6000000000004</v>
      </c>
      <c r="S25" s="158">
        <f t="shared" si="6"/>
        <v>-4272.8</v>
      </c>
      <c r="T25" s="158">
        <f t="shared" si="6"/>
        <v>-4515.4000000000005</v>
      </c>
      <c r="U25" s="158">
        <f>SUM(F25:Q25)</f>
        <v>-54618.799999999996</v>
      </c>
      <c r="V25" s="1"/>
    </row>
    <row r="26" spans="1:22" x14ac:dyDescent="0.3">
      <c r="A26" s="152"/>
      <c r="B26" s="152"/>
      <c r="C26" s="188" t="s">
        <v>52</v>
      </c>
      <c r="D26" s="152"/>
      <c r="E26" s="152"/>
      <c r="F26" s="153"/>
      <c r="G26" s="152"/>
      <c r="H26" s="152"/>
      <c r="I26" s="153"/>
      <c r="J26" s="152"/>
      <c r="K26" s="153"/>
      <c r="L26" s="189"/>
      <c r="M26" s="189"/>
      <c r="N26" s="189"/>
      <c r="O26" s="189"/>
      <c r="P26" s="189"/>
      <c r="Q26" s="152"/>
      <c r="R26" s="189"/>
      <c r="S26" s="153"/>
      <c r="T26" s="153"/>
      <c r="U26" s="152"/>
      <c r="V26" s="1"/>
    </row>
    <row r="27" spans="1:22" x14ac:dyDescent="0.3">
      <c r="C27" s="172" t="s">
        <v>186</v>
      </c>
      <c r="F27" s="452">
        <f>'BS 2024'!R27</f>
        <v>-118000</v>
      </c>
      <c r="G27" s="452">
        <f>'BS 2024'!S27</f>
        <v>-112500</v>
      </c>
      <c r="H27" s="452">
        <f>'BS 2024'!T27</f>
        <v>-107000</v>
      </c>
      <c r="I27" s="452">
        <f>H27-'CF 2025'!J41</f>
        <v>-101500</v>
      </c>
      <c r="J27" s="452">
        <f>I27-'CF 2025'!K41</f>
        <v>-96000</v>
      </c>
      <c r="K27" s="452">
        <f>J27-'CF 2025'!L41</f>
        <v>-90500</v>
      </c>
      <c r="L27" s="452">
        <f>K27-'CF 2025'!M41</f>
        <v>-85000</v>
      </c>
      <c r="M27" s="452">
        <f>L27-'CF 2025'!N41</f>
        <v>-79500</v>
      </c>
      <c r="N27" s="452">
        <f>M27-'CF 2025'!O41</f>
        <v>-74000</v>
      </c>
      <c r="O27" s="452">
        <f>N27-'CF 2025'!P41</f>
        <v>-68500</v>
      </c>
      <c r="P27" s="452">
        <f>O27-'CF 2025'!Q41</f>
        <v>-63000</v>
      </c>
      <c r="Q27" s="452">
        <f>P27-'CF 2025'!R41</f>
        <v>-57500</v>
      </c>
      <c r="R27" s="452">
        <f>Q27-'CF 2025'!S41</f>
        <v>-52000</v>
      </c>
      <c r="S27" s="452">
        <f>R27-'CF 2025'!T41</f>
        <v>-46500</v>
      </c>
      <c r="T27" s="452">
        <f>S27-'CF 2025'!U41</f>
        <v>-41000</v>
      </c>
      <c r="U27" s="219">
        <f>SUM(F27:Q27)</f>
        <v>-1053000</v>
      </c>
      <c r="V27" s="1"/>
    </row>
    <row r="28" spans="1:22" ht="12.6" customHeight="1" x14ac:dyDescent="0.3">
      <c r="C28" s="173"/>
      <c r="F28"/>
      <c r="J28" s="174" t="s">
        <v>192</v>
      </c>
      <c r="U28" s="337"/>
      <c r="V28" s="1"/>
    </row>
    <row r="29" spans="1:22" x14ac:dyDescent="0.3">
      <c r="C29" s="172" t="s">
        <v>187</v>
      </c>
      <c r="F29" s="174"/>
      <c r="G29" s="174"/>
      <c r="H29" s="174"/>
      <c r="Q29" s="174"/>
      <c r="U29" s="337"/>
      <c r="V29" s="1"/>
    </row>
    <row r="30" spans="1:22" x14ac:dyDescent="0.3">
      <c r="C30" s="175" t="s">
        <v>195</v>
      </c>
      <c r="F30" s="174"/>
      <c r="G30" s="174"/>
      <c r="H30" s="174"/>
      <c r="Q30" s="174"/>
      <c r="U30" s="337"/>
      <c r="V30" s="1"/>
    </row>
    <row r="31" spans="1:22" x14ac:dyDescent="0.3">
      <c r="C31" s="172" t="s">
        <v>188</v>
      </c>
      <c r="F31" s="452">
        <f>SUM(F27:F29)</f>
        <v>-118000</v>
      </c>
      <c r="G31" s="452">
        <f t="shared" ref="G31:T31" si="7">SUM(G27:G29)</f>
        <v>-112500</v>
      </c>
      <c r="H31" s="452">
        <f t="shared" si="7"/>
        <v>-107000</v>
      </c>
      <c r="I31" s="452">
        <f t="shared" si="7"/>
        <v>-101500</v>
      </c>
      <c r="J31" s="452">
        <f t="shared" si="7"/>
        <v>-96000</v>
      </c>
      <c r="K31" s="452">
        <f t="shared" si="7"/>
        <v>-90500</v>
      </c>
      <c r="L31" s="452">
        <f t="shared" si="7"/>
        <v>-85000</v>
      </c>
      <c r="M31" s="452">
        <f t="shared" si="7"/>
        <v>-79500</v>
      </c>
      <c r="N31" s="452">
        <f t="shared" si="7"/>
        <v>-74000</v>
      </c>
      <c r="O31" s="452">
        <f t="shared" si="7"/>
        <v>-68500</v>
      </c>
      <c r="P31" s="452">
        <f t="shared" si="7"/>
        <v>-63000</v>
      </c>
      <c r="Q31" s="452">
        <f t="shared" si="7"/>
        <v>-57500</v>
      </c>
      <c r="R31" s="452">
        <f t="shared" si="7"/>
        <v>-52000</v>
      </c>
      <c r="S31" s="452">
        <f t="shared" si="7"/>
        <v>-46500</v>
      </c>
      <c r="T31" s="452">
        <f t="shared" si="7"/>
        <v>-41000</v>
      </c>
      <c r="U31" s="337"/>
      <c r="V31" s="1"/>
    </row>
    <row r="32" spans="1:22" x14ac:dyDescent="0.3">
      <c r="C32" s="172" t="s">
        <v>53</v>
      </c>
      <c r="F32" s="452">
        <f>F31+F25</f>
        <v>-121378.4</v>
      </c>
      <c r="G32" s="452">
        <f t="shared" ref="G32:T32" si="8">G31+G24</f>
        <v>-116020.6</v>
      </c>
      <c r="H32" s="452">
        <f t="shared" si="8"/>
        <v>-110763.2</v>
      </c>
      <c r="I32" s="452">
        <f t="shared" si="8"/>
        <v>-106083.2</v>
      </c>
      <c r="J32" s="452">
        <f t="shared" si="8"/>
        <v>-101175.8</v>
      </c>
      <c r="K32" s="452">
        <f t="shared" si="8"/>
        <v>-95972.6</v>
      </c>
      <c r="L32" s="452">
        <f t="shared" si="8"/>
        <v>-90600.2</v>
      </c>
      <c r="M32" s="452">
        <f t="shared" si="8"/>
        <v>-85153</v>
      </c>
      <c r="N32" s="452">
        <f t="shared" si="8"/>
        <v>-78855.600000000006</v>
      </c>
      <c r="O32" s="452">
        <f t="shared" si="8"/>
        <v>-72798</v>
      </c>
      <c r="P32" s="452">
        <f t="shared" si="8"/>
        <v>-67408.2</v>
      </c>
      <c r="Q32" s="452">
        <f t="shared" si="8"/>
        <v>-61410</v>
      </c>
      <c r="R32" s="452">
        <f t="shared" si="8"/>
        <v>-56130.6</v>
      </c>
      <c r="S32" s="452">
        <f t="shared" si="8"/>
        <v>-50772.800000000003</v>
      </c>
      <c r="T32" s="452">
        <f t="shared" si="8"/>
        <v>-45515.4</v>
      </c>
      <c r="U32" s="337"/>
      <c r="V32" s="1"/>
    </row>
    <row r="33" spans="3:22" x14ac:dyDescent="0.3">
      <c r="C33" s="172" t="s">
        <v>54</v>
      </c>
      <c r="F33" s="218">
        <f>F20+F27+F32</f>
        <v>468114.91787996853</v>
      </c>
      <c r="G33" s="218">
        <f>G20+G27+G32</f>
        <v>503949.93446011643</v>
      </c>
      <c r="H33" s="218">
        <f t="shared" ref="H33:T33" si="9">H20+H27+H32</f>
        <v>540242.95461730566</v>
      </c>
      <c r="I33" s="218">
        <f t="shared" si="9"/>
        <v>575842.57259415812</v>
      </c>
      <c r="J33" s="218">
        <f t="shared" si="9"/>
        <v>612174.01117104711</v>
      </c>
      <c r="K33" s="218">
        <f t="shared" si="9"/>
        <v>649857.44076431508</v>
      </c>
      <c r="L33" s="218">
        <f t="shared" si="9"/>
        <v>688611.45626546489</v>
      </c>
      <c r="M33" s="218">
        <f t="shared" si="9"/>
        <v>728344.48232357809</v>
      </c>
      <c r="N33" s="218">
        <f t="shared" si="9"/>
        <v>770898.10858931963</v>
      </c>
      <c r="O33" s="218">
        <f t="shared" si="9"/>
        <v>815292.55455174344</v>
      </c>
      <c r="P33" s="218">
        <f t="shared" si="9"/>
        <v>860437.97394226003</v>
      </c>
      <c r="Q33" s="218">
        <f t="shared" si="9"/>
        <v>901762.8304843161</v>
      </c>
      <c r="R33" s="218">
        <f t="shared" si="9"/>
        <v>925650.63048431615</v>
      </c>
      <c r="S33" s="218">
        <f t="shared" si="9"/>
        <v>960733.44706446398</v>
      </c>
      <c r="T33" s="218">
        <f t="shared" si="9"/>
        <v>996274.26722165325</v>
      </c>
      <c r="U33" s="453">
        <f>SUM(F33:Q33)</f>
        <v>8115529.237643593</v>
      </c>
      <c r="V33" s="1"/>
    </row>
    <row r="34" spans="3:22" x14ac:dyDescent="0.3">
      <c r="C34" s="175" t="s">
        <v>56</v>
      </c>
      <c r="F34" s="173"/>
      <c r="G34" s="173"/>
      <c r="H34" s="173"/>
      <c r="I34" s="173"/>
      <c r="J34" s="174"/>
      <c r="K34" s="174"/>
      <c r="L34" s="174"/>
      <c r="M34" s="174"/>
      <c r="N34" s="174"/>
      <c r="O34" s="174"/>
      <c r="P34" s="174"/>
      <c r="Q34" s="173"/>
      <c r="R34" s="174"/>
      <c r="S34" s="174"/>
      <c r="T34" s="174"/>
      <c r="V34" s="1"/>
    </row>
    <row r="35" spans="3:22" x14ac:dyDescent="0.3">
      <c r="C35" s="175" t="s">
        <v>58</v>
      </c>
      <c r="F35" s="174">
        <f>SUM(F33:F34)</f>
        <v>468114.91787996853</v>
      </c>
      <c r="G35" s="174">
        <f t="shared" ref="G35:T35" si="10">SUM(G33:G34)</f>
        <v>503949.93446011643</v>
      </c>
      <c r="H35" s="174">
        <f t="shared" si="10"/>
        <v>540242.95461730566</v>
      </c>
      <c r="I35" s="174">
        <f t="shared" si="10"/>
        <v>575842.57259415812</v>
      </c>
      <c r="J35" s="174">
        <f t="shared" si="10"/>
        <v>612174.01117104711</v>
      </c>
      <c r="K35" s="174">
        <f t="shared" si="10"/>
        <v>649857.44076431508</v>
      </c>
      <c r="L35" s="174">
        <f t="shared" si="10"/>
        <v>688611.45626546489</v>
      </c>
      <c r="M35" s="174">
        <f t="shared" si="10"/>
        <v>728344.48232357809</v>
      </c>
      <c r="N35" s="174">
        <f t="shared" si="10"/>
        <v>770898.10858931963</v>
      </c>
      <c r="O35" s="174">
        <f t="shared" si="10"/>
        <v>815292.55455174344</v>
      </c>
      <c r="P35" s="174">
        <f t="shared" si="10"/>
        <v>860437.97394226003</v>
      </c>
      <c r="Q35" s="174">
        <f t="shared" si="10"/>
        <v>901762.8304843161</v>
      </c>
      <c r="R35" s="174">
        <f t="shared" si="10"/>
        <v>925650.63048431615</v>
      </c>
      <c r="S35" s="174">
        <f t="shared" si="10"/>
        <v>960733.44706446398</v>
      </c>
      <c r="T35" s="174">
        <f t="shared" si="10"/>
        <v>996274.26722165325</v>
      </c>
      <c r="V35" s="1"/>
    </row>
    <row r="36" spans="3:22" x14ac:dyDescent="0.3">
      <c r="C36" s="182" t="s">
        <v>59</v>
      </c>
      <c r="F36" s="174">
        <f>F34+F35</f>
        <v>468114.91787996853</v>
      </c>
      <c r="G36" s="174">
        <f t="shared" ref="G36:T36" si="11">G34+G35</f>
        <v>503949.93446011643</v>
      </c>
      <c r="H36" s="174">
        <f t="shared" si="11"/>
        <v>540242.95461730566</v>
      </c>
      <c r="I36" s="174">
        <f t="shared" si="11"/>
        <v>575842.57259415812</v>
      </c>
      <c r="J36" s="174">
        <f t="shared" si="11"/>
        <v>612174.01117104711</v>
      </c>
      <c r="K36" s="174">
        <f t="shared" si="11"/>
        <v>649857.44076431508</v>
      </c>
      <c r="L36" s="174">
        <f t="shared" si="11"/>
        <v>688611.45626546489</v>
      </c>
      <c r="M36" s="174">
        <f t="shared" si="11"/>
        <v>728344.48232357809</v>
      </c>
      <c r="N36" s="174">
        <f t="shared" si="11"/>
        <v>770898.10858931963</v>
      </c>
      <c r="O36" s="174">
        <f t="shared" si="11"/>
        <v>815292.55455174344</v>
      </c>
      <c r="P36" s="174">
        <f t="shared" si="11"/>
        <v>860437.97394226003</v>
      </c>
      <c r="Q36" s="174">
        <f t="shared" si="11"/>
        <v>901762.8304843161</v>
      </c>
      <c r="R36" s="174">
        <f t="shared" si="11"/>
        <v>925650.63048431615</v>
      </c>
      <c r="S36" s="174">
        <f t="shared" si="11"/>
        <v>960733.44706446398</v>
      </c>
      <c r="T36" s="174">
        <f t="shared" si="11"/>
        <v>996274.26722165325</v>
      </c>
      <c r="V36" s="1"/>
    </row>
    <row r="37" spans="3:22" x14ac:dyDescent="0.3">
      <c r="C37" s="175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V37" s="1"/>
    </row>
    <row r="38" spans="3:22" x14ac:dyDescent="0.3">
      <c r="C38" s="175" t="s">
        <v>189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V38" s="1"/>
    </row>
    <row r="39" spans="3:22" x14ac:dyDescent="0.3">
      <c r="C39" s="175" t="s">
        <v>190</v>
      </c>
      <c r="F39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V39" s="1"/>
    </row>
    <row r="40" spans="3:22" x14ac:dyDescent="0.3">
      <c r="C40" s="175" t="s">
        <v>191</v>
      </c>
      <c r="F40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V40" s="1"/>
    </row>
    <row r="41" spans="3:22" x14ac:dyDescent="0.3">
      <c r="C41" s="175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1" zoomScale="97" zoomScaleNormal="97" workbookViewId="0">
      <selection activeCell="I60" sqref="I60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7" t="s">
        <v>224</v>
      </c>
      <c r="C2" s="177"/>
      <c r="D2" s="177"/>
      <c r="E2" s="177"/>
      <c r="F2" s="151"/>
      <c r="G2" s="151"/>
      <c r="H2" s="151"/>
      <c r="I2" s="151"/>
      <c r="J2" s="151"/>
      <c r="K2" s="349" t="s">
        <v>229</v>
      </c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4" spans="2:22" x14ac:dyDescent="0.3">
      <c r="B4" s="190" t="s">
        <v>20</v>
      </c>
      <c r="C4" s="190"/>
      <c r="D4" s="190"/>
      <c r="E4" s="191">
        <v>2023</v>
      </c>
      <c r="F4" s="191">
        <v>2024</v>
      </c>
      <c r="G4" s="191">
        <v>2025</v>
      </c>
      <c r="H4" s="191">
        <v>2026</v>
      </c>
      <c r="I4" s="191">
        <v>2027</v>
      </c>
      <c r="J4" s="190"/>
      <c r="K4" s="191" t="s">
        <v>25</v>
      </c>
      <c r="L4" s="191" t="s">
        <v>26</v>
      </c>
      <c r="M4" s="191" t="s">
        <v>27</v>
      </c>
      <c r="N4" s="191" t="s">
        <v>28</v>
      </c>
      <c r="O4" s="191" t="s">
        <v>29</v>
      </c>
      <c r="P4" s="191" t="s">
        <v>30</v>
      </c>
      <c r="Q4" s="191" t="s">
        <v>31</v>
      </c>
      <c r="R4" s="191" t="s">
        <v>32</v>
      </c>
      <c r="S4" s="191" t="s">
        <v>33</v>
      </c>
      <c r="T4" s="191" t="s">
        <v>34</v>
      </c>
      <c r="U4" s="191" t="s">
        <v>35</v>
      </c>
      <c r="V4" s="191" t="s">
        <v>36</v>
      </c>
    </row>
    <row r="5" spans="2:22" x14ac:dyDescent="0.3">
      <c r="B5" t="s">
        <v>37</v>
      </c>
      <c r="E5" s="203">
        <f>'Statements Summary 2023'!V5</f>
        <v>25770</v>
      </c>
      <c r="F5" s="203">
        <f>'Statements Summary 2024'!V5</f>
        <v>40525.656542056073</v>
      </c>
      <c r="G5" s="203">
        <f t="shared" ref="G5:G17" si="0">V5</f>
        <v>40525.656542056073</v>
      </c>
      <c r="H5" s="203">
        <f>'Statements Summary 2026'!V5</f>
        <v>40525.656542056073</v>
      </c>
      <c r="I5" s="203">
        <f>'Statements Summary 2027'!V5</f>
        <v>40525.656542056073</v>
      </c>
      <c r="K5" s="203">
        <f>'CF 2025'!G55</f>
        <v>26873</v>
      </c>
      <c r="L5" s="203">
        <f>'CF 2025'!H55</f>
        <v>38097.816580147868</v>
      </c>
      <c r="M5" s="203">
        <f>'CF 2025'!I55</f>
        <v>38623.82015718909</v>
      </c>
      <c r="N5" s="203">
        <f>'CF 2025'!J55</f>
        <v>39191.817976852544</v>
      </c>
      <c r="O5" s="203">
        <f>'CF 2025'!K55</f>
        <v>40013.838576889153</v>
      </c>
      <c r="P5" s="203">
        <f>'CF 2025'!L55</f>
        <v>41091.829593267881</v>
      </c>
      <c r="Q5" s="203">
        <f>'CF 2025'!M55</f>
        <v>41845.815501149737</v>
      </c>
      <c r="R5" s="203">
        <f>'CF 2025'!N55</f>
        <v>42527.826058113307</v>
      </c>
      <c r="S5" s="203">
        <f>'CF 2025'!O55</f>
        <v>43425.826265741453</v>
      </c>
      <c r="T5" s="203">
        <f>'CF 2025'!P55</f>
        <v>44673.845962423788</v>
      </c>
      <c r="U5" s="203">
        <f>'CF 2025'!Q55</f>
        <v>45927.819390516532</v>
      </c>
      <c r="V5" s="203">
        <f>'CF 2025'!R55</f>
        <v>40525.656542056073</v>
      </c>
    </row>
    <row r="6" spans="2:22" x14ac:dyDescent="0.3">
      <c r="B6" t="s">
        <v>38</v>
      </c>
      <c r="E6" s="203">
        <f>'Statements Summary 2023'!V6</f>
        <v>0</v>
      </c>
      <c r="F6" s="203">
        <f>'Statements Summary 2024'!V6</f>
        <v>-325</v>
      </c>
      <c r="G6" s="203">
        <f t="shared" si="0"/>
        <v>-325</v>
      </c>
      <c r="H6" s="203">
        <f>'Statements Summary 2026'!V6</f>
        <v>-325</v>
      </c>
      <c r="I6" s="203">
        <f>'Statements Summary 2027'!V6</f>
        <v>-325</v>
      </c>
      <c r="K6" s="203">
        <f>'CF 2025'!G25</f>
        <v>-325</v>
      </c>
      <c r="L6" s="203">
        <f>'CF 2025'!H25</f>
        <v>-325</v>
      </c>
      <c r="M6" s="203">
        <f>'CF 2025'!I25</f>
        <v>-325</v>
      </c>
      <c r="N6" s="203">
        <f>'CF 2025'!J25</f>
        <v>-325</v>
      </c>
      <c r="O6" s="203">
        <f>'CF 2025'!K25</f>
        <v>-325</v>
      </c>
      <c r="P6" s="203">
        <f>'CF 2025'!L25</f>
        <v>-325</v>
      </c>
      <c r="Q6" s="203">
        <f>'CF 2025'!M25</f>
        <v>-325</v>
      </c>
      <c r="R6" s="203">
        <f>'CF 2025'!N25</f>
        <v>-325</v>
      </c>
      <c r="S6" s="203">
        <f>'CF 2025'!O25</f>
        <v>-325</v>
      </c>
      <c r="T6" s="203">
        <f>'CF 2025'!P25</f>
        <v>-325</v>
      </c>
      <c r="U6" s="203">
        <f>'CF 2025'!Q25</f>
        <v>-325</v>
      </c>
      <c r="V6" s="203">
        <f>'CF 2025'!R25</f>
        <v>-325</v>
      </c>
    </row>
    <row r="7" spans="2:22" x14ac:dyDescent="0.3">
      <c r="B7" t="s">
        <v>39</v>
      </c>
      <c r="E7" s="203">
        <f>'Statements Summary 2023'!V7</f>
        <v>-5500</v>
      </c>
      <c r="F7" s="203">
        <f>'Statements Summary 2024'!V7</f>
        <v>-5500</v>
      </c>
      <c r="G7" s="203">
        <f t="shared" si="0"/>
        <v>-5500</v>
      </c>
      <c r="H7" s="203">
        <f>'Statements Summary 2026'!V7</f>
        <v>0</v>
      </c>
      <c r="I7" s="203">
        <f>'Statements Summary 2027'!V7</f>
        <v>0</v>
      </c>
      <c r="K7" s="203" t="s">
        <v>192</v>
      </c>
      <c r="L7" s="203">
        <f>'CF 2025'!H41</f>
        <v>-5500</v>
      </c>
      <c r="M7" s="203">
        <f>'CF 2025'!I41</f>
        <v>-5500</v>
      </c>
      <c r="N7" s="203">
        <f>'CF 2025'!J41</f>
        <v>-5500</v>
      </c>
      <c r="O7" s="203">
        <f>'CF 2025'!K41</f>
        <v>-5500</v>
      </c>
      <c r="P7" s="203">
        <f>'CF 2025'!L41</f>
        <v>-5500</v>
      </c>
      <c r="Q7" s="203">
        <f>'CF 2025'!M41</f>
        <v>-5500</v>
      </c>
      <c r="R7" s="203">
        <f>'CF 2025'!N41</f>
        <v>-5500</v>
      </c>
      <c r="S7" s="203">
        <f>'CF 2025'!O41</f>
        <v>-5500</v>
      </c>
      <c r="T7" s="203">
        <f>'CF 2025'!P41</f>
        <v>-5500</v>
      </c>
      <c r="U7" s="203">
        <f>'CF 2025'!Q41</f>
        <v>-5500</v>
      </c>
      <c r="V7" s="203">
        <f>'CF 2025'!R41</f>
        <v>-5500</v>
      </c>
    </row>
    <row r="8" spans="2:22" x14ac:dyDescent="0.3">
      <c r="B8" t="s">
        <v>14</v>
      </c>
      <c r="E8" s="203">
        <f>'Statements Summary 2023'!V8</f>
        <v>12762</v>
      </c>
      <c r="F8" s="203">
        <f>'Statements Summary 2024'!V8</f>
        <v>30423.656542056073</v>
      </c>
      <c r="G8" s="203">
        <f t="shared" si="0"/>
        <v>47635.656542056073</v>
      </c>
      <c r="H8" s="203">
        <f>'Statements Summary 2026'!V8</f>
        <v>33415.656542056073</v>
      </c>
      <c r="I8" s="203">
        <f>'Statements Summary 2027'!V8</f>
        <v>33415.656542056073</v>
      </c>
      <c r="K8" s="203">
        <f>'CF 2025'!G30</f>
        <v>36476.400000000001</v>
      </c>
      <c r="L8" s="203">
        <f>'CF 2025'!H30</f>
        <v>47568.416580147867</v>
      </c>
      <c r="M8" s="203">
        <f>'CF 2025'!I30</f>
        <v>48062.020157189094</v>
      </c>
      <c r="N8" s="203">
        <f>'CF 2025'!J30</f>
        <v>49175.017976852541</v>
      </c>
      <c r="O8" s="203">
        <f>'CF 2025'!K30</f>
        <v>50314.638576889149</v>
      </c>
      <c r="P8" s="203">
        <f>'CF 2025'!L30</f>
        <v>51414.42959326788</v>
      </c>
      <c r="Q8" s="203">
        <f>'CF 2025'!M30</f>
        <v>52021.015501149741</v>
      </c>
      <c r="R8" s="203">
        <f>'CF 2025'!N30</f>
        <v>52480.826058113307</v>
      </c>
      <c r="S8" s="203">
        <f>'CF 2025'!O30</f>
        <v>52306.426265741451</v>
      </c>
      <c r="T8" s="203">
        <f>'CF 2025'!P30</f>
        <v>52721.845962423788</v>
      </c>
      <c r="U8" s="203">
        <f>'CF 2025'!Q30</f>
        <v>53811.019390516529</v>
      </c>
      <c r="V8" s="203">
        <f>'CF 2025'!R30</f>
        <v>47635.656542056073</v>
      </c>
    </row>
    <row r="9" spans="2:22" x14ac:dyDescent="0.3">
      <c r="B9" t="s">
        <v>40</v>
      </c>
      <c r="E9" s="203" t="str">
        <f>'Statements Summary 2023'!V9</f>
        <v>-</v>
      </c>
      <c r="F9" s="203" t="str">
        <f>'Statements Summary 2024'!V9</f>
        <v>-</v>
      </c>
      <c r="G9" s="203">
        <f t="shared" si="0"/>
        <v>0</v>
      </c>
      <c r="H9" s="203">
        <f>'Statements Summary 2026'!V9</f>
        <v>0</v>
      </c>
      <c r="I9" s="203">
        <f>'Statements Summary 2027'!V9</f>
        <v>0</v>
      </c>
      <c r="K9" s="203">
        <f>'CF 2025'!G35</f>
        <v>0</v>
      </c>
      <c r="L9" s="203">
        <f>'CF 2025'!H35</f>
        <v>0</v>
      </c>
      <c r="M9" s="203">
        <f>'CF 2025'!I35</f>
        <v>0</v>
      </c>
      <c r="N9" s="203">
        <f>'CF 2025'!J35</f>
        <v>0</v>
      </c>
      <c r="O9" s="203">
        <f>'CF 2025'!K35</f>
        <v>0</v>
      </c>
      <c r="P9" s="203">
        <f>'CF 2025'!L35</f>
        <v>0</v>
      </c>
      <c r="Q9" s="203">
        <f>'CF 2025'!M35</f>
        <v>0</v>
      </c>
      <c r="R9" s="203">
        <f>'CF 2025'!N35</f>
        <v>0</v>
      </c>
      <c r="S9" s="203">
        <f>'CF 2025'!O35</f>
        <v>0</v>
      </c>
      <c r="T9" s="203">
        <f>'CF 2025'!P35</f>
        <v>0</v>
      </c>
      <c r="U9" s="203">
        <f>'CF 2025'!Q35</f>
        <v>0</v>
      </c>
      <c r="V9" s="203">
        <f>'CF 2025'!R35</f>
        <v>0</v>
      </c>
    </row>
    <row r="10" spans="2:22" x14ac:dyDescent="0.3">
      <c r="B10" t="s">
        <v>41</v>
      </c>
      <c r="E10" s="203" t="str">
        <f>'Statements Summary 2023'!V10</f>
        <v>-</v>
      </c>
      <c r="F10" s="203" t="str">
        <f>'Statements Summary 2024'!V10</f>
        <v>-</v>
      </c>
      <c r="G10" s="203" t="str">
        <f t="shared" si="0"/>
        <v>-</v>
      </c>
      <c r="H10" s="203" t="str">
        <f>'Statements Summary 2026'!V10</f>
        <v>-</v>
      </c>
      <c r="I10" s="203" t="str">
        <f>'Statements Summary 2027'!V10</f>
        <v>-</v>
      </c>
      <c r="K10" s="203" t="s">
        <v>192</v>
      </c>
      <c r="L10" s="203" t="s">
        <v>192</v>
      </c>
      <c r="M10" s="203" t="s">
        <v>192</v>
      </c>
      <c r="N10" s="203" t="s">
        <v>192</v>
      </c>
      <c r="O10" s="203" t="s">
        <v>192</v>
      </c>
      <c r="P10" s="203" t="s">
        <v>192</v>
      </c>
      <c r="Q10" s="203" t="s">
        <v>192</v>
      </c>
      <c r="R10" s="203" t="s">
        <v>192</v>
      </c>
      <c r="S10" s="203" t="s">
        <v>192</v>
      </c>
      <c r="T10" s="203" t="s">
        <v>192</v>
      </c>
      <c r="U10" s="203" t="s">
        <v>192</v>
      </c>
      <c r="V10" s="203" t="s">
        <v>192</v>
      </c>
    </row>
    <row r="11" spans="2:22" x14ac:dyDescent="0.3">
      <c r="B11" t="s">
        <v>42</v>
      </c>
      <c r="E11" s="203" t="str">
        <f>'Statements Summary 2023'!V11</f>
        <v>-</v>
      </c>
      <c r="F11" s="203" t="str">
        <f>'Statements Summary 2024'!V11</f>
        <v>-</v>
      </c>
      <c r="G11" s="203" t="str">
        <f t="shared" si="0"/>
        <v>-</v>
      </c>
      <c r="H11" s="203" t="str">
        <f>'Statements Summary 2026'!V11</f>
        <v>-</v>
      </c>
      <c r="I11" s="203" t="str">
        <f>'Statements Summary 2027'!V11</f>
        <v>-</v>
      </c>
      <c r="K11" s="203">
        <f>'CF 2025'!G35</f>
        <v>0</v>
      </c>
      <c r="L11" s="203" t="s">
        <v>192</v>
      </c>
      <c r="M11" s="203" t="s">
        <v>192</v>
      </c>
      <c r="N11" s="203" t="s">
        <v>192</v>
      </c>
      <c r="O11" s="203" t="s">
        <v>192</v>
      </c>
      <c r="P11" s="203" t="s">
        <v>192</v>
      </c>
      <c r="Q11" s="203" t="s">
        <v>192</v>
      </c>
      <c r="R11" s="203" t="s">
        <v>192</v>
      </c>
      <c r="S11" s="203" t="s">
        <v>192</v>
      </c>
      <c r="T11" s="203" t="s">
        <v>192</v>
      </c>
      <c r="U11" s="203" t="s">
        <v>192</v>
      </c>
      <c r="V11" s="203" t="s">
        <v>192</v>
      </c>
    </row>
    <row r="12" spans="2:22" x14ac:dyDescent="0.3">
      <c r="B12" t="s">
        <v>43</v>
      </c>
      <c r="E12" s="203">
        <f>'Statements Summary 2023'!V12</f>
        <v>-5500</v>
      </c>
      <c r="F12" s="203">
        <f>'Statements Summary 2024'!V12</f>
        <v>-5500</v>
      </c>
      <c r="G12" s="203">
        <f t="shared" si="0"/>
        <v>-5500</v>
      </c>
      <c r="H12" s="203">
        <f>'Statements Summary 2026'!V12</f>
        <v>0</v>
      </c>
      <c r="I12" s="203">
        <f>'Statements Summary 2027'!V12</f>
        <v>0</v>
      </c>
      <c r="K12" s="203" t="s">
        <v>192</v>
      </c>
      <c r="L12" s="203">
        <f>'CF 2025'!H41</f>
        <v>-5500</v>
      </c>
      <c r="M12" s="203">
        <f>'CF 2025'!I41</f>
        <v>-5500</v>
      </c>
      <c r="N12" s="203">
        <f>'CF 2025'!J41</f>
        <v>-5500</v>
      </c>
      <c r="O12" s="203">
        <f>'CF 2025'!K41</f>
        <v>-5500</v>
      </c>
      <c r="P12" s="203">
        <f>'CF 2025'!L41</f>
        <v>-5500</v>
      </c>
      <c r="Q12" s="203">
        <f>'CF 2025'!M41</f>
        <v>-5500</v>
      </c>
      <c r="R12" s="203">
        <f>'CF 2025'!N41</f>
        <v>-5500</v>
      </c>
      <c r="S12" s="203">
        <f>'CF 2025'!O41</f>
        <v>-5500</v>
      </c>
      <c r="T12" s="203">
        <f>'CF 2025'!P41</f>
        <v>-5500</v>
      </c>
      <c r="U12" s="203">
        <f>'CF 2025'!Q41</f>
        <v>-5500</v>
      </c>
      <c r="V12" s="203">
        <f>'CF 2025'!R41</f>
        <v>-5500</v>
      </c>
    </row>
    <row r="13" spans="2:22" x14ac:dyDescent="0.3">
      <c r="B13" t="s">
        <v>44</v>
      </c>
      <c r="E13" s="203" t="str">
        <f>'Statements Summary 2023'!V13</f>
        <v>-</v>
      </c>
      <c r="F13" s="203" t="str">
        <f>'Statements Summary 2024'!V13</f>
        <v>-</v>
      </c>
      <c r="G13" s="203" t="str">
        <f t="shared" si="0"/>
        <v>-</v>
      </c>
      <c r="H13" s="203" t="str">
        <f>'Statements Summary 2026'!V13</f>
        <v>-</v>
      </c>
      <c r="I13" s="203" t="str">
        <f>'Statements Summary 2027'!V13</f>
        <v>-</v>
      </c>
      <c r="K13" s="203" t="s">
        <v>192</v>
      </c>
      <c r="L13" s="203" t="s">
        <v>192</v>
      </c>
      <c r="M13" s="203" t="s">
        <v>192</v>
      </c>
      <c r="N13" s="203" t="s">
        <v>192</v>
      </c>
      <c r="O13" s="203" t="s">
        <v>192</v>
      </c>
      <c r="P13" s="203" t="s">
        <v>192</v>
      </c>
      <c r="Q13" s="203" t="s">
        <v>192</v>
      </c>
      <c r="R13" s="203" t="s">
        <v>192</v>
      </c>
      <c r="S13" s="203" t="s">
        <v>192</v>
      </c>
      <c r="T13" s="203" t="s">
        <v>192</v>
      </c>
      <c r="U13" s="203" t="s">
        <v>192</v>
      </c>
      <c r="V13" s="203" t="s">
        <v>192</v>
      </c>
    </row>
    <row r="14" spans="2:22" x14ac:dyDescent="0.3">
      <c r="B14" t="s">
        <v>45</v>
      </c>
      <c r="E14" s="203" t="str">
        <f>'Statements Summary 2023'!V14</f>
        <v>-</v>
      </c>
      <c r="F14" s="203" t="str">
        <f>'Statements Summary 2024'!V14</f>
        <v>-</v>
      </c>
      <c r="G14" s="203" t="str">
        <f t="shared" si="0"/>
        <v>-</v>
      </c>
      <c r="H14" s="203" t="str">
        <f>'Statements Summary 2026'!V14</f>
        <v>-</v>
      </c>
      <c r="I14" s="203" t="str">
        <f>'Statements Summary 2027'!V14</f>
        <v>-</v>
      </c>
      <c r="K14" s="203" t="s">
        <v>192</v>
      </c>
      <c r="L14" s="203" t="s">
        <v>192</v>
      </c>
      <c r="M14" s="203" t="s">
        <v>192</v>
      </c>
      <c r="N14" s="203" t="s">
        <v>192</v>
      </c>
      <c r="O14" s="203" t="s">
        <v>192</v>
      </c>
      <c r="P14" s="203" t="s">
        <v>192</v>
      </c>
      <c r="Q14" s="203" t="s">
        <v>192</v>
      </c>
      <c r="R14" s="203" t="s">
        <v>192</v>
      </c>
      <c r="S14" s="203" t="s">
        <v>192</v>
      </c>
      <c r="T14" s="203" t="s">
        <v>192</v>
      </c>
      <c r="U14" s="203" t="s">
        <v>192</v>
      </c>
      <c r="V14" s="203" t="s">
        <v>192</v>
      </c>
    </row>
    <row r="15" spans="2:22" x14ac:dyDescent="0.3">
      <c r="B15" t="s">
        <v>46</v>
      </c>
      <c r="E15" s="203">
        <f>'Statements Summary 2023'!V15</f>
        <v>-5500</v>
      </c>
      <c r="F15" s="203">
        <f>'Statements Summary 2024'!V15</f>
        <v>-5500</v>
      </c>
      <c r="G15" s="203">
        <f t="shared" si="0"/>
        <v>-5500</v>
      </c>
      <c r="H15" s="203">
        <f>'Statements Summary 2026'!V15</f>
        <v>0</v>
      </c>
      <c r="I15" s="203">
        <f>'Statements Summary 2027'!V15</f>
        <v>0</v>
      </c>
      <c r="K15" s="203" t="s">
        <v>192</v>
      </c>
      <c r="L15" s="203">
        <f>'CF 2025'!H41</f>
        <v>-5500</v>
      </c>
      <c r="M15" s="203">
        <f>'CF 2025'!I41</f>
        <v>-5500</v>
      </c>
      <c r="N15" s="203">
        <f>'CF 2025'!J41</f>
        <v>-5500</v>
      </c>
      <c r="O15" s="203">
        <f>'CF 2025'!K41</f>
        <v>-5500</v>
      </c>
      <c r="P15" s="203">
        <f>'CF 2025'!L41</f>
        <v>-5500</v>
      </c>
      <c r="Q15" s="203">
        <f>'CF 2025'!M41</f>
        <v>-5500</v>
      </c>
      <c r="R15" s="203">
        <f>'CF 2025'!N41</f>
        <v>-5500</v>
      </c>
      <c r="S15" s="203">
        <f>'CF 2025'!O41</f>
        <v>-5500</v>
      </c>
      <c r="T15" s="203">
        <f>'CF 2025'!P41</f>
        <v>-5500</v>
      </c>
      <c r="U15" s="203">
        <f>'CF 2025'!Q41</f>
        <v>-5500</v>
      </c>
      <c r="V15" s="203">
        <f>'CF 2025'!R41</f>
        <v>-5500</v>
      </c>
    </row>
    <row r="16" spans="2:22" x14ac:dyDescent="0.3">
      <c r="B16" t="s">
        <v>197</v>
      </c>
      <c r="E16" s="203">
        <f>'Statements Summary 2023'!V16</f>
        <v>12762</v>
      </c>
      <c r="F16" s="203">
        <f>'Statements Summary 2024'!V16</f>
        <v>30423.656542056073</v>
      </c>
      <c r="G16" s="203">
        <f t="shared" si="0"/>
        <v>47635.656542056073</v>
      </c>
      <c r="H16" s="203">
        <f>'Statements Summary 2026'!V16</f>
        <v>33415.656542056073</v>
      </c>
      <c r="I16" s="203">
        <f>'Statements Summary 2027'!V16</f>
        <v>33415.656542056073</v>
      </c>
      <c r="K16" s="203">
        <f>'CF 2025'!G30</f>
        <v>36476.400000000001</v>
      </c>
      <c r="L16" s="203">
        <f>'CF 2025'!H30</f>
        <v>47568.416580147867</v>
      </c>
      <c r="M16" s="203">
        <f>'CF 2025'!I30</f>
        <v>48062.020157189094</v>
      </c>
      <c r="N16" s="203">
        <f>'CF 2025'!J30</f>
        <v>49175.017976852541</v>
      </c>
      <c r="O16" s="203">
        <f>'CF 2025'!K30</f>
        <v>50314.638576889149</v>
      </c>
      <c r="P16" s="203">
        <f>'CF 2025'!L30</f>
        <v>51414.42959326788</v>
      </c>
      <c r="Q16" s="203">
        <f>'CF 2025'!M30</f>
        <v>52021.015501149741</v>
      </c>
      <c r="R16" s="203">
        <f>'CF 2025'!N30</f>
        <v>52480.826058113307</v>
      </c>
      <c r="S16" s="203">
        <f>'CF 2025'!O30</f>
        <v>52306.426265741451</v>
      </c>
      <c r="T16" s="203">
        <f>'CF 2025'!P30</f>
        <v>52721.845962423788</v>
      </c>
      <c r="U16" s="203">
        <f>'CF 2025'!Q30</f>
        <v>53811.019390516529</v>
      </c>
      <c r="V16" s="203">
        <f>'CF 2025'!R30</f>
        <v>47635.656542056073</v>
      </c>
    </row>
    <row r="17" spans="2:22" x14ac:dyDescent="0.3">
      <c r="B17" t="s">
        <v>47</v>
      </c>
      <c r="E17" s="203">
        <f>'Statements Summary 2023'!V17</f>
        <v>20024</v>
      </c>
      <c r="F17" s="203">
        <f>'Statements Summary 2024'!V17</f>
        <v>55347.313084112146</v>
      </c>
      <c r="G17" s="203">
        <f t="shared" si="0"/>
        <v>89771.313084112146</v>
      </c>
      <c r="H17" s="203">
        <f>'Statements Summary 2026'!V17</f>
        <v>66831.313084112146</v>
      </c>
      <c r="I17" s="203">
        <f>'Statements Summary 2027'!V17</f>
        <v>66831.313084112146</v>
      </c>
      <c r="K17" s="203">
        <f>'CF 2025'!G51+'CF 2025'!G28+'CF 2025'!G29</f>
        <v>48246</v>
      </c>
      <c r="L17" s="203">
        <f>'CF 2025'!H51+'CF 2025'!H28+'CF 2025'!H29</f>
        <v>89636.833160295733</v>
      </c>
      <c r="M17" s="203">
        <f>'CF 2025'!I51+'CF 2025'!I28+'CF 2025'!I29</f>
        <v>90624.040314378173</v>
      </c>
      <c r="N17" s="203">
        <f>'CF 2025'!J51+'CF 2025'!J28+'CF 2025'!J29</f>
        <v>92850.035953705083</v>
      </c>
      <c r="O17" s="203">
        <f>'CF 2025'!K51+'CF 2025'!K28+'CF 2025'!K29</f>
        <v>95129.277153778312</v>
      </c>
      <c r="P17" s="203">
        <f>'CF 2025'!L51+'CF 2025'!L28+'CF 2025'!L29</f>
        <v>97328.859186535759</v>
      </c>
      <c r="Q17" s="203">
        <f>'CF 2025'!M51+'CF 2025'!M28+'CF 2025'!M29</f>
        <v>98542.031002299467</v>
      </c>
      <c r="R17" s="203">
        <f>'CF 2025'!N51+'CF 2025'!N28+'CF 2025'!N29</f>
        <v>99461.652116226614</v>
      </c>
      <c r="S17" s="203">
        <f>'CF 2025'!O51+'CF 2025'!O28+'CF 2025'!O29</f>
        <v>99112.852531482902</v>
      </c>
      <c r="T17" s="203">
        <f>'CF 2025'!P51+'CF 2025'!P28+'CF 2025'!P29</f>
        <v>99943.691924847575</v>
      </c>
      <c r="U17" s="203">
        <f>'CF 2025'!Q51+'CF 2025'!Q28+'CF 2025'!Q29</f>
        <v>102122.03878103306</v>
      </c>
      <c r="V17" s="203">
        <f>'CF 2025'!R51+'CF 2025'!R28+'CF 2025'!R29</f>
        <v>89771.313084112146</v>
      </c>
    </row>
    <row r="19" spans="2:22" x14ac:dyDescent="0.3">
      <c r="B19" s="177" t="s">
        <v>224</v>
      </c>
      <c r="C19" s="151"/>
      <c r="D19" s="151"/>
      <c r="E19" s="151"/>
      <c r="F19" s="151"/>
      <c r="G19" s="151"/>
      <c r="H19" s="151"/>
      <c r="I19" s="151"/>
      <c r="K19" s="349" t="s">
        <v>229</v>
      </c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</row>
    <row r="42" spans="2:22" x14ac:dyDescent="0.3">
      <c r="B42" s="177" t="s">
        <v>225</v>
      </c>
      <c r="C42" s="177"/>
      <c r="D42" s="177"/>
      <c r="E42" s="177"/>
      <c r="F42" s="151"/>
      <c r="G42" s="151"/>
      <c r="H42" s="151"/>
      <c r="I42" s="151"/>
      <c r="J42" s="151"/>
      <c r="K42" s="349" t="s">
        <v>230</v>
      </c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</row>
    <row r="44" spans="2:22" x14ac:dyDescent="0.3">
      <c r="B44" s="190" t="s">
        <v>20</v>
      </c>
      <c r="C44" s="190"/>
      <c r="D44" s="190"/>
      <c r="E44" s="191">
        <v>2023</v>
      </c>
      <c r="F44" s="191">
        <v>2024</v>
      </c>
      <c r="G44" s="191">
        <v>2025</v>
      </c>
      <c r="H44" s="191">
        <v>2026</v>
      </c>
      <c r="I44" s="191">
        <v>2027</v>
      </c>
      <c r="J44" s="190"/>
      <c r="K44" s="190" t="s">
        <v>25</v>
      </c>
      <c r="L44" s="190" t="s">
        <v>26</v>
      </c>
      <c r="M44" s="190" t="s">
        <v>27</v>
      </c>
      <c r="N44" s="190" t="s">
        <v>28</v>
      </c>
      <c r="O44" s="190" t="s">
        <v>29</v>
      </c>
      <c r="P44" s="190" t="s">
        <v>30</v>
      </c>
      <c r="Q44" s="190" t="s">
        <v>31</v>
      </c>
      <c r="R44" s="190" t="s">
        <v>32</v>
      </c>
      <c r="S44" s="190" t="s">
        <v>33</v>
      </c>
      <c r="T44" s="190" t="s">
        <v>34</v>
      </c>
      <c r="U44" s="190" t="s">
        <v>35</v>
      </c>
      <c r="V44" s="190" t="s">
        <v>36</v>
      </c>
    </row>
    <row r="45" spans="2:22" x14ac:dyDescent="0.3">
      <c r="B45" s="14" t="s">
        <v>2</v>
      </c>
      <c r="C45" s="14"/>
      <c r="D45" s="14"/>
      <c r="E45" s="192">
        <f>'Statements Summary 2023'!V44</f>
        <v>25770</v>
      </c>
      <c r="F45" s="192">
        <f>'Statements Summary 2024'!V45</f>
        <v>27986</v>
      </c>
      <c r="G45" s="192">
        <f t="shared" ref="G45:G65" si="1">V45</f>
        <v>25770</v>
      </c>
      <c r="H45" s="192">
        <f>'Statements Summary 2026'!V45</f>
        <v>25770</v>
      </c>
      <c r="I45" s="192">
        <f>'Statements Summary 2027'!V45</f>
        <v>25770</v>
      </c>
      <c r="K45" s="192">
        <f>'IS 2025'!F24</f>
        <v>26873</v>
      </c>
      <c r="L45" s="192">
        <f>'IS 2025'!G24</f>
        <v>27584</v>
      </c>
      <c r="M45" s="192">
        <f>'IS 2025'!H24</f>
        <v>28797</v>
      </c>
      <c r="N45" s="192">
        <f>'IS 2025'!I24</f>
        <v>29336</v>
      </c>
      <c r="O45" s="192">
        <f>'IS 2025'!J24</f>
        <v>32299</v>
      </c>
      <c r="P45" s="192">
        <f>'IS 2025'!K24</f>
        <v>33783</v>
      </c>
      <c r="Q45" s="192">
        <f>'IS 2025'!L24</f>
        <v>34421</v>
      </c>
      <c r="R45" s="192">
        <f>'IS 2025'!M24</f>
        <v>34685</v>
      </c>
      <c r="S45" s="192">
        <f>'IS 2025'!N24</f>
        <v>30698</v>
      </c>
      <c r="T45" s="192">
        <f>'IS 2025'!O24</f>
        <v>27910</v>
      </c>
      <c r="U45" s="192">
        <f>'IS 2025'!P24</f>
        <v>28461</v>
      </c>
      <c r="V45" s="192">
        <f>'IS 2025'!Q24</f>
        <v>25770</v>
      </c>
    </row>
    <row r="46" spans="2:22" x14ac:dyDescent="0.3">
      <c r="B46" t="s">
        <v>21</v>
      </c>
      <c r="E46" s="1">
        <f>'Statements Summary 2023'!V45</f>
        <v>-4.8585985379901053E-2</v>
      </c>
      <c r="F46" s="2">
        <f>'Statements Summary 2024'!V46</f>
        <v>-5.8946164968559804E-2</v>
      </c>
      <c r="G46" s="2">
        <f t="shared" si="1"/>
        <v>-9.4550437440708332E-2</v>
      </c>
      <c r="H46" s="2">
        <f>'Statements Summary 2026'!V46</f>
        <v>-9.4550437440708332E-2</v>
      </c>
      <c r="I46" s="2">
        <f>'Statements Summary 2027'!V46</f>
        <v>-9.4550437440708332E-2</v>
      </c>
      <c r="K46" s="2"/>
      <c r="L46" s="2">
        <f t="shared" ref="L46" si="2">(L45-K45)/K45</f>
        <v>2.645778290477431E-2</v>
      </c>
      <c r="M46" s="2">
        <f>(M45-L45)/L45</f>
        <v>4.3974767981438512E-2</v>
      </c>
      <c r="N46" s="2">
        <f>(N45-M45)/M45</f>
        <v>1.8717227488974544E-2</v>
      </c>
      <c r="O46" s="2">
        <f t="shared" ref="O46:T46" si="3">(O45-N45)/N45</f>
        <v>0.10100218161985274</v>
      </c>
      <c r="P46" s="2">
        <f t="shared" si="3"/>
        <v>4.5945694913155206E-2</v>
      </c>
      <c r="Q46" s="2">
        <f t="shared" si="3"/>
        <v>1.8885238137524792E-2</v>
      </c>
      <c r="R46" s="2">
        <f t="shared" si="3"/>
        <v>7.6697364980680399E-3</v>
      </c>
      <c r="S46" s="2">
        <f t="shared" si="3"/>
        <v>-0.11494882514055067</v>
      </c>
      <c r="T46" s="2">
        <f t="shared" si="3"/>
        <v>-9.0820248876148285E-2</v>
      </c>
      <c r="U46" s="2">
        <f>(U45-T45)/T45</f>
        <v>1.9742027946972412E-2</v>
      </c>
      <c r="V46" s="2">
        <f t="shared" ref="V46" si="4">(V45-U45)/U45</f>
        <v>-9.4550437440708332E-2</v>
      </c>
    </row>
    <row r="47" spans="2:22" x14ac:dyDescent="0.3">
      <c r="B47" t="s">
        <v>3</v>
      </c>
      <c r="E47" s="1">
        <f>'Statements Summary 2023'!V46</f>
        <v>-2045</v>
      </c>
      <c r="F47" s="1">
        <f>'Statements Summary 2024'!V47</f>
        <v>-2045</v>
      </c>
      <c r="G47" s="1">
        <f t="shared" si="1"/>
        <v>-2045</v>
      </c>
      <c r="H47" s="1">
        <f>'Statements Summary 2026'!V47</f>
        <v>-2045</v>
      </c>
      <c r="I47" s="1">
        <f>'Statements Summary 2027'!V47</f>
        <v>-2045</v>
      </c>
      <c r="K47" s="1">
        <f>'IS 2025'!F25</f>
        <v>-2045</v>
      </c>
      <c r="L47" s="1">
        <f>'IS 2025'!G25</f>
        <v>-2045</v>
      </c>
      <c r="M47" s="1">
        <f>'IS 2025'!H25</f>
        <v>-2045</v>
      </c>
      <c r="N47" s="1">
        <f>'IS 2025'!I25</f>
        <v>-2045</v>
      </c>
      <c r="O47" s="1">
        <f>'IS 2025'!J25</f>
        <v>-2045</v>
      </c>
      <c r="P47" s="1">
        <f>'IS 2025'!K25</f>
        <v>-2045</v>
      </c>
      <c r="Q47" s="1">
        <f>'IS 2025'!L25</f>
        <v>-2045</v>
      </c>
      <c r="R47" s="1">
        <f>'IS 2025'!M25</f>
        <v>-2045</v>
      </c>
      <c r="S47" s="1">
        <f>'IS 2025'!N25</f>
        <v>-2045</v>
      </c>
      <c r="T47" s="1">
        <f>'IS 2025'!O25</f>
        <v>-2045</v>
      </c>
      <c r="U47" s="1">
        <f>'IS 2025'!P25</f>
        <v>-2045</v>
      </c>
      <c r="V47" s="1">
        <f>'IS 2025'!Q25</f>
        <v>-2045</v>
      </c>
    </row>
    <row r="48" spans="2:22" x14ac:dyDescent="0.3">
      <c r="B48" t="s">
        <v>22</v>
      </c>
      <c r="E48" s="2">
        <f>'Statements Summary 2023'!V47</f>
        <v>-7.9355840124175403E-2</v>
      </c>
      <c r="F48" s="2">
        <f>'Statements Summary 2024'!V48</f>
        <v>-7.3072250410919748E-2</v>
      </c>
      <c r="G48" s="2">
        <f t="shared" si="1"/>
        <v>-7.9355840124175403E-2</v>
      </c>
      <c r="H48" s="2">
        <f>'Statements Summary 2026'!V48</f>
        <v>-7.9355840124175403E-2</v>
      </c>
      <c r="I48" s="2">
        <f>'Statements Summary 2027'!V48</f>
        <v>-7.9355840124175403E-2</v>
      </c>
      <c r="K48" s="2">
        <f>K47/K45</f>
        <v>-7.6098686413872657E-2</v>
      </c>
      <c r="L48" s="2">
        <f t="shared" ref="L48:V48" si="5">L47/L45</f>
        <v>-7.4137180974477954E-2</v>
      </c>
      <c r="M48" s="2">
        <f t="shared" si="5"/>
        <v>-7.1014341771712328E-2</v>
      </c>
      <c r="N48" s="2">
        <f t="shared" si="5"/>
        <v>-6.97095718571039E-2</v>
      </c>
      <c r="O48" s="2">
        <f t="shared" si="5"/>
        <v>-6.3314653704449053E-2</v>
      </c>
      <c r="P48" s="2">
        <f t="shared" si="5"/>
        <v>-6.0533404374981496E-2</v>
      </c>
      <c r="Q48" s="2">
        <f t="shared" si="5"/>
        <v>-5.941140582783766E-2</v>
      </c>
      <c r="R48" s="2">
        <f t="shared" si="5"/>
        <v>-5.8959204266974194E-2</v>
      </c>
      <c r="S48" s="2">
        <f t="shared" si="5"/>
        <v>-6.6616717701478922E-2</v>
      </c>
      <c r="T48" s="2">
        <f t="shared" si="5"/>
        <v>-7.3271228950197068E-2</v>
      </c>
      <c r="U48" s="2">
        <f t="shared" si="5"/>
        <v>-7.1852710726959701E-2</v>
      </c>
      <c r="V48" s="2">
        <f t="shared" si="5"/>
        <v>-7.9355840124175403E-2</v>
      </c>
    </row>
    <row r="49" spans="2:22" x14ac:dyDescent="0.3">
      <c r="B49" t="s">
        <v>4</v>
      </c>
      <c r="E49" s="1">
        <f>'Statements Summary 2023'!V48</f>
        <v>23725</v>
      </c>
      <c r="F49" s="1">
        <f>'Statements Summary 2024'!V49</f>
        <v>25941</v>
      </c>
      <c r="G49" s="1">
        <f t="shared" si="1"/>
        <v>23725</v>
      </c>
      <c r="H49" s="1">
        <f>'Statements Summary 2026'!V49</f>
        <v>23725</v>
      </c>
      <c r="I49" s="1">
        <f>'Statements Summary 2027'!V49</f>
        <v>23725</v>
      </c>
      <c r="K49" s="1">
        <f>'IS 2025'!F33</f>
        <v>24828</v>
      </c>
      <c r="L49" s="1">
        <f>'IS 2025'!G33</f>
        <v>25539</v>
      </c>
      <c r="M49" s="1">
        <f>'IS 2025'!H33</f>
        <v>26752</v>
      </c>
      <c r="N49" s="1">
        <f>'IS 2025'!I33</f>
        <v>27291</v>
      </c>
      <c r="O49" s="1">
        <f>'IS 2025'!J33</f>
        <v>30254</v>
      </c>
      <c r="P49" s="1">
        <f>'IS 2025'!K33</f>
        <v>31738</v>
      </c>
      <c r="Q49" s="1">
        <f>'IS 2025'!L33</f>
        <v>32376</v>
      </c>
      <c r="R49" s="1">
        <f>'IS 2025'!M33</f>
        <v>32640</v>
      </c>
      <c r="S49" s="1">
        <f>'IS 2025'!N33</f>
        <v>28653</v>
      </c>
      <c r="T49" s="1">
        <f>'IS 2025'!O33</f>
        <v>25865</v>
      </c>
      <c r="U49" s="1">
        <f>'IS 2025'!P33</f>
        <v>26416</v>
      </c>
      <c r="V49" s="1">
        <f>'IS 2025'!Q33</f>
        <v>23725</v>
      </c>
    </row>
    <row r="50" spans="2:22" x14ac:dyDescent="0.3">
      <c r="B50" t="s">
        <v>23</v>
      </c>
      <c r="E50" s="2">
        <f>'Statements Summary 2023'!V49</f>
        <v>0.9206441598758246</v>
      </c>
      <c r="F50" s="2">
        <f>'Statements Summary 2024'!V50</f>
        <v>0.92692774958908031</v>
      </c>
      <c r="G50" s="2">
        <f t="shared" si="1"/>
        <v>0.9206441598758246</v>
      </c>
      <c r="H50" s="2">
        <f>'Statements Summary 2026'!V50</f>
        <v>0.9206441598758246</v>
      </c>
      <c r="I50" s="2">
        <f>'Statements Summary 2027'!V50</f>
        <v>0.9206441598758246</v>
      </c>
      <c r="K50" s="2">
        <f>K49/K45</f>
        <v>0.92390131358612737</v>
      </c>
      <c r="L50" s="2">
        <f t="shared" ref="L50:V50" si="6">L49/L45</f>
        <v>0.92586281902552203</v>
      </c>
      <c r="M50" s="2">
        <f t="shared" si="6"/>
        <v>0.92898565822828771</v>
      </c>
      <c r="N50" s="2">
        <f t="shared" si="6"/>
        <v>0.93029042814289609</v>
      </c>
      <c r="O50" s="2">
        <f t="shared" si="6"/>
        <v>0.93668534629555089</v>
      </c>
      <c r="P50" s="2">
        <f t="shared" si="6"/>
        <v>0.93946659562501855</v>
      </c>
      <c r="Q50" s="2">
        <f t="shared" si="6"/>
        <v>0.94058859417216234</v>
      </c>
      <c r="R50" s="2">
        <f t="shared" si="6"/>
        <v>0.94104079573302579</v>
      </c>
      <c r="S50" s="2">
        <f t="shared" si="6"/>
        <v>0.93338328229852108</v>
      </c>
      <c r="T50" s="2">
        <f t="shared" si="6"/>
        <v>0.92672877104980289</v>
      </c>
      <c r="U50" s="2">
        <f t="shared" si="6"/>
        <v>0.92814728927304035</v>
      </c>
      <c r="V50" s="2">
        <f t="shared" si="6"/>
        <v>0.9206441598758246</v>
      </c>
    </row>
    <row r="51" spans="2:22" x14ac:dyDescent="0.3">
      <c r="B51" t="s">
        <v>5</v>
      </c>
      <c r="E51" s="1">
        <f>'Statements Summary 2023'!V50</f>
        <v>-3031</v>
      </c>
      <c r="F51" s="1">
        <f>'Statements Summary 2024'!V51</f>
        <v>-3031</v>
      </c>
      <c r="G51" s="1">
        <f t="shared" si="1"/>
        <v>-3031</v>
      </c>
      <c r="H51" s="1">
        <f>'Statements Summary 2026'!V51</f>
        <v>-3031</v>
      </c>
      <c r="I51" s="1">
        <f>'Statements Summary 2027'!V51</f>
        <v>-3031</v>
      </c>
      <c r="K51" s="1">
        <f>'IS 2025'!F45</f>
        <v>-3031</v>
      </c>
      <c r="L51" s="1">
        <f>'IS 2025'!G45</f>
        <v>-3031</v>
      </c>
      <c r="M51" s="1">
        <f>'IS 2025'!H45</f>
        <v>-3031</v>
      </c>
      <c r="N51" s="1">
        <f>'IS 2025'!I45</f>
        <v>-3031</v>
      </c>
      <c r="O51" s="1">
        <f>'IS 2025'!J45</f>
        <v>-3031</v>
      </c>
      <c r="P51" s="1">
        <f>'IS 2025'!K45</f>
        <v>-3031</v>
      </c>
      <c r="Q51" s="1">
        <f>'IS 2025'!L45</f>
        <v>-3031</v>
      </c>
      <c r="R51" s="1">
        <f>'IS 2025'!M45</f>
        <v>-3031</v>
      </c>
      <c r="S51" s="1">
        <f>'IS 2025'!N45</f>
        <v>-3031</v>
      </c>
      <c r="T51" s="1">
        <f>'IS 2025'!O45</f>
        <v>-3031</v>
      </c>
      <c r="U51" s="1">
        <f>'IS 2025'!P45</f>
        <v>-3031</v>
      </c>
      <c r="V51" s="1">
        <f>'IS 2025'!Q45</f>
        <v>-3031</v>
      </c>
    </row>
    <row r="52" spans="2:22" x14ac:dyDescent="0.3">
      <c r="B52" t="s">
        <v>22</v>
      </c>
      <c r="E52" s="2">
        <f>'Statements Summary 2023'!V51</f>
        <v>-0.11761738455568491</v>
      </c>
      <c r="F52" s="2">
        <f>'Statements Summary 2024'!V52</f>
        <v>-0.10830415207603802</v>
      </c>
      <c r="G52" s="2">
        <f t="shared" si="1"/>
        <v>-0.11761738455568491</v>
      </c>
      <c r="H52" s="2">
        <f>'Statements Summary 2026'!V52</f>
        <v>-0.11761738455568491</v>
      </c>
      <c r="I52" s="2">
        <f>'Statements Summary 2027'!V52</f>
        <v>-0.11761738455568491</v>
      </c>
      <c r="K52" s="2">
        <f>K51/K45</f>
        <v>-0.11278978900755406</v>
      </c>
      <c r="L52" s="2">
        <f t="shared" ref="L52:V52" si="7">L51/L45</f>
        <v>-0.10988254060324826</v>
      </c>
      <c r="M52" s="2">
        <f t="shared" si="7"/>
        <v>-0.1052540195159218</v>
      </c>
      <c r="N52" s="2">
        <f t="shared" si="7"/>
        <v>-0.10332015271338969</v>
      </c>
      <c r="O52" s="2">
        <f t="shared" si="7"/>
        <v>-9.3841914610359456E-2</v>
      </c>
      <c r="P52" s="2">
        <f t="shared" si="7"/>
        <v>-8.971968149661072E-2</v>
      </c>
      <c r="Q52" s="2">
        <f t="shared" si="7"/>
        <v>-8.8056709566834201E-2</v>
      </c>
      <c r="R52" s="2">
        <f t="shared" si="7"/>
        <v>-8.7386478304742679E-2</v>
      </c>
      <c r="S52" s="2">
        <f t="shared" si="7"/>
        <v>-9.8736074011336245E-2</v>
      </c>
      <c r="T52" s="2">
        <f t="shared" si="7"/>
        <v>-0.10859906843425296</v>
      </c>
      <c r="U52" s="2">
        <f t="shared" si="7"/>
        <v>-0.10649660939531289</v>
      </c>
      <c r="V52" s="2">
        <f t="shared" si="7"/>
        <v>-0.11761738455568491</v>
      </c>
    </row>
    <row r="53" spans="2:22" x14ac:dyDescent="0.3">
      <c r="B53" t="s">
        <v>193</v>
      </c>
      <c r="E53" s="1">
        <f>'Statements Summary 2023'!V52</f>
        <v>-3000</v>
      </c>
      <c r="F53" s="1">
        <f>'Statements Summary 2024'!V53</f>
        <v>-3000</v>
      </c>
      <c r="G53" s="1">
        <f t="shared" si="1"/>
        <v>-3000</v>
      </c>
      <c r="H53" s="1">
        <f>'Statements Summary 2026'!V53</f>
        <v>-3000</v>
      </c>
      <c r="I53" s="1">
        <f>'Statements Summary 2027'!V53</f>
        <v>-3000</v>
      </c>
      <c r="K53" s="1">
        <f>'IS 2025'!F46</f>
        <v>-3000</v>
      </c>
      <c r="L53" s="1">
        <f>'IS 2025'!G46</f>
        <v>-3000</v>
      </c>
      <c r="M53" s="1">
        <f>'IS 2025'!H46</f>
        <v>-3000</v>
      </c>
      <c r="N53" s="1">
        <f>'IS 2025'!I46</f>
        <v>-3000</v>
      </c>
      <c r="O53" s="1">
        <f>'IS 2025'!J46</f>
        <v>-3000</v>
      </c>
      <c r="P53" s="1">
        <f>'IS 2025'!K46</f>
        <v>-3000</v>
      </c>
      <c r="Q53" s="1">
        <f>'IS 2025'!L46</f>
        <v>-3000</v>
      </c>
      <c r="R53" s="1">
        <f>'IS 2025'!M46</f>
        <v>-3000</v>
      </c>
      <c r="S53" s="1">
        <f>'IS 2025'!N46</f>
        <v>-3000</v>
      </c>
      <c r="T53" s="1">
        <f>'IS 2025'!O46</f>
        <v>-3000</v>
      </c>
      <c r="U53" s="1">
        <f>'IS 2025'!P46</f>
        <v>-3000</v>
      </c>
      <c r="V53" s="1">
        <f>'IS 2025'!Q46</f>
        <v>-3000</v>
      </c>
    </row>
    <row r="54" spans="2:22" x14ac:dyDescent="0.3">
      <c r="B54" t="s">
        <v>22</v>
      </c>
      <c r="E54" s="2">
        <f>'Statements Summary 2023'!V53</f>
        <v>-0.11641443538998836</v>
      </c>
      <c r="F54" s="2">
        <f>'Statements Summary 2024'!V54</f>
        <v>-0.10719645537054241</v>
      </c>
      <c r="G54" s="2">
        <f t="shared" si="1"/>
        <v>-0.11641443538998836</v>
      </c>
      <c r="H54" s="2">
        <f>'Statements Summary 2026'!V54</f>
        <v>-0.11641443538998836</v>
      </c>
      <c r="I54" s="2">
        <f>'Statements Summary 2027'!V54</f>
        <v>-0.11641443538998836</v>
      </c>
      <c r="K54" s="2">
        <f>K53/K45</f>
        <v>-0.11163621478807725</v>
      </c>
      <c r="L54" s="2">
        <f t="shared" ref="L54:V54" si="8">L53/L45</f>
        <v>-0.10875870069605569</v>
      </c>
      <c r="M54" s="2">
        <f t="shared" si="8"/>
        <v>-0.10417751849150954</v>
      </c>
      <c r="N54" s="2">
        <f t="shared" si="8"/>
        <v>-0.10226343059721843</v>
      </c>
      <c r="O54" s="2">
        <f t="shared" si="8"/>
        <v>-9.288213257376389E-2</v>
      </c>
      <c r="P54" s="2">
        <f t="shared" si="8"/>
        <v>-8.8802060207796824E-2</v>
      </c>
      <c r="Q54" s="2">
        <f t="shared" si="8"/>
        <v>-8.7156096568954997E-2</v>
      </c>
      <c r="R54" s="2">
        <f t="shared" si="8"/>
        <v>-8.6492720196050171E-2</v>
      </c>
      <c r="S54" s="2">
        <f t="shared" si="8"/>
        <v>-9.7726236236888392E-2</v>
      </c>
      <c r="T54" s="2">
        <f t="shared" si="8"/>
        <v>-0.10748835542816194</v>
      </c>
      <c r="U54" s="2">
        <f t="shared" si="8"/>
        <v>-0.10540739959945188</v>
      </c>
      <c r="V54" s="2">
        <f t="shared" si="8"/>
        <v>-0.11641443538998836</v>
      </c>
    </row>
    <row r="55" spans="2:22" x14ac:dyDescent="0.3">
      <c r="B55" t="s">
        <v>24</v>
      </c>
      <c r="E55" s="1">
        <f>'Statements Summary 2023'!V54</f>
        <v>-3050</v>
      </c>
      <c r="F55" s="1">
        <f>'Statements Summary 2024'!V55</f>
        <v>-3050</v>
      </c>
      <c r="G55" s="1">
        <f t="shared" si="1"/>
        <v>-3050</v>
      </c>
      <c r="H55" s="1">
        <f>'Statements Summary 2026'!V55</f>
        <v>-3050</v>
      </c>
      <c r="I55" s="1">
        <f>'Statements Summary 2027'!V55</f>
        <v>-3050</v>
      </c>
      <c r="K55" s="1">
        <f>'IS 2025'!F65</f>
        <v>-3050</v>
      </c>
      <c r="L55" s="1">
        <f>'IS 2025'!G65</f>
        <v>-3050</v>
      </c>
      <c r="M55" s="1">
        <f>'IS 2025'!H65</f>
        <v>-3050</v>
      </c>
      <c r="N55" s="1">
        <f>'IS 2025'!I65</f>
        <v>-3050</v>
      </c>
      <c r="O55" s="1">
        <f>'IS 2025'!J65</f>
        <v>-3050</v>
      </c>
      <c r="P55" s="1">
        <f>'IS 2025'!K65</f>
        <v>-3050</v>
      </c>
      <c r="Q55" s="1">
        <f>'IS 2025'!L65</f>
        <v>-3050</v>
      </c>
      <c r="R55" s="1">
        <f>'IS 2025'!M65</f>
        <v>-3050</v>
      </c>
      <c r="S55" s="1">
        <f>'IS 2025'!N65</f>
        <v>-3050</v>
      </c>
      <c r="T55" s="1">
        <f>'IS 2025'!O65</f>
        <v>-3050</v>
      </c>
      <c r="U55" s="1">
        <f>'IS 2025'!P65</f>
        <v>-3050</v>
      </c>
      <c r="V55" s="1">
        <f>'IS 2025'!Q65</f>
        <v>-3050</v>
      </c>
    </row>
    <row r="56" spans="2:22" x14ac:dyDescent="0.3">
      <c r="B56" t="s">
        <v>22</v>
      </c>
      <c r="E56" s="2">
        <f>'Statements Summary 2023'!V55</f>
        <v>-0.11835467597982149</v>
      </c>
      <c r="F56" s="2">
        <f>'Statements Summary 2024'!V56</f>
        <v>-0.10898306296005146</v>
      </c>
      <c r="G56" s="2">
        <f t="shared" si="1"/>
        <v>-0.11835467597982149</v>
      </c>
      <c r="H56" s="2">
        <f>'Statements Summary 2026'!V56</f>
        <v>-0.11835467597982149</v>
      </c>
      <c r="I56" s="2">
        <f>'Statements Summary 2027'!V56</f>
        <v>-0.11835467597982149</v>
      </c>
      <c r="K56" s="2">
        <f>K55/K45</f>
        <v>-0.11349681836787855</v>
      </c>
      <c r="L56" s="2">
        <f t="shared" ref="L56:V56" si="9">L55/L45</f>
        <v>-0.11057134570765662</v>
      </c>
      <c r="M56" s="2">
        <f t="shared" si="9"/>
        <v>-0.10591381046636802</v>
      </c>
      <c r="N56" s="2">
        <f t="shared" si="9"/>
        <v>-0.10396782110717208</v>
      </c>
      <c r="O56" s="2">
        <f t="shared" si="9"/>
        <v>-9.4430168116659954E-2</v>
      </c>
      <c r="P56" s="2">
        <f t="shared" si="9"/>
        <v>-9.0282094544593433E-2</v>
      </c>
      <c r="Q56" s="2">
        <f t="shared" si="9"/>
        <v>-8.8608698178437584E-2</v>
      </c>
      <c r="R56" s="2">
        <f t="shared" si="9"/>
        <v>-8.7934265532651004E-2</v>
      </c>
      <c r="S56" s="2">
        <f t="shared" si="9"/>
        <v>-9.9355006840836535E-2</v>
      </c>
      <c r="T56" s="2">
        <f t="shared" si="9"/>
        <v>-0.10927982801863131</v>
      </c>
      <c r="U56" s="2">
        <f t="shared" si="9"/>
        <v>-0.10716418959277609</v>
      </c>
      <c r="V56" s="2">
        <f t="shared" si="9"/>
        <v>-0.11835467597982149</v>
      </c>
    </row>
    <row r="57" spans="2:22" x14ac:dyDescent="0.3">
      <c r="B57" s="14" t="s">
        <v>6</v>
      </c>
      <c r="C57" s="14"/>
      <c r="D57" s="14"/>
      <c r="E57" s="192">
        <f>'Statements Summary 2023'!V56</f>
        <v>17644</v>
      </c>
      <c r="F57" s="192">
        <f>'Statements Summary 2024'!V57</f>
        <v>19860</v>
      </c>
      <c r="G57" s="192">
        <f t="shared" si="1"/>
        <v>17644</v>
      </c>
      <c r="H57" s="192">
        <f>'Statements Summary 2026'!V57</f>
        <v>17644</v>
      </c>
      <c r="I57" s="192">
        <f>'Statements Summary 2027'!V57</f>
        <v>17644</v>
      </c>
      <c r="K57" s="192">
        <f>'IS 2025'!F66</f>
        <v>18747</v>
      </c>
      <c r="L57" s="192">
        <f>'IS 2025'!G66</f>
        <v>19458</v>
      </c>
      <c r="M57" s="192">
        <f>'IS 2025'!H66</f>
        <v>20671</v>
      </c>
      <c r="N57" s="192">
        <f>'IS 2025'!I66</f>
        <v>21210</v>
      </c>
      <c r="O57" s="192">
        <f>'IS 2025'!J66</f>
        <v>24173</v>
      </c>
      <c r="P57" s="192">
        <f>'IS 2025'!K66</f>
        <v>25657</v>
      </c>
      <c r="Q57" s="192">
        <f>'IS 2025'!L66</f>
        <v>26295</v>
      </c>
      <c r="R57" s="192">
        <f>'IS 2025'!M66</f>
        <v>26559</v>
      </c>
      <c r="S57" s="192">
        <f>'IS 2025'!N66</f>
        <v>22572</v>
      </c>
      <c r="T57" s="192">
        <f>'IS 2025'!O66</f>
        <v>19784</v>
      </c>
      <c r="U57" s="192">
        <f>'IS 2025'!P66</f>
        <v>20335</v>
      </c>
      <c r="V57" s="192">
        <f>'IS 2025'!Q66</f>
        <v>17644</v>
      </c>
    </row>
    <row r="58" spans="2:22" x14ac:dyDescent="0.3">
      <c r="B58" t="s">
        <v>15</v>
      </c>
      <c r="E58" s="2">
        <f>'Statements Summary 2023'!V57</f>
        <v>0.68467209934031825</v>
      </c>
      <c r="F58" s="2">
        <f>'Statements Summary 2024'!V58</f>
        <v>0.70964053455299081</v>
      </c>
      <c r="G58" s="2">
        <f t="shared" si="1"/>
        <v>0.68467209934031825</v>
      </c>
      <c r="H58" s="2">
        <f>'Statements Summary 2026'!V58</f>
        <v>0.68467209934031825</v>
      </c>
      <c r="I58" s="2">
        <f>'Statements Summary 2027'!V58</f>
        <v>0.68467209934031825</v>
      </c>
      <c r="K58" s="2">
        <f>K57/K45</f>
        <v>0.69761470621069477</v>
      </c>
      <c r="L58" s="2">
        <f t="shared" ref="L58:V58" si="10">L57/L45</f>
        <v>0.70540893271461713</v>
      </c>
      <c r="M58" s="2">
        <f t="shared" si="10"/>
        <v>0.71781782824599782</v>
      </c>
      <c r="N58" s="2">
        <f t="shared" si="10"/>
        <v>0.72300245432233434</v>
      </c>
      <c r="O58" s="2">
        <f t="shared" si="10"/>
        <v>0.74841326356853155</v>
      </c>
      <c r="P58" s="2">
        <f t="shared" si="10"/>
        <v>0.7594648195838144</v>
      </c>
      <c r="Q58" s="2">
        <f t="shared" si="10"/>
        <v>0.76392318642689061</v>
      </c>
      <c r="R58" s="2">
        <f t="shared" si="10"/>
        <v>0.76572005189563208</v>
      </c>
      <c r="S58" s="2">
        <f t="shared" si="10"/>
        <v>0.73529220144634833</v>
      </c>
      <c r="T58" s="2">
        <f t="shared" si="10"/>
        <v>0.70884987459691862</v>
      </c>
      <c r="U58" s="2">
        <f t="shared" si="10"/>
        <v>0.71448649028495137</v>
      </c>
      <c r="V58" s="2">
        <f t="shared" si="10"/>
        <v>0.68467209934031825</v>
      </c>
    </row>
    <row r="59" spans="2:22" x14ac:dyDescent="0.3">
      <c r="B59" t="s">
        <v>7</v>
      </c>
      <c r="E59" s="1">
        <f>'Statements Summary 2023'!V58</f>
        <v>-1711</v>
      </c>
      <c r="F59" s="1">
        <f>'Statements Summary 2024'!V59</f>
        <v>-1850</v>
      </c>
      <c r="G59" s="1">
        <f t="shared" si="1"/>
        <v>-1911</v>
      </c>
      <c r="H59" s="1">
        <f>'Statements Summary 2026'!V59</f>
        <v>-1756</v>
      </c>
      <c r="I59" s="1">
        <f>'Statements Summary 2027'!V59</f>
        <v>-1800</v>
      </c>
      <c r="K59">
        <f>'IS 2025'!F67</f>
        <v>-1850</v>
      </c>
      <c r="L59">
        <f>'IS 2025'!G67</f>
        <v>-1850</v>
      </c>
      <c r="M59">
        <f>'IS 2025'!H67</f>
        <v>-1850</v>
      </c>
      <c r="N59">
        <f>'IS 2025'!I67</f>
        <v>-1711</v>
      </c>
      <c r="O59">
        <f>'IS 2025'!J67</f>
        <v>-1711</v>
      </c>
      <c r="P59">
        <f>'IS 2025'!K67</f>
        <v>-1711</v>
      </c>
      <c r="Q59">
        <f>'IS 2025'!L67</f>
        <v>-1711</v>
      </c>
      <c r="R59">
        <f>'IS 2025'!M67</f>
        <v>-1711</v>
      </c>
      <c r="S59">
        <f>'IS 2025'!N67</f>
        <v>-1711</v>
      </c>
      <c r="T59">
        <f>'IS 2025'!O67</f>
        <v>-1711</v>
      </c>
      <c r="U59">
        <f>'IS 2025'!P67</f>
        <v>-1711</v>
      </c>
      <c r="V59">
        <f>'IS 2025'!Q67</f>
        <v>-1911</v>
      </c>
    </row>
    <row r="60" spans="2:22" x14ac:dyDescent="0.3">
      <c r="B60" t="s">
        <v>8</v>
      </c>
      <c r="E60" s="1">
        <f>'Statements Summary 2023'!V59</f>
        <v>15933</v>
      </c>
      <c r="F60" s="1">
        <f>'Statements Summary 2024'!V60</f>
        <v>18010</v>
      </c>
      <c r="G60" s="1">
        <f t="shared" si="1"/>
        <v>19555</v>
      </c>
      <c r="H60" s="1">
        <f>'Statements Summary 2026'!V60</f>
        <v>15888</v>
      </c>
      <c r="I60" s="1">
        <f>'Statements Summary 2027'!V60</f>
        <v>15844</v>
      </c>
      <c r="K60" s="1">
        <f>'IS 2025'!F68</f>
        <v>16897</v>
      </c>
      <c r="L60" s="1">
        <f>'IS 2025'!G68</f>
        <v>17608</v>
      </c>
      <c r="M60" s="1">
        <f>'IS 2025'!H68</f>
        <v>18821</v>
      </c>
      <c r="N60" s="1">
        <f>'IS 2025'!I68</f>
        <v>22921</v>
      </c>
      <c r="O60" s="1">
        <f>'IS 2025'!J68</f>
        <v>25884</v>
      </c>
      <c r="P60" s="1">
        <f>'IS 2025'!K68</f>
        <v>27368</v>
      </c>
      <c r="Q60" s="1">
        <f>'IS 2025'!L68</f>
        <v>28006</v>
      </c>
      <c r="R60" s="1">
        <f>'IS 2025'!M68</f>
        <v>28270</v>
      </c>
      <c r="S60" s="1">
        <f>'IS 2025'!N68</f>
        <v>24283</v>
      </c>
      <c r="T60" s="1">
        <f>'IS 2025'!O68</f>
        <v>21495</v>
      </c>
      <c r="U60" s="1">
        <f>'IS 2025'!P68</f>
        <v>22046</v>
      </c>
      <c r="V60" s="1">
        <f>'IS 2025'!Q68</f>
        <v>19555</v>
      </c>
    </row>
    <row r="61" spans="2:22" x14ac:dyDescent="0.3">
      <c r="B61" t="s">
        <v>9</v>
      </c>
      <c r="E61" s="1">
        <f>'Statements Summary 2023'!V60</f>
        <v>-9475</v>
      </c>
      <c r="F61" s="1">
        <f>'Statements Summary 2024'!V61</f>
        <v>-6175</v>
      </c>
      <c r="G61" s="1">
        <f t="shared" si="1"/>
        <v>-2875</v>
      </c>
      <c r="H61" s="1">
        <f>'Statements Summary 2026'!V61</f>
        <v>0</v>
      </c>
      <c r="I61" s="1">
        <f>'Statements Summary 2027'!V61</f>
        <v>0</v>
      </c>
      <c r="K61" s="3">
        <f>'IS 2025'!F69</f>
        <v>-5900</v>
      </c>
      <c r="L61" s="3">
        <f>'IS 2025'!G69</f>
        <v>-5625</v>
      </c>
      <c r="M61" s="3">
        <f>'IS 2025'!H69</f>
        <v>-5350</v>
      </c>
      <c r="N61" s="3">
        <f>'IS 2025'!I69</f>
        <v>-5075</v>
      </c>
      <c r="O61" s="3">
        <f>'IS 2025'!J69</f>
        <v>-4800</v>
      </c>
      <c r="P61" s="3">
        <f>'IS 2025'!K69</f>
        <v>-4525</v>
      </c>
      <c r="Q61" s="3">
        <f>'IS 2025'!L69</f>
        <v>-4250</v>
      </c>
      <c r="R61" s="3">
        <f>'IS 2025'!M69</f>
        <v>-3975</v>
      </c>
      <c r="S61" s="3">
        <f>'IS 2025'!N69</f>
        <v>-3700</v>
      </c>
      <c r="T61" s="3">
        <f>'IS 2025'!O69</f>
        <v>-3425</v>
      </c>
      <c r="U61" s="3">
        <f>'IS 2025'!P69</f>
        <v>-3150</v>
      </c>
      <c r="V61" s="3">
        <f>'IS 2025'!Q69</f>
        <v>-2875</v>
      </c>
    </row>
    <row r="62" spans="2:22" x14ac:dyDescent="0.3">
      <c r="B62" t="s">
        <v>10</v>
      </c>
      <c r="E62" s="1">
        <f>'Statements Summary 2023'!V61</f>
        <v>17644</v>
      </c>
      <c r="F62" s="1">
        <f>'Statements Summary 2024'!V62</f>
        <v>19860</v>
      </c>
      <c r="G62" s="1">
        <f t="shared" si="1"/>
        <v>17644</v>
      </c>
      <c r="H62" s="1">
        <f>'Statements Summary 2026'!V62</f>
        <v>17644</v>
      </c>
      <c r="I62" s="1">
        <f>'Statements Summary 2027'!V62</f>
        <v>17644</v>
      </c>
      <c r="K62" s="1">
        <f>'IS 2025'!F70</f>
        <v>18747</v>
      </c>
      <c r="L62" s="1">
        <f>'IS 2025'!G70</f>
        <v>19458</v>
      </c>
      <c r="M62" s="1">
        <f>'IS 2025'!H70</f>
        <v>20671</v>
      </c>
      <c r="N62" s="1">
        <f>'IS 2025'!I70</f>
        <v>21210</v>
      </c>
      <c r="O62" s="1">
        <f>'IS 2025'!J70</f>
        <v>24173</v>
      </c>
      <c r="P62" s="1">
        <f>'IS 2025'!K70</f>
        <v>25657</v>
      </c>
      <c r="Q62" s="1">
        <f>'IS 2025'!L70</f>
        <v>26295</v>
      </c>
      <c r="R62" s="1">
        <f>'IS 2025'!M70</f>
        <v>26559</v>
      </c>
      <c r="S62" s="1">
        <f>'IS 2025'!N70</f>
        <v>22572</v>
      </c>
      <c r="T62" s="1">
        <f>'IS 2025'!O70</f>
        <v>19784</v>
      </c>
      <c r="U62" s="1">
        <f>'IS 2025'!P70</f>
        <v>20335</v>
      </c>
      <c r="V62" s="1">
        <f>'IS 2025'!Q70</f>
        <v>17644</v>
      </c>
    </row>
    <row r="63" spans="2:22" x14ac:dyDescent="0.3">
      <c r="B63" t="s">
        <v>11</v>
      </c>
      <c r="E63" s="1">
        <f>'Statements Summary 2023'!V62</f>
        <v>-3186.6000000000004</v>
      </c>
      <c r="F63" s="1">
        <f>'Statements Summary 2024'!V63</f>
        <v>-3602</v>
      </c>
      <c r="G63" s="1">
        <f t="shared" si="1"/>
        <v>-3910</v>
      </c>
      <c r="H63" s="1">
        <f>'Statements Summary 2026'!V63</f>
        <v>-3177.6000000000004</v>
      </c>
      <c r="I63" s="1">
        <f>'Statements Summary 2027'!V63</f>
        <v>-3168.8</v>
      </c>
      <c r="K63" s="1">
        <f>'IS 2025'!F71</f>
        <v>-3378.4</v>
      </c>
      <c r="L63" s="1">
        <f>'IS 2025'!G71</f>
        <v>-3520.6000000000004</v>
      </c>
      <c r="M63" s="1">
        <f>'IS 2025'!H71</f>
        <v>-3763.2000000000003</v>
      </c>
      <c r="N63" s="1">
        <f>'IS 2025'!I71</f>
        <v>-4583.2</v>
      </c>
      <c r="O63" s="1">
        <f>'IS 2025'!J71</f>
        <v>-5175.8</v>
      </c>
      <c r="P63" s="1">
        <f>'IS 2025'!K71</f>
        <v>-5472.6</v>
      </c>
      <c r="Q63" s="1">
        <f>'IS 2025'!L71</f>
        <v>-5600.2000000000007</v>
      </c>
      <c r="R63" s="1">
        <f>'IS 2025'!M71</f>
        <v>-5653</v>
      </c>
      <c r="S63" s="1">
        <f>'IS 2025'!N71</f>
        <v>-4855.6000000000004</v>
      </c>
      <c r="T63" s="1">
        <f>'IS 2025'!O71</f>
        <v>-4298</v>
      </c>
      <c r="U63" s="1">
        <f>'IS 2025'!P71</f>
        <v>-4408.2</v>
      </c>
      <c r="V63" s="1">
        <f>'IS 2025'!Q71</f>
        <v>-3910</v>
      </c>
    </row>
    <row r="64" spans="2:22" x14ac:dyDescent="0.3">
      <c r="B64" s="14" t="s">
        <v>12</v>
      </c>
      <c r="C64" s="14"/>
      <c r="D64" s="14"/>
      <c r="E64" s="192">
        <f>'Statements Summary 2023'!V63</f>
        <v>14457.4</v>
      </c>
      <c r="F64" s="192">
        <f>'Statements Summary 2024'!V64</f>
        <v>16258</v>
      </c>
      <c r="G64" s="192">
        <f t="shared" si="1"/>
        <v>13734</v>
      </c>
      <c r="H64" s="192">
        <f>'Statements Summary 2026'!V64</f>
        <v>14466.4</v>
      </c>
      <c r="I64" s="192">
        <f>'Statements Summary 2027'!V64</f>
        <v>14475.2</v>
      </c>
      <c r="K64" s="192">
        <f>'IS 2025'!F72</f>
        <v>15368.6</v>
      </c>
      <c r="L64" s="192">
        <f>'IS 2025'!G72</f>
        <v>15937.4</v>
      </c>
      <c r="M64" s="192">
        <f>'IS 2025'!H72</f>
        <v>16907.8</v>
      </c>
      <c r="N64" s="192">
        <f>'IS 2025'!I72</f>
        <v>16626.8</v>
      </c>
      <c r="O64" s="192">
        <f>'IS 2025'!J72</f>
        <v>18997.2</v>
      </c>
      <c r="P64" s="192">
        <f>'IS 2025'!K72</f>
        <v>20184.400000000001</v>
      </c>
      <c r="Q64" s="192">
        <f>'IS 2025'!L72</f>
        <v>20694.8</v>
      </c>
      <c r="R64" s="192">
        <f>'IS 2025'!M72</f>
        <v>20906</v>
      </c>
      <c r="S64" s="192">
        <f>'IS 2025'!N72</f>
        <v>17716.400000000001</v>
      </c>
      <c r="T64" s="192">
        <f>'IS 2025'!O72</f>
        <v>15486</v>
      </c>
      <c r="U64" s="192">
        <f>'IS 2025'!P72</f>
        <v>15926.8</v>
      </c>
      <c r="V64" s="192">
        <f>'IS 2025'!Q72</f>
        <v>13734</v>
      </c>
    </row>
    <row r="65" spans="2:22" x14ac:dyDescent="0.3">
      <c r="B65" t="s">
        <v>13</v>
      </c>
      <c r="E65" s="2">
        <f>'Statements Summary 2023'!V64</f>
        <v>0.56101668606907251</v>
      </c>
      <c r="F65" s="2">
        <f>'Statements Summary 2024'!V65</f>
        <v>0.58093332380475948</v>
      </c>
      <c r="G65" s="2">
        <f t="shared" si="1"/>
        <v>0.53294528521536666</v>
      </c>
      <c r="H65" s="2">
        <f>'Statements Summary 2026'!V65</f>
        <v>0.56136592937524254</v>
      </c>
      <c r="I65" s="2">
        <f>'Statements Summary 2027'!V65</f>
        <v>0.56170741171905314</v>
      </c>
      <c r="K65" s="2">
        <f>K64/K45</f>
        <v>0.57189744353068139</v>
      </c>
      <c r="L65" s="2">
        <f t="shared" ref="L65:V65" si="11">L64/L45</f>
        <v>0.57777697215777257</v>
      </c>
      <c r="M65" s="2">
        <f t="shared" si="11"/>
        <v>0.58713754905024829</v>
      </c>
      <c r="N65" s="2">
        <f t="shared" si="11"/>
        <v>0.56677120261794378</v>
      </c>
      <c r="O65" s="2">
        <f t="shared" si="11"/>
        <v>0.58816681631010248</v>
      </c>
      <c r="P65" s="2">
        <f t="shared" si="11"/>
        <v>0.59747210135275142</v>
      </c>
      <c r="Q65" s="2">
        <f t="shared" si="11"/>
        <v>0.6012259957584033</v>
      </c>
      <c r="R65" s="2">
        <f t="shared" si="11"/>
        <v>0.60273893613954155</v>
      </c>
      <c r="S65" s="2">
        <f t="shared" si="11"/>
        <v>0.57711903055573655</v>
      </c>
      <c r="T65" s="2">
        <f t="shared" si="11"/>
        <v>0.55485489072017202</v>
      </c>
      <c r="U65" s="2">
        <f t="shared" si="11"/>
        <v>0.55960085731351672</v>
      </c>
      <c r="V65" s="2">
        <f t="shared" si="11"/>
        <v>0.53294528521536666</v>
      </c>
    </row>
    <row r="67" spans="2:22" x14ac:dyDescent="0.3">
      <c r="B67" s="177" t="s">
        <v>225</v>
      </c>
      <c r="C67" s="151"/>
      <c r="D67" s="151"/>
      <c r="E67" s="151"/>
      <c r="F67" s="151"/>
      <c r="G67" s="151"/>
      <c r="H67" s="151"/>
      <c r="I67" s="151"/>
      <c r="K67" s="349" t="s">
        <v>230</v>
      </c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</row>
    <row r="85" spans="2:22" x14ac:dyDescent="0.3">
      <c r="B85" s="177" t="s">
        <v>226</v>
      </c>
      <c r="C85" s="177"/>
      <c r="D85" s="177"/>
      <c r="E85" s="177"/>
      <c r="F85" s="151"/>
      <c r="G85" s="151"/>
      <c r="H85" s="151"/>
      <c r="I85" s="151"/>
      <c r="J85" s="151"/>
      <c r="K85" s="349" t="s">
        <v>231</v>
      </c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</row>
    <row r="87" spans="2:22" x14ac:dyDescent="0.3">
      <c r="B87" s="190" t="s">
        <v>20</v>
      </c>
      <c r="C87" s="190"/>
      <c r="D87" s="190"/>
      <c r="E87" s="191">
        <v>2023</v>
      </c>
      <c r="F87" s="191">
        <v>2024</v>
      </c>
      <c r="G87" s="191">
        <v>2025</v>
      </c>
      <c r="H87" s="191">
        <v>2026</v>
      </c>
      <c r="I87" s="191">
        <v>2027</v>
      </c>
      <c r="J87" s="190"/>
      <c r="K87" s="191" t="s">
        <v>25</v>
      </c>
      <c r="L87" s="191" t="s">
        <v>26</v>
      </c>
      <c r="M87" s="191" t="s">
        <v>27</v>
      </c>
      <c r="N87" s="191" t="s">
        <v>28</v>
      </c>
      <c r="O87" s="191" t="s">
        <v>29</v>
      </c>
      <c r="P87" s="191" t="s">
        <v>30</v>
      </c>
      <c r="Q87" s="191" t="s">
        <v>31</v>
      </c>
      <c r="R87" s="191" t="s">
        <v>32</v>
      </c>
      <c r="S87" s="191" t="s">
        <v>33</v>
      </c>
      <c r="T87" s="191" t="s">
        <v>34</v>
      </c>
      <c r="U87" s="191" t="s">
        <v>35</v>
      </c>
      <c r="V87" s="191" t="s">
        <v>36</v>
      </c>
    </row>
    <row r="88" spans="2:22" x14ac:dyDescent="0.3">
      <c r="B88" t="s">
        <v>48</v>
      </c>
      <c r="E88" s="203">
        <f>'Statements Summary 2023'!V86</f>
        <v>132558.79999999999</v>
      </c>
      <c r="F88" s="203">
        <f>'Statements Summary 2024'!V88</f>
        <v>405541.71787996864</v>
      </c>
      <c r="G88" s="203">
        <f t="shared" ref="G88:G99" si="12">V88</f>
        <v>711191.8304843161</v>
      </c>
      <c r="H88" s="203">
        <f>'Statements Summary 2026'!V88</f>
        <v>1023265.343088664</v>
      </c>
      <c r="I88" s="203">
        <f>'Statements Summary 2027'!V88</f>
        <v>1399460.2556930115</v>
      </c>
      <c r="K88" s="203">
        <f>'BS 2025'!F14</f>
        <v>417311.31787996861</v>
      </c>
      <c r="L88" s="203">
        <f>'BS 2025'!G14</f>
        <v>440438.53446011647</v>
      </c>
      <c r="M88" s="203">
        <f>'BS 2025'!H14</f>
        <v>464124.15461730555</v>
      </c>
      <c r="N88" s="203">
        <f>'BS 2025'!I14</f>
        <v>487832.77259415807</v>
      </c>
      <c r="O88" s="203">
        <f>'BS 2025'!J14</f>
        <v>512045.81117104721</v>
      </c>
      <c r="P88" s="203">
        <f>'BS 2025'!K14</f>
        <v>537315.04076431505</v>
      </c>
      <c r="Q88" s="203">
        <f>'BS 2025'!L14</f>
        <v>563485.65626546484</v>
      </c>
      <c r="R88" s="203">
        <f>'BS 2025'!M14</f>
        <v>590560.48232357809</v>
      </c>
      <c r="S88" s="203">
        <f>'BS 2025'!N14</f>
        <v>619605.70858931961</v>
      </c>
      <c r="T88" s="203">
        <f>'BS 2025'!O14</f>
        <v>650731.55455174344</v>
      </c>
      <c r="U88" s="203">
        <f>'BS 2025'!P14</f>
        <v>683276.17394225998</v>
      </c>
      <c r="V88" s="203">
        <f>'BS 2025'!Q14</f>
        <v>711191.8304843161</v>
      </c>
    </row>
    <row r="89" spans="2:22" x14ac:dyDescent="0.3">
      <c r="B89" t="s">
        <v>49</v>
      </c>
      <c r="E89" s="203">
        <f>'Statements Summary 2023'!V87</f>
        <v>270532</v>
      </c>
      <c r="F89" s="203">
        <f>'Statements Summary 2024'!V89</f>
        <v>288332</v>
      </c>
      <c r="G89" s="203">
        <f t="shared" si="12"/>
        <v>309481</v>
      </c>
      <c r="H89" s="203">
        <f>'Statements Summary 2026'!V89</f>
        <v>331018</v>
      </c>
      <c r="I89" s="203">
        <f>'Statements Summary 2027'!V89</f>
        <v>352400</v>
      </c>
      <c r="K89" s="203">
        <f>'BS 2025'!F19</f>
        <v>290182</v>
      </c>
      <c r="L89" s="203">
        <f>'BS 2025'!G19</f>
        <v>292032</v>
      </c>
      <c r="M89" s="203">
        <f>'BS 2025'!H19</f>
        <v>293882</v>
      </c>
      <c r="N89" s="203">
        <f>'BS 2025'!I19</f>
        <v>295593</v>
      </c>
      <c r="O89" s="203">
        <f>'BS 2025'!J19</f>
        <v>297304</v>
      </c>
      <c r="P89" s="203">
        <f>'BS 2025'!K19</f>
        <v>299015</v>
      </c>
      <c r="Q89" s="203">
        <f>'BS 2025'!L19</f>
        <v>300726</v>
      </c>
      <c r="R89" s="203">
        <f>'BS 2025'!M19</f>
        <v>302437</v>
      </c>
      <c r="S89" s="203">
        <f>'BS 2025'!N19</f>
        <v>304148</v>
      </c>
      <c r="T89" s="203">
        <f>'BS 2025'!O19</f>
        <v>305859</v>
      </c>
      <c r="U89" s="203">
        <f>'BS 2025'!P19</f>
        <v>307570</v>
      </c>
      <c r="V89" s="203">
        <f>'BS 2025'!Q19</f>
        <v>309481</v>
      </c>
    </row>
    <row r="90" spans="2:22" x14ac:dyDescent="0.3">
      <c r="B90" t="s">
        <v>50</v>
      </c>
      <c r="E90" s="203">
        <f>'Statements Summary 2023'!V88</f>
        <v>403090.8</v>
      </c>
      <c r="F90" s="203">
        <f>'Statements Summary 2024'!V90</f>
        <v>693873.7178799687</v>
      </c>
      <c r="G90" s="203">
        <f t="shared" si="12"/>
        <v>1020672.8304843161</v>
      </c>
      <c r="H90" s="203">
        <f>'Statements Summary 2026'!V90</f>
        <v>1354283.3430886641</v>
      </c>
      <c r="I90" s="203">
        <f>'Statements Summary 2027'!V90</f>
        <v>1751860.2556930115</v>
      </c>
      <c r="K90" s="203">
        <f>'BS 2025'!F20</f>
        <v>707493.31787996856</v>
      </c>
      <c r="L90" s="203">
        <f>'BS 2025'!G20</f>
        <v>732470.53446011641</v>
      </c>
      <c r="M90" s="203">
        <f>'BS 2025'!H20</f>
        <v>758006.15461730561</v>
      </c>
      <c r="N90" s="203">
        <f>'BS 2025'!I20</f>
        <v>783425.77259415807</v>
      </c>
      <c r="O90" s="203">
        <f>'BS 2025'!J20</f>
        <v>809349.81117104716</v>
      </c>
      <c r="P90" s="203">
        <f>'BS 2025'!K20</f>
        <v>836330.04076431505</v>
      </c>
      <c r="Q90" s="203">
        <f>'BS 2025'!L20</f>
        <v>864211.65626546484</v>
      </c>
      <c r="R90" s="203">
        <f>'BS 2025'!M20</f>
        <v>892997.48232357809</v>
      </c>
      <c r="S90" s="203">
        <f>'BS 2025'!N20</f>
        <v>923753.70858931961</v>
      </c>
      <c r="T90" s="203">
        <f>'BS 2025'!O20</f>
        <v>956590.55455174344</v>
      </c>
      <c r="U90" s="203">
        <f>'BS 2025'!P20</f>
        <v>990846.17394225998</v>
      </c>
      <c r="V90" s="203">
        <f>'BS 2025'!Q20</f>
        <v>1020672.8304843161</v>
      </c>
    </row>
    <row r="91" spans="2:22" x14ac:dyDescent="0.3">
      <c r="B91" t="s">
        <v>51</v>
      </c>
      <c r="E91" s="203">
        <f>'Statements Summary 2023'!V89</f>
        <v>-3186.6000000000004</v>
      </c>
      <c r="F91" s="203">
        <f>'Statements Summary 2024'!V91</f>
        <v>-3602</v>
      </c>
      <c r="G91" s="203">
        <f t="shared" si="12"/>
        <v>-3910</v>
      </c>
      <c r="H91" s="203">
        <f>'Statements Summary 2026'!V91</f>
        <v>-3177.6000000000004</v>
      </c>
      <c r="I91" s="203">
        <f>'Statements Summary 2027'!V91</f>
        <v>-3168.8</v>
      </c>
      <c r="K91" s="203">
        <f>'BS 2025'!F25</f>
        <v>-3378.4</v>
      </c>
      <c r="L91" s="203">
        <f>'BS 2025'!G25</f>
        <v>-3520.6000000000004</v>
      </c>
      <c r="M91" s="203">
        <f>'BS 2025'!H25</f>
        <v>-3763.2000000000003</v>
      </c>
      <c r="N91" s="203">
        <f>'BS 2025'!I25</f>
        <v>-4583.2</v>
      </c>
      <c r="O91" s="203">
        <f>'BS 2025'!J25</f>
        <v>-5175.8</v>
      </c>
      <c r="P91" s="203">
        <f>'BS 2025'!K25</f>
        <v>-5472.6</v>
      </c>
      <c r="Q91" s="203">
        <f>'BS 2025'!L25</f>
        <v>-5600.2000000000007</v>
      </c>
      <c r="R91" s="203">
        <f>'BS 2025'!M25</f>
        <v>-5653</v>
      </c>
      <c r="S91" s="203">
        <f>'BS 2025'!N25</f>
        <v>-4855.6000000000004</v>
      </c>
      <c r="T91" s="203">
        <f>'BS 2025'!O25</f>
        <v>-4298</v>
      </c>
      <c r="U91" s="203">
        <f>'BS 2025'!P25</f>
        <v>-4408.2</v>
      </c>
      <c r="V91" s="203">
        <f>'BS 2025'!Q25</f>
        <v>-3910</v>
      </c>
    </row>
    <row r="92" spans="2:22" x14ac:dyDescent="0.3">
      <c r="B92" t="s">
        <v>198</v>
      </c>
      <c r="E92" s="203">
        <f>'Statements Summary 2023'!V90</f>
        <v>-189500</v>
      </c>
      <c r="F92" s="203">
        <f>'Statements Summary 2024'!V92</f>
        <v>-123500</v>
      </c>
      <c r="G92" s="203">
        <f t="shared" si="12"/>
        <v>-57500</v>
      </c>
      <c r="H92" s="203">
        <f>'Statements Summary 2026'!V92</f>
        <v>0</v>
      </c>
      <c r="I92" s="203">
        <f>'Statements Summary 2027'!V92</f>
        <v>0</v>
      </c>
      <c r="K92" s="203">
        <f>'BS 2025'!F27</f>
        <v>-118000</v>
      </c>
      <c r="L92" s="203">
        <f>'BS 2025'!G27</f>
        <v>-112500</v>
      </c>
      <c r="M92" s="203">
        <f>'BS 2025'!H27</f>
        <v>-107000</v>
      </c>
      <c r="N92" s="203">
        <f>'BS 2025'!I27</f>
        <v>-101500</v>
      </c>
      <c r="O92" s="203">
        <f>'BS 2025'!J27</f>
        <v>-96000</v>
      </c>
      <c r="P92" s="203">
        <f>'BS 2025'!K27</f>
        <v>-90500</v>
      </c>
      <c r="Q92" s="203">
        <f>'BS 2025'!L27</f>
        <v>-85000</v>
      </c>
      <c r="R92" s="203">
        <f>'BS 2025'!M27</f>
        <v>-79500</v>
      </c>
      <c r="S92" s="203">
        <f>'BS 2025'!N27</f>
        <v>-74000</v>
      </c>
      <c r="T92" s="203">
        <f>'BS 2025'!O27</f>
        <v>-68500</v>
      </c>
      <c r="U92" s="203">
        <f>'BS 2025'!P27</f>
        <v>-63000</v>
      </c>
      <c r="V92" s="203">
        <f>'BS 2025'!Q27</f>
        <v>-57500</v>
      </c>
    </row>
    <row r="93" spans="2:22" x14ac:dyDescent="0.3">
      <c r="B93" t="s">
        <v>53</v>
      </c>
      <c r="E93" s="203">
        <f>'Statements Summary 2023'!V91</f>
        <v>-192686.6</v>
      </c>
      <c r="F93" s="203">
        <f>'Statements Summary 2024'!V93</f>
        <v>-127102</v>
      </c>
      <c r="G93" s="203">
        <f t="shared" si="12"/>
        <v>-61410</v>
      </c>
      <c r="H93" s="203">
        <f>'Statements Summary 2026'!V93</f>
        <v>-3177.6000000000004</v>
      </c>
      <c r="I93" s="203">
        <f>'Statements Summary 2027'!V93</f>
        <v>-3168.8</v>
      </c>
      <c r="K93" s="203">
        <f>'BS 2025'!F32</f>
        <v>-121378.4</v>
      </c>
      <c r="L93" s="203">
        <f>'BS 2025'!G32</f>
        <v>-116020.6</v>
      </c>
      <c r="M93" s="203">
        <f>'BS 2025'!H32</f>
        <v>-110763.2</v>
      </c>
      <c r="N93" s="203">
        <f>'BS 2025'!I32</f>
        <v>-106083.2</v>
      </c>
      <c r="O93" s="203">
        <f>'BS 2025'!J32</f>
        <v>-101175.8</v>
      </c>
      <c r="P93" s="203">
        <f>'BS 2025'!K32</f>
        <v>-95972.6</v>
      </c>
      <c r="Q93" s="203">
        <f>'BS 2025'!L32</f>
        <v>-90600.2</v>
      </c>
      <c r="R93" s="203">
        <f>'BS 2025'!M32</f>
        <v>-85153</v>
      </c>
      <c r="S93" s="203">
        <f>'BS 2025'!N32</f>
        <v>-78855.600000000006</v>
      </c>
      <c r="T93" s="203">
        <f>'BS 2025'!O32</f>
        <v>-72798</v>
      </c>
      <c r="U93" s="203">
        <f>'BS 2025'!P32</f>
        <v>-67408.2</v>
      </c>
      <c r="V93" s="203">
        <f>'BS 2025'!Q32</f>
        <v>-61410</v>
      </c>
    </row>
    <row r="94" spans="2:22" x14ac:dyDescent="0.3">
      <c r="B94" t="s">
        <v>54</v>
      </c>
      <c r="E94" s="203">
        <f>'Statements Summary 2023'!V92</f>
        <v>210404.19999999998</v>
      </c>
      <c r="F94" s="203">
        <f>'Statements Summary 2024'!V94</f>
        <v>566771.7178799687</v>
      </c>
      <c r="G94" s="203">
        <f t="shared" si="12"/>
        <v>901762.8304843161</v>
      </c>
      <c r="H94" s="203">
        <f>'Statements Summary 2026'!V94</f>
        <v>1351105.743088664</v>
      </c>
      <c r="I94" s="203">
        <f>'Statements Summary 2027'!V94</f>
        <v>1748691.4556930114</v>
      </c>
      <c r="K94" s="203">
        <f>'BS 2025'!F33</f>
        <v>468114.91787996853</v>
      </c>
      <c r="L94" s="203">
        <f>'BS 2025'!G33</f>
        <v>503949.93446011643</v>
      </c>
      <c r="M94" s="203">
        <f>'BS 2025'!H33</f>
        <v>540242.95461730566</v>
      </c>
      <c r="N94" s="203">
        <f>'BS 2025'!I33</f>
        <v>575842.57259415812</v>
      </c>
      <c r="O94" s="203">
        <f>'BS 2025'!J33</f>
        <v>612174.01117104711</v>
      </c>
      <c r="P94" s="203">
        <f>'BS 2025'!K33</f>
        <v>649857.44076431508</v>
      </c>
      <c r="Q94" s="203">
        <f>'BS 2025'!L33</f>
        <v>688611.45626546489</v>
      </c>
      <c r="R94" s="203">
        <f>'BS 2025'!M33</f>
        <v>728344.48232357809</v>
      </c>
      <c r="S94" s="203">
        <f>'BS 2025'!N33</f>
        <v>770898.10858931963</v>
      </c>
      <c r="T94" s="203">
        <f>'BS 2025'!O33</f>
        <v>815292.55455174344</v>
      </c>
      <c r="U94" s="203">
        <f>'BS 2025'!P33</f>
        <v>860437.97394226003</v>
      </c>
      <c r="V94" s="203">
        <f>'BS 2025'!Q33</f>
        <v>901762.8304843161</v>
      </c>
    </row>
    <row r="95" spans="2:22" x14ac:dyDescent="0.3">
      <c r="B95" t="s">
        <v>55</v>
      </c>
      <c r="E95" s="203">
        <f>'Statements Summary 2023'!V93</f>
        <v>132558.79999999999</v>
      </c>
      <c r="F95" s="203">
        <f>'Statements Summary 2024'!V95</f>
        <v>405541.71787996864</v>
      </c>
      <c r="G95" s="203">
        <f t="shared" si="12"/>
        <v>711191.8304843161</v>
      </c>
      <c r="H95" s="203">
        <f>'Statements Summary 2026'!V95</f>
        <v>1023265.343088664</v>
      </c>
      <c r="I95" s="203">
        <f>'Statements Summary 2027'!V95</f>
        <v>1399460.2556930115</v>
      </c>
      <c r="K95" s="203">
        <f>'BS 2025'!F14</f>
        <v>417311.31787996861</v>
      </c>
      <c r="L95" s="203">
        <f>'BS 2025'!G14</f>
        <v>440438.53446011647</v>
      </c>
      <c r="M95" s="203">
        <f>'BS 2025'!H14</f>
        <v>464124.15461730555</v>
      </c>
      <c r="N95" s="203">
        <f>'BS 2025'!I14</f>
        <v>487832.77259415807</v>
      </c>
      <c r="O95" s="203">
        <f>'BS 2025'!J14</f>
        <v>512045.81117104721</v>
      </c>
      <c r="P95" s="203">
        <f>'BS 2025'!K14</f>
        <v>537315.04076431505</v>
      </c>
      <c r="Q95" s="203">
        <f>'BS 2025'!L14</f>
        <v>563485.65626546484</v>
      </c>
      <c r="R95" s="203">
        <f>'BS 2025'!M14</f>
        <v>590560.48232357809</v>
      </c>
      <c r="S95" s="203">
        <f>'BS 2025'!N14</f>
        <v>619605.70858931961</v>
      </c>
      <c r="T95" s="203">
        <f>'BS 2025'!O14</f>
        <v>650731.55455174344</v>
      </c>
      <c r="U95" s="203">
        <f>'BS 2025'!P14</f>
        <v>683276.17394225998</v>
      </c>
      <c r="V95" s="203">
        <f>'BS 2025'!Q14</f>
        <v>711191.8304843161</v>
      </c>
    </row>
    <row r="96" spans="2:22" x14ac:dyDescent="0.3">
      <c r="B96" t="s">
        <v>56</v>
      </c>
      <c r="E96" s="203" t="str">
        <f>'Statements Summary 2023'!V94</f>
        <v>-</v>
      </c>
      <c r="F96" s="203" t="str">
        <f>'Statements Summary 2024'!V96</f>
        <v>-</v>
      </c>
      <c r="G96" s="203" t="str">
        <f t="shared" si="12"/>
        <v>-</v>
      </c>
      <c r="H96" s="203" t="str">
        <f>'Statements Summary 2026'!V96</f>
        <v>-</v>
      </c>
      <c r="I96" s="203" t="str">
        <f>'Statements Summary 2027'!V96</f>
        <v>-</v>
      </c>
      <c r="K96" s="203" t="s">
        <v>192</v>
      </c>
      <c r="L96" s="203" t="s">
        <v>192</v>
      </c>
      <c r="M96" s="203" t="s">
        <v>192</v>
      </c>
      <c r="N96" s="203" t="s">
        <v>192</v>
      </c>
      <c r="O96" s="203" t="s">
        <v>192</v>
      </c>
      <c r="P96" s="203" t="s">
        <v>192</v>
      </c>
      <c r="Q96" s="203" t="s">
        <v>192</v>
      </c>
      <c r="R96" s="203" t="s">
        <v>192</v>
      </c>
      <c r="S96" s="203" t="s">
        <v>192</v>
      </c>
      <c r="T96" s="203" t="s">
        <v>192</v>
      </c>
      <c r="U96" s="203" t="s">
        <v>192</v>
      </c>
      <c r="V96" s="203" t="s">
        <v>192</v>
      </c>
    </row>
    <row r="97" spans="2:22" x14ac:dyDescent="0.3">
      <c r="B97" t="s">
        <v>57</v>
      </c>
      <c r="E97" s="203">
        <f>'Statements Summary 2023'!V95</f>
        <v>0</v>
      </c>
      <c r="F97" s="203">
        <f>'Statements Summary 2024'!V97</f>
        <v>0</v>
      </c>
      <c r="G97" s="203">
        <f t="shared" si="12"/>
        <v>0</v>
      </c>
      <c r="H97" s="203">
        <f>'Statements Summary 2026'!V97</f>
        <v>0</v>
      </c>
      <c r="I97" s="203">
        <f>'Statements Summary 2027'!V97</f>
        <v>0</v>
      </c>
      <c r="K97" s="203" t="s">
        <v>192</v>
      </c>
      <c r="L97" s="203" t="s">
        <v>192</v>
      </c>
      <c r="M97" s="203" t="s">
        <v>192</v>
      </c>
      <c r="N97" s="203" t="s">
        <v>192</v>
      </c>
      <c r="O97" s="203" t="s">
        <v>192</v>
      </c>
      <c r="P97" s="203" t="s">
        <v>192</v>
      </c>
      <c r="Q97" s="203" t="s">
        <v>192</v>
      </c>
      <c r="R97" s="203" t="s">
        <v>192</v>
      </c>
      <c r="S97" s="203" t="s">
        <v>192</v>
      </c>
      <c r="T97" s="203" t="s">
        <v>192</v>
      </c>
      <c r="U97" s="203" t="s">
        <v>192</v>
      </c>
      <c r="V97" s="203"/>
    </row>
    <row r="98" spans="2:22" x14ac:dyDescent="0.3">
      <c r="B98" t="s">
        <v>58</v>
      </c>
      <c r="E98" s="203">
        <f>'Statements Summary 2023'!V96</f>
        <v>210404.19999999998</v>
      </c>
      <c r="F98" s="203">
        <f>'Statements Summary 2024'!V98</f>
        <v>566771.7178799687</v>
      </c>
      <c r="G98" s="203">
        <f t="shared" si="12"/>
        <v>901762.8304843161</v>
      </c>
      <c r="H98" s="203">
        <f>'Statements Summary 2026'!V98</f>
        <v>1351105.743088664</v>
      </c>
      <c r="I98" s="203">
        <f>'Statements Summary 2027'!V98</f>
        <v>1748691.4556930114</v>
      </c>
      <c r="K98" s="203">
        <f>K94</f>
        <v>468114.91787996853</v>
      </c>
      <c r="L98" s="203">
        <f t="shared" ref="L98:V98" si="13">L94</f>
        <v>503949.93446011643</v>
      </c>
      <c r="M98" s="203">
        <f t="shared" si="13"/>
        <v>540242.95461730566</v>
      </c>
      <c r="N98" s="203">
        <f t="shared" si="13"/>
        <v>575842.57259415812</v>
      </c>
      <c r="O98" s="203">
        <f t="shared" si="13"/>
        <v>612174.01117104711</v>
      </c>
      <c r="P98" s="203">
        <f t="shared" si="13"/>
        <v>649857.44076431508</v>
      </c>
      <c r="Q98" s="203">
        <f t="shared" si="13"/>
        <v>688611.45626546489</v>
      </c>
      <c r="R98" s="203">
        <f t="shared" si="13"/>
        <v>728344.48232357809</v>
      </c>
      <c r="S98" s="203">
        <f t="shared" si="13"/>
        <v>770898.10858931963</v>
      </c>
      <c r="T98" s="203">
        <f t="shared" si="13"/>
        <v>815292.55455174344</v>
      </c>
      <c r="U98" s="203">
        <f t="shared" si="13"/>
        <v>860437.97394226003</v>
      </c>
      <c r="V98" s="203">
        <f t="shared" si="13"/>
        <v>901762.8304843161</v>
      </c>
    </row>
    <row r="99" spans="2:22" x14ac:dyDescent="0.3">
      <c r="B99" t="s">
        <v>59</v>
      </c>
      <c r="E99" s="203">
        <f>'Statements Summary 2023'!V97</f>
        <v>210404.19999999998</v>
      </c>
      <c r="F99" s="203">
        <f>'Statements Summary 2024'!V99</f>
        <v>566771.7178799687</v>
      </c>
      <c r="G99" s="203">
        <f t="shared" si="12"/>
        <v>901762.8304843161</v>
      </c>
      <c r="H99" s="203">
        <f>'Statements Summary 2026'!V99</f>
        <v>1351105.743088664</v>
      </c>
      <c r="I99" s="203">
        <f>'Statements Summary 2027'!V99</f>
        <v>1748691.4556930114</v>
      </c>
      <c r="K99" s="203">
        <f>K98</f>
        <v>468114.91787996853</v>
      </c>
      <c r="L99" s="203">
        <f t="shared" ref="L99:V99" si="14">L98</f>
        <v>503949.93446011643</v>
      </c>
      <c r="M99" s="203">
        <f t="shared" si="14"/>
        <v>540242.95461730566</v>
      </c>
      <c r="N99" s="203">
        <f t="shared" si="14"/>
        <v>575842.57259415812</v>
      </c>
      <c r="O99" s="203">
        <f t="shared" si="14"/>
        <v>612174.01117104711</v>
      </c>
      <c r="P99" s="203">
        <f t="shared" si="14"/>
        <v>649857.44076431508</v>
      </c>
      <c r="Q99" s="203">
        <f t="shared" si="14"/>
        <v>688611.45626546489</v>
      </c>
      <c r="R99" s="203">
        <f t="shared" si="14"/>
        <v>728344.48232357809</v>
      </c>
      <c r="S99" s="203">
        <f t="shared" si="14"/>
        <v>770898.10858931963</v>
      </c>
      <c r="T99" s="203">
        <f t="shared" si="14"/>
        <v>815292.55455174344</v>
      </c>
      <c r="U99" s="203">
        <f t="shared" si="14"/>
        <v>860437.97394226003</v>
      </c>
      <c r="V99" s="203">
        <f t="shared" si="14"/>
        <v>901762.8304843161</v>
      </c>
    </row>
    <row r="101" spans="2:22" x14ac:dyDescent="0.3">
      <c r="B101" s="177" t="s">
        <v>226</v>
      </c>
      <c r="C101" s="151"/>
      <c r="D101" s="151"/>
      <c r="E101" s="151"/>
      <c r="F101" s="151"/>
      <c r="G101" s="151"/>
      <c r="H101" s="151"/>
      <c r="I101" s="151"/>
      <c r="K101" s="349" t="s">
        <v>231</v>
      </c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88"/>
  <sheetViews>
    <sheetView showGridLines="0" topLeftCell="A28" workbookViewId="0">
      <selection activeCell="F45" sqref="F45:T45"/>
    </sheetView>
  </sheetViews>
  <sheetFormatPr defaultRowHeight="14.4" x14ac:dyDescent="0.3"/>
  <cols>
    <col min="1" max="1" width="5" customWidth="1"/>
    <col min="2" max="2" width="3.88671875" customWidth="1"/>
    <col min="5" max="5" width="14.33203125" customWidth="1"/>
    <col min="6" max="6" width="8.88671875" style="127"/>
    <col min="8" max="8" width="9.5546875" bestFit="1" customWidth="1"/>
    <col min="9" max="9" width="9.88671875" customWidth="1"/>
    <col min="10" max="10" width="9.5546875" bestFit="1" customWidth="1"/>
    <col min="11" max="11" width="10.5546875" bestFit="1" customWidth="1"/>
    <col min="12" max="12" width="9.664062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7" t="s">
        <v>140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7"/>
      <c r="B5" s="150" t="s">
        <v>172</v>
      </c>
      <c r="C5" s="147"/>
      <c r="D5" s="147"/>
      <c r="E5" s="147"/>
      <c r="F5" s="200">
        <v>2026</v>
      </c>
      <c r="G5" s="200">
        <v>2026</v>
      </c>
      <c r="H5" s="200">
        <v>2026</v>
      </c>
      <c r="I5" s="200">
        <v>2026</v>
      </c>
      <c r="J5" s="200">
        <v>2026</v>
      </c>
      <c r="K5" s="200">
        <v>2026</v>
      </c>
      <c r="L5" s="200">
        <v>2026</v>
      </c>
      <c r="M5" s="200">
        <v>2026</v>
      </c>
      <c r="N5" s="200">
        <v>2026</v>
      </c>
      <c r="O5" s="200">
        <v>2026</v>
      </c>
      <c r="P5" s="200">
        <v>2026</v>
      </c>
      <c r="Q5" s="200">
        <v>2026</v>
      </c>
      <c r="R5" s="200">
        <v>2027</v>
      </c>
      <c r="S5" s="200">
        <v>2027</v>
      </c>
      <c r="T5" s="200">
        <v>2027</v>
      </c>
      <c r="U5" s="177" t="s">
        <v>72</v>
      </c>
    </row>
    <row r="6" spans="1:42" ht="15" thickBot="1" x14ac:dyDescent="0.35">
      <c r="A6" s="149"/>
      <c r="B6" s="156" t="s">
        <v>64</v>
      </c>
      <c r="C6" s="149"/>
      <c r="D6" s="149"/>
      <c r="E6" s="149"/>
      <c r="F6" s="199" t="s">
        <v>25</v>
      </c>
      <c r="G6" s="199" t="s">
        <v>26</v>
      </c>
      <c r="H6" s="199" t="s">
        <v>27</v>
      </c>
      <c r="I6" s="199" t="s">
        <v>28</v>
      </c>
      <c r="J6" s="199" t="s">
        <v>29</v>
      </c>
      <c r="K6" s="199" t="s">
        <v>30</v>
      </c>
      <c r="L6" s="199" t="s">
        <v>31</v>
      </c>
      <c r="M6" s="199" t="s">
        <v>32</v>
      </c>
      <c r="N6" s="199" t="s">
        <v>33</v>
      </c>
      <c r="O6" s="199" t="s">
        <v>34</v>
      </c>
      <c r="P6" s="199" t="s">
        <v>35</v>
      </c>
      <c r="Q6" s="199" t="s">
        <v>36</v>
      </c>
      <c r="R6" s="199" t="s">
        <v>25</v>
      </c>
      <c r="S6" s="199" t="s">
        <v>26</v>
      </c>
      <c r="T6" s="199" t="s">
        <v>27</v>
      </c>
      <c r="U6" s="162"/>
    </row>
    <row r="7" spans="1:42" s="12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30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9" t="s">
        <v>141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39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0.199999999999999" customHeight="1" x14ac:dyDescent="0.3">
      <c r="A10" s="9"/>
      <c r="B10" s="9"/>
      <c r="C10" s="139" t="s">
        <v>281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x14ac:dyDescent="0.3">
      <c r="A11" s="9"/>
      <c r="B11" s="9"/>
      <c r="C11" s="140" t="s">
        <v>273</v>
      </c>
      <c r="D11" s="9"/>
      <c r="E11" s="9"/>
      <c r="F11" s="328">
        <v>5086</v>
      </c>
      <c r="G11" s="328">
        <v>5191</v>
      </c>
      <c r="H11" s="328">
        <v>5322</v>
      </c>
      <c r="I11" s="328">
        <v>5442</v>
      </c>
      <c r="J11" s="328">
        <v>5704</v>
      </c>
      <c r="K11" s="328">
        <v>5915</v>
      </c>
      <c r="L11" s="328">
        <v>6029</v>
      </c>
      <c r="M11" s="328">
        <v>6226</v>
      </c>
      <c r="N11" s="328">
        <v>6430</v>
      </c>
      <c r="O11" s="328">
        <v>6799</v>
      </c>
      <c r="P11" s="328">
        <v>6964</v>
      </c>
      <c r="Q11" s="328">
        <v>5058</v>
      </c>
      <c r="R11" s="328">
        <f>'IS 2027'!F11</f>
        <v>5186</v>
      </c>
      <c r="S11" s="328">
        <f>'IS 2027'!G11</f>
        <v>5291</v>
      </c>
      <c r="T11" s="328">
        <f>'IS 2027'!H11</f>
        <v>5322</v>
      </c>
      <c r="U11" s="9"/>
    </row>
    <row r="12" spans="1:42" x14ac:dyDescent="0.3">
      <c r="A12" s="9"/>
      <c r="B12" s="9"/>
      <c r="C12" s="140" t="s">
        <v>274</v>
      </c>
      <c r="D12" s="9"/>
      <c r="E12" s="9"/>
      <c r="F12" s="328">
        <v>6357</v>
      </c>
      <c r="G12" s="328">
        <v>6357</v>
      </c>
      <c r="H12" s="328">
        <v>6489</v>
      </c>
      <c r="I12" s="328">
        <v>6653</v>
      </c>
      <c r="J12" s="328">
        <v>6802</v>
      </c>
      <c r="K12" s="328">
        <v>7130</v>
      </c>
      <c r="L12" s="328">
        <v>7393</v>
      </c>
      <c r="M12" s="328">
        <v>7537</v>
      </c>
      <c r="N12" s="328">
        <v>7782</v>
      </c>
      <c r="O12" s="328">
        <v>8037</v>
      </c>
      <c r="P12" s="328">
        <v>8499</v>
      </c>
      <c r="Q12" s="328">
        <v>7704</v>
      </c>
      <c r="R12" s="328">
        <f>'IS 2027'!F12</f>
        <v>6357</v>
      </c>
      <c r="S12" s="328">
        <f>'IS 2027'!G12</f>
        <v>6357</v>
      </c>
      <c r="T12" s="328">
        <f>'IS 2027'!H12</f>
        <v>6989</v>
      </c>
      <c r="U12" s="9"/>
    </row>
    <row r="13" spans="1:42" x14ac:dyDescent="0.3">
      <c r="A13" s="9"/>
      <c r="B13" s="9"/>
      <c r="C13" s="140" t="s">
        <v>276</v>
      </c>
      <c r="D13" s="9"/>
      <c r="E13" s="9"/>
      <c r="F13" s="328">
        <f>SUM(F11:F12)</f>
        <v>11443</v>
      </c>
      <c r="G13" s="328">
        <f t="shared" ref="G13:P13" si="0">SUM(G11:G12)</f>
        <v>11548</v>
      </c>
      <c r="H13" s="328">
        <f t="shared" si="0"/>
        <v>11811</v>
      </c>
      <c r="I13" s="328">
        <f t="shared" si="0"/>
        <v>12095</v>
      </c>
      <c r="J13" s="328">
        <f t="shared" si="0"/>
        <v>12506</v>
      </c>
      <c r="K13" s="328">
        <f t="shared" si="0"/>
        <v>13045</v>
      </c>
      <c r="L13" s="328">
        <f t="shared" si="0"/>
        <v>13422</v>
      </c>
      <c r="M13" s="328">
        <f t="shared" si="0"/>
        <v>13763</v>
      </c>
      <c r="N13" s="328">
        <f t="shared" si="0"/>
        <v>14212</v>
      </c>
      <c r="O13" s="328">
        <f t="shared" si="0"/>
        <v>14836</v>
      </c>
      <c r="P13" s="328">
        <f t="shared" si="0"/>
        <v>15463</v>
      </c>
      <c r="Q13" s="328">
        <f>SUM(Q11:Q12)</f>
        <v>12762</v>
      </c>
      <c r="R13" s="328">
        <f t="shared" ref="R13:T13" si="1">SUM(R11:R12)</f>
        <v>11543</v>
      </c>
      <c r="S13" s="328">
        <f t="shared" si="1"/>
        <v>11648</v>
      </c>
      <c r="T13" s="328">
        <f t="shared" si="1"/>
        <v>12311</v>
      </c>
      <c r="U13" s="9"/>
    </row>
    <row r="14" spans="1:42" x14ac:dyDescent="0.3">
      <c r="A14" s="9"/>
      <c r="B14" s="9"/>
      <c r="C14" s="140" t="s">
        <v>277</v>
      </c>
      <c r="D14" s="9"/>
      <c r="E14" s="9"/>
      <c r="F14" s="330">
        <v>15000</v>
      </c>
      <c r="G14" s="330">
        <v>15000</v>
      </c>
      <c r="H14" s="330">
        <v>15000</v>
      </c>
      <c r="I14" s="330">
        <v>15000</v>
      </c>
      <c r="J14" s="330">
        <v>15000</v>
      </c>
      <c r="K14" s="330">
        <v>15000</v>
      </c>
      <c r="L14" s="330">
        <v>15000</v>
      </c>
      <c r="M14" s="330">
        <v>15000</v>
      </c>
      <c r="N14" s="330">
        <v>15000</v>
      </c>
      <c r="O14" s="330">
        <v>15000</v>
      </c>
      <c r="P14" s="330">
        <v>15000</v>
      </c>
      <c r="Q14" s="330">
        <v>15000</v>
      </c>
      <c r="R14" s="330">
        <v>15001</v>
      </c>
      <c r="S14" s="330">
        <v>15002</v>
      </c>
      <c r="T14" s="330">
        <v>15003</v>
      </c>
      <c r="U14" s="9"/>
    </row>
    <row r="15" spans="1:42" x14ac:dyDescent="0.3">
      <c r="A15" s="9"/>
      <c r="B15" s="9"/>
      <c r="C15" s="140" t="s">
        <v>275</v>
      </c>
      <c r="D15" s="9"/>
      <c r="E15" s="9"/>
      <c r="F15" s="329">
        <f>F13/F$14</f>
        <v>0.76286666666666669</v>
      </c>
      <c r="G15" s="329">
        <f t="shared" ref="G15:T15" si="2">G13/G$14</f>
        <v>0.7698666666666667</v>
      </c>
      <c r="H15" s="329">
        <f t="shared" si="2"/>
        <v>0.78739999999999999</v>
      </c>
      <c r="I15" s="329">
        <f t="shared" si="2"/>
        <v>0.80633333333333335</v>
      </c>
      <c r="J15" s="329">
        <f t="shared" si="2"/>
        <v>0.83373333333333333</v>
      </c>
      <c r="K15" s="329">
        <f t="shared" si="2"/>
        <v>0.8696666666666667</v>
      </c>
      <c r="L15" s="329">
        <f t="shared" si="2"/>
        <v>0.89480000000000004</v>
      </c>
      <c r="M15" s="329">
        <f t="shared" si="2"/>
        <v>0.91753333333333331</v>
      </c>
      <c r="N15" s="329">
        <f t="shared" si="2"/>
        <v>0.94746666666666668</v>
      </c>
      <c r="O15" s="329">
        <f t="shared" si="2"/>
        <v>0.98906666666666665</v>
      </c>
      <c r="P15" s="329">
        <f t="shared" si="2"/>
        <v>1.0308666666666666</v>
      </c>
      <c r="Q15" s="329">
        <f t="shared" si="2"/>
        <v>0.8508</v>
      </c>
      <c r="R15" s="329">
        <f t="shared" si="2"/>
        <v>0.76948203453103126</v>
      </c>
      <c r="S15" s="329">
        <f t="shared" si="2"/>
        <v>0.77642980935875217</v>
      </c>
      <c r="T15" s="329">
        <f t="shared" si="2"/>
        <v>0.8205692194894354</v>
      </c>
      <c r="U15" s="9"/>
    </row>
    <row r="16" spans="1:42" x14ac:dyDescent="0.3">
      <c r="A16" s="9"/>
      <c r="B16" s="9"/>
      <c r="C16" s="140"/>
      <c r="D16" s="9"/>
      <c r="E16" s="9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9"/>
    </row>
    <row r="17" spans="1:21" x14ac:dyDescent="0.3">
      <c r="A17" s="9"/>
      <c r="B17" s="9"/>
      <c r="C17" s="139" t="s">
        <v>280</v>
      </c>
      <c r="D17" s="9"/>
      <c r="E17" s="9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9"/>
    </row>
    <row r="18" spans="1:21" x14ac:dyDescent="0.3">
      <c r="A18" s="9"/>
      <c r="B18" s="9"/>
      <c r="C18" s="140" t="s">
        <v>278</v>
      </c>
      <c r="D18" s="9"/>
      <c r="E18" s="9"/>
      <c r="F18" s="328">
        <v>7393</v>
      </c>
      <c r="G18" s="328">
        <v>7537</v>
      </c>
      <c r="H18" s="328">
        <v>7782</v>
      </c>
      <c r="I18" s="328">
        <v>8037</v>
      </c>
      <c r="J18" s="328">
        <v>8499</v>
      </c>
      <c r="K18" s="328">
        <v>8704</v>
      </c>
      <c r="L18" s="328">
        <v>8877</v>
      </c>
      <c r="M18" s="328">
        <v>8800</v>
      </c>
      <c r="N18" s="328">
        <v>7782</v>
      </c>
      <c r="O18" s="328">
        <v>6037</v>
      </c>
      <c r="P18" s="328">
        <v>5499</v>
      </c>
      <c r="Q18" s="328">
        <v>5704</v>
      </c>
      <c r="R18" s="328">
        <f>'IS 2027'!F18</f>
        <v>7393</v>
      </c>
      <c r="S18" s="328">
        <f>'IS 2027'!G18</f>
        <v>7537</v>
      </c>
      <c r="T18" s="328">
        <f>'IS 2027'!H18</f>
        <v>7782</v>
      </c>
      <c r="U18" s="9"/>
    </row>
    <row r="19" spans="1:21" x14ac:dyDescent="0.3">
      <c r="A19" s="9"/>
      <c r="B19" s="9"/>
      <c r="C19" s="140" t="s">
        <v>279</v>
      </c>
      <c r="D19" s="9"/>
      <c r="E19" s="9"/>
      <c r="F19" s="328">
        <v>8037</v>
      </c>
      <c r="G19" s="328">
        <v>8499</v>
      </c>
      <c r="H19" s="328">
        <v>9204</v>
      </c>
      <c r="I19" s="328">
        <v>9204</v>
      </c>
      <c r="J19" s="328">
        <v>11294</v>
      </c>
      <c r="K19" s="328">
        <v>12034</v>
      </c>
      <c r="L19" s="328">
        <v>12122</v>
      </c>
      <c r="M19" s="328">
        <v>12122</v>
      </c>
      <c r="N19" s="328">
        <v>8704</v>
      </c>
      <c r="O19" s="328">
        <v>7037</v>
      </c>
      <c r="P19" s="328">
        <v>7499</v>
      </c>
      <c r="Q19" s="328">
        <v>7304</v>
      </c>
      <c r="R19" s="328">
        <f>'IS 2027'!F19</f>
        <v>8037</v>
      </c>
      <c r="S19" s="328">
        <f>'IS 2027'!G19</f>
        <v>8499</v>
      </c>
      <c r="T19" s="328">
        <f>'IS 2027'!H19</f>
        <v>9204</v>
      </c>
      <c r="U19" s="9"/>
    </row>
    <row r="20" spans="1:21" x14ac:dyDescent="0.3">
      <c r="A20" s="9"/>
      <c r="B20" s="9"/>
      <c r="C20" s="140" t="s">
        <v>276</v>
      </c>
      <c r="D20" s="9"/>
      <c r="E20" s="9"/>
      <c r="F20" s="328">
        <f>SUM(F18:F19)</f>
        <v>15430</v>
      </c>
      <c r="G20" s="328">
        <f t="shared" ref="G20:T20" si="3">SUM(G18:G19)</f>
        <v>16036</v>
      </c>
      <c r="H20" s="328">
        <f t="shared" si="3"/>
        <v>16986</v>
      </c>
      <c r="I20" s="328">
        <f t="shared" si="3"/>
        <v>17241</v>
      </c>
      <c r="J20" s="328">
        <f t="shared" si="3"/>
        <v>19793</v>
      </c>
      <c r="K20" s="328">
        <f t="shared" si="3"/>
        <v>20738</v>
      </c>
      <c r="L20" s="328">
        <f t="shared" si="3"/>
        <v>20999</v>
      </c>
      <c r="M20" s="328">
        <f t="shared" si="3"/>
        <v>20922</v>
      </c>
      <c r="N20" s="328">
        <f t="shared" si="3"/>
        <v>16486</v>
      </c>
      <c r="O20" s="328">
        <f t="shared" si="3"/>
        <v>13074</v>
      </c>
      <c r="P20" s="328">
        <f t="shared" si="3"/>
        <v>12998</v>
      </c>
      <c r="Q20" s="328">
        <f t="shared" si="3"/>
        <v>13008</v>
      </c>
      <c r="R20" s="328">
        <f t="shared" si="3"/>
        <v>15430</v>
      </c>
      <c r="S20" s="328">
        <f t="shared" si="3"/>
        <v>16036</v>
      </c>
      <c r="T20" s="328">
        <f t="shared" si="3"/>
        <v>16986</v>
      </c>
      <c r="U20" s="9"/>
    </row>
    <row r="21" spans="1:21" x14ac:dyDescent="0.3">
      <c r="A21" s="9"/>
      <c r="B21" s="9"/>
      <c r="C21" s="140" t="s">
        <v>277</v>
      </c>
      <c r="D21" s="9"/>
      <c r="E21" s="9"/>
      <c r="F21" s="327">
        <v>21000</v>
      </c>
      <c r="G21" s="327">
        <v>21000</v>
      </c>
      <c r="H21" s="327">
        <v>21000</v>
      </c>
      <c r="I21" s="327">
        <v>21000</v>
      </c>
      <c r="J21" s="327">
        <v>21000</v>
      </c>
      <c r="K21" s="327">
        <v>21000</v>
      </c>
      <c r="L21" s="327">
        <v>21000</v>
      </c>
      <c r="M21" s="327">
        <v>21000</v>
      </c>
      <c r="N21" s="327">
        <v>21000</v>
      </c>
      <c r="O21" s="327">
        <v>21000</v>
      </c>
      <c r="P21" s="327">
        <v>21000</v>
      </c>
      <c r="Q21" s="327">
        <v>21000</v>
      </c>
      <c r="R21" s="327">
        <v>21001</v>
      </c>
      <c r="S21" s="327">
        <v>21002</v>
      </c>
      <c r="T21" s="327">
        <v>21003</v>
      </c>
      <c r="U21" s="9"/>
    </row>
    <row r="22" spans="1:21" x14ac:dyDescent="0.3">
      <c r="A22" s="9"/>
      <c r="B22" s="9"/>
      <c r="C22" s="140" t="s">
        <v>275</v>
      </c>
      <c r="D22" s="9"/>
      <c r="E22" s="9"/>
      <c r="F22" s="329">
        <f>F20/F$21</f>
        <v>0.73476190476190473</v>
      </c>
      <c r="G22" s="329">
        <f t="shared" ref="G22:T22" si="4">G20/G$21</f>
        <v>0.76361904761904764</v>
      </c>
      <c r="H22" s="329">
        <f t="shared" si="4"/>
        <v>0.80885714285714283</v>
      </c>
      <c r="I22" s="329">
        <f t="shared" si="4"/>
        <v>0.82099999999999995</v>
      </c>
      <c r="J22" s="329">
        <f t="shared" si="4"/>
        <v>0.94252380952380954</v>
      </c>
      <c r="K22" s="329">
        <f t="shared" si="4"/>
        <v>0.98752380952380947</v>
      </c>
      <c r="L22" s="329">
        <f t="shared" si="4"/>
        <v>0.99995238095238093</v>
      </c>
      <c r="M22" s="329">
        <f t="shared" si="4"/>
        <v>0.99628571428571433</v>
      </c>
      <c r="N22" s="329">
        <f t="shared" si="4"/>
        <v>0.78504761904761899</v>
      </c>
      <c r="O22" s="329">
        <f t="shared" si="4"/>
        <v>0.62257142857142855</v>
      </c>
      <c r="P22" s="329">
        <f t="shared" si="4"/>
        <v>0.61895238095238092</v>
      </c>
      <c r="Q22" s="329">
        <f t="shared" si="4"/>
        <v>0.61942857142857144</v>
      </c>
      <c r="R22" s="329">
        <f t="shared" si="4"/>
        <v>0.73472691776582066</v>
      </c>
      <c r="S22" s="329">
        <f t="shared" si="4"/>
        <v>0.76354632892105512</v>
      </c>
      <c r="T22" s="329">
        <f t="shared" si="4"/>
        <v>0.80874160834166553</v>
      </c>
      <c r="U22" s="9"/>
    </row>
    <row r="23" spans="1:21" x14ac:dyDescent="0.3">
      <c r="A23" s="9"/>
      <c r="B23" s="9"/>
      <c r="C23" s="140"/>
      <c r="D23" s="9"/>
      <c r="E23" s="9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9"/>
    </row>
    <row r="24" spans="1:21" x14ac:dyDescent="0.3">
      <c r="A24" s="147"/>
      <c r="B24" s="147"/>
      <c r="C24" s="150" t="s">
        <v>115</v>
      </c>
      <c r="D24" s="147"/>
      <c r="E24" s="147"/>
      <c r="F24" s="148">
        <f>F13+F20</f>
        <v>26873</v>
      </c>
      <c r="G24" s="148">
        <f t="shared" ref="G24:U24" si="5">G13+G20</f>
        <v>27584</v>
      </c>
      <c r="H24" s="148">
        <f t="shared" si="5"/>
        <v>28797</v>
      </c>
      <c r="I24" s="148">
        <f t="shared" si="5"/>
        <v>29336</v>
      </c>
      <c r="J24" s="148">
        <f t="shared" si="5"/>
        <v>32299</v>
      </c>
      <c r="K24" s="148">
        <f t="shared" si="5"/>
        <v>33783</v>
      </c>
      <c r="L24" s="148">
        <f t="shared" si="5"/>
        <v>34421</v>
      </c>
      <c r="M24" s="148">
        <f t="shared" si="5"/>
        <v>34685</v>
      </c>
      <c r="N24" s="148">
        <f t="shared" si="5"/>
        <v>30698</v>
      </c>
      <c r="O24" s="148">
        <f t="shared" si="5"/>
        <v>27910</v>
      </c>
      <c r="P24" s="148">
        <f t="shared" si="5"/>
        <v>28461</v>
      </c>
      <c r="Q24" s="148">
        <f t="shared" si="5"/>
        <v>25770</v>
      </c>
      <c r="R24" s="148">
        <f t="shared" si="5"/>
        <v>26973</v>
      </c>
      <c r="S24" s="148">
        <f t="shared" si="5"/>
        <v>27684</v>
      </c>
      <c r="T24" s="148">
        <f t="shared" si="5"/>
        <v>29297</v>
      </c>
      <c r="U24" s="148">
        <f>SUM(F24:Q24)</f>
        <v>360617</v>
      </c>
    </row>
    <row r="25" spans="1:21" x14ac:dyDescent="0.3">
      <c r="A25" s="149"/>
      <c r="B25" s="149"/>
      <c r="C25" s="156" t="s">
        <v>116</v>
      </c>
      <c r="D25" s="149"/>
      <c r="E25" s="149"/>
      <c r="F25" s="157">
        <f>SUM(F26:F31)</f>
        <v>-2045</v>
      </c>
      <c r="G25" s="157">
        <f t="shared" ref="G25:T25" si="6">SUM(G26:G31)</f>
        <v>-2045</v>
      </c>
      <c r="H25" s="157">
        <f t="shared" si="6"/>
        <v>-2045</v>
      </c>
      <c r="I25" s="157">
        <f t="shared" si="6"/>
        <v>-2045</v>
      </c>
      <c r="J25" s="157">
        <f t="shared" si="6"/>
        <v>-2045</v>
      </c>
      <c r="K25" s="157">
        <f t="shared" si="6"/>
        <v>-2045</v>
      </c>
      <c r="L25" s="157">
        <f t="shared" si="6"/>
        <v>-2045</v>
      </c>
      <c r="M25" s="157">
        <f t="shared" si="6"/>
        <v>-2045</v>
      </c>
      <c r="N25" s="157">
        <f t="shared" si="6"/>
        <v>-2045</v>
      </c>
      <c r="O25" s="157">
        <f t="shared" si="6"/>
        <v>-2045</v>
      </c>
      <c r="P25" s="157">
        <f t="shared" si="6"/>
        <v>-2045</v>
      </c>
      <c r="Q25" s="157">
        <f t="shared" si="6"/>
        <v>-2045</v>
      </c>
      <c r="R25" s="157">
        <f t="shared" si="6"/>
        <v>-2045</v>
      </c>
      <c r="S25" s="157">
        <f t="shared" si="6"/>
        <v>-2045</v>
      </c>
      <c r="T25" s="157">
        <f t="shared" si="6"/>
        <v>-2045</v>
      </c>
      <c r="U25" s="153">
        <f t="shared" ref="U25:U70" si="7">SUM(F25:Q25)</f>
        <v>-24540</v>
      </c>
    </row>
    <row r="26" spans="1:21" x14ac:dyDescent="0.3">
      <c r="A26" s="9"/>
      <c r="B26" s="9"/>
      <c r="C26" s="140" t="s">
        <v>203</v>
      </c>
      <c r="D26" s="9"/>
      <c r="E26" s="9"/>
      <c r="F26" s="432">
        <v>-1655</v>
      </c>
      <c r="G26" s="432">
        <v>-1655</v>
      </c>
      <c r="H26" s="432">
        <v>-1655</v>
      </c>
      <c r="I26" s="432">
        <v>-1655</v>
      </c>
      <c r="J26" s="432">
        <v>-1655</v>
      </c>
      <c r="K26" s="432">
        <v>-1655</v>
      </c>
      <c r="L26" s="432">
        <v>-1655</v>
      </c>
      <c r="M26" s="432">
        <v>-1655</v>
      </c>
      <c r="N26" s="432">
        <v>-1655</v>
      </c>
      <c r="O26" s="432">
        <v>-1655</v>
      </c>
      <c r="P26" s="432">
        <v>-1655</v>
      </c>
      <c r="Q26" s="432">
        <v>-1655</v>
      </c>
      <c r="R26" s="432">
        <v>-1655</v>
      </c>
      <c r="S26" s="432">
        <v>-1655</v>
      </c>
      <c r="T26" s="432">
        <v>-1655</v>
      </c>
      <c r="U26" s="432">
        <f t="shared" si="7"/>
        <v>-19860</v>
      </c>
    </row>
    <row r="27" spans="1:21" x14ac:dyDescent="0.3">
      <c r="A27" s="9"/>
      <c r="B27" s="9"/>
      <c r="C27" s="140" t="s">
        <v>271</v>
      </c>
      <c r="D27" s="9"/>
      <c r="E27" s="9"/>
      <c r="F27" s="434">
        <v>-200</v>
      </c>
      <c r="G27" s="434">
        <v>-200</v>
      </c>
      <c r="H27" s="434">
        <v>-200</v>
      </c>
      <c r="I27" s="434">
        <v>-200</v>
      </c>
      <c r="J27" s="434">
        <v>-200</v>
      </c>
      <c r="K27" s="434">
        <v>-200</v>
      </c>
      <c r="L27" s="434">
        <v>-200</v>
      </c>
      <c r="M27" s="434">
        <v>-200</v>
      </c>
      <c r="N27" s="434">
        <v>-200</v>
      </c>
      <c r="O27" s="434">
        <v>-200</v>
      </c>
      <c r="P27" s="434">
        <v>-200</v>
      </c>
      <c r="Q27" s="434">
        <v>-200</v>
      </c>
      <c r="R27" s="434">
        <v>-200</v>
      </c>
      <c r="S27" s="434">
        <v>-200</v>
      </c>
      <c r="T27" s="434">
        <v>-200</v>
      </c>
      <c r="U27" s="432">
        <f t="shared" si="7"/>
        <v>-2400</v>
      </c>
    </row>
    <row r="28" spans="1:21" x14ac:dyDescent="0.3">
      <c r="A28" s="9"/>
      <c r="B28" s="9"/>
      <c r="C28" s="140" t="s">
        <v>126</v>
      </c>
      <c r="D28" s="9"/>
      <c r="E28" s="9"/>
      <c r="F28" s="434">
        <v>-125</v>
      </c>
      <c r="G28" s="434">
        <v>-125</v>
      </c>
      <c r="H28" s="434">
        <v>-125</v>
      </c>
      <c r="I28" s="434">
        <v>-125</v>
      </c>
      <c r="J28" s="434">
        <v>-125</v>
      </c>
      <c r="K28" s="434">
        <v>-125</v>
      </c>
      <c r="L28" s="434">
        <v>-125</v>
      </c>
      <c r="M28" s="434">
        <v>-125</v>
      </c>
      <c r="N28" s="434">
        <v>-125</v>
      </c>
      <c r="O28" s="434">
        <v>-125</v>
      </c>
      <c r="P28" s="434">
        <v>-125</v>
      </c>
      <c r="Q28" s="434">
        <v>-125</v>
      </c>
      <c r="R28" s="434">
        <v>-125</v>
      </c>
      <c r="S28" s="434">
        <v>-125</v>
      </c>
      <c r="T28" s="434">
        <v>-125</v>
      </c>
      <c r="U28" s="432">
        <f t="shared" si="7"/>
        <v>-1500</v>
      </c>
    </row>
    <row r="29" spans="1:21" x14ac:dyDescent="0.3">
      <c r="A29" s="9"/>
      <c r="B29" s="9"/>
      <c r="C29" s="140" t="s">
        <v>270</v>
      </c>
      <c r="D29" s="9"/>
      <c r="E29" s="9"/>
      <c r="F29" s="434">
        <v>-65</v>
      </c>
      <c r="G29" s="434">
        <v>-65</v>
      </c>
      <c r="H29" s="434">
        <v>-65</v>
      </c>
      <c r="I29" s="434">
        <v>-65</v>
      </c>
      <c r="J29" s="434">
        <v>-65</v>
      </c>
      <c r="K29" s="434">
        <v>-65</v>
      </c>
      <c r="L29" s="434">
        <v>-65</v>
      </c>
      <c r="M29" s="434">
        <v>-65</v>
      </c>
      <c r="N29" s="434">
        <v>-65</v>
      </c>
      <c r="O29" s="434">
        <v>-65</v>
      </c>
      <c r="P29" s="434">
        <v>-65</v>
      </c>
      <c r="Q29" s="434">
        <v>-65</v>
      </c>
      <c r="R29" s="434">
        <v>-65</v>
      </c>
      <c r="S29" s="434">
        <v>-65</v>
      </c>
      <c r="T29" s="434">
        <v>-65</v>
      </c>
      <c r="U29" s="432">
        <f t="shared" si="7"/>
        <v>-780</v>
      </c>
    </row>
    <row r="30" spans="1:21" x14ac:dyDescent="0.3">
      <c r="A30" s="9"/>
      <c r="B30" s="9"/>
      <c r="C30" s="140" t="s">
        <v>61</v>
      </c>
      <c r="D30" s="9"/>
      <c r="E30" s="9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2"/>
    </row>
    <row r="31" spans="1:21" x14ac:dyDescent="0.3">
      <c r="A31" s="9"/>
      <c r="B31" s="9"/>
      <c r="C31" s="140" t="s">
        <v>208</v>
      </c>
      <c r="D31" s="9"/>
      <c r="E31" s="9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2"/>
    </row>
    <row r="32" spans="1:21" x14ac:dyDescent="0.3">
      <c r="A32" s="9"/>
      <c r="B32" s="9"/>
      <c r="C32" s="138"/>
      <c r="D32" s="9"/>
      <c r="E32" s="9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2"/>
    </row>
    <row r="33" spans="1:21" x14ac:dyDescent="0.3">
      <c r="A33" s="159"/>
      <c r="B33" s="159"/>
      <c r="C33" s="160" t="s">
        <v>4</v>
      </c>
      <c r="D33" s="159"/>
      <c r="E33" s="159"/>
      <c r="F33" s="161">
        <f>SUM(F24+F25)</f>
        <v>24828</v>
      </c>
      <c r="G33" s="161">
        <f t="shared" ref="G33:T33" si="8">SUM(G24+G25)</f>
        <v>25539</v>
      </c>
      <c r="H33" s="161">
        <f t="shared" si="8"/>
        <v>26752</v>
      </c>
      <c r="I33" s="161">
        <f t="shared" si="8"/>
        <v>27291</v>
      </c>
      <c r="J33" s="161">
        <f t="shared" si="8"/>
        <v>30254</v>
      </c>
      <c r="K33" s="161">
        <f t="shared" si="8"/>
        <v>31738</v>
      </c>
      <c r="L33" s="161">
        <f t="shared" si="8"/>
        <v>32376</v>
      </c>
      <c r="M33" s="161">
        <f t="shared" si="8"/>
        <v>32640</v>
      </c>
      <c r="N33" s="161">
        <f t="shared" si="8"/>
        <v>28653</v>
      </c>
      <c r="O33" s="161">
        <f t="shared" si="8"/>
        <v>25865</v>
      </c>
      <c r="P33" s="161">
        <f t="shared" si="8"/>
        <v>26416</v>
      </c>
      <c r="Q33" s="161">
        <f t="shared" si="8"/>
        <v>23725</v>
      </c>
      <c r="R33" s="161">
        <f t="shared" si="8"/>
        <v>24928</v>
      </c>
      <c r="S33" s="161">
        <f t="shared" si="8"/>
        <v>25639</v>
      </c>
      <c r="T33" s="161">
        <f t="shared" si="8"/>
        <v>27252</v>
      </c>
      <c r="U33" s="302">
        <f t="shared" si="7"/>
        <v>336077</v>
      </c>
    </row>
    <row r="34" spans="1:21" ht="15" customHeight="1" x14ac:dyDescent="0.3">
      <c r="A34" s="9"/>
      <c r="B34" s="9"/>
      <c r="C34" s="138"/>
      <c r="D34" s="9"/>
      <c r="E34" s="9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2"/>
    </row>
    <row r="35" spans="1:21" ht="15" customHeight="1" x14ac:dyDescent="0.3">
      <c r="A35" s="9"/>
      <c r="B35" s="9"/>
      <c r="C35" s="139" t="s">
        <v>5</v>
      </c>
      <c r="D35" s="9"/>
      <c r="E35" s="9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2"/>
    </row>
    <row r="36" spans="1:21" ht="15" customHeight="1" x14ac:dyDescent="0.3">
      <c r="A36" s="9"/>
      <c r="B36" s="9"/>
      <c r="C36" s="140" t="s">
        <v>269</v>
      </c>
      <c r="D36" s="9"/>
      <c r="E36" s="9"/>
      <c r="F36" s="432">
        <v>-975</v>
      </c>
      <c r="G36" s="432">
        <v>-975</v>
      </c>
      <c r="H36" s="432">
        <v>-975</v>
      </c>
      <c r="I36" s="432">
        <v>-975</v>
      </c>
      <c r="J36" s="432">
        <v>-975</v>
      </c>
      <c r="K36" s="432">
        <v>-975</v>
      </c>
      <c r="L36" s="432">
        <v>-975</v>
      </c>
      <c r="M36" s="432">
        <v>-975</v>
      </c>
      <c r="N36" s="432">
        <v>-975</v>
      </c>
      <c r="O36" s="432">
        <v>-975</v>
      </c>
      <c r="P36" s="432">
        <v>-975</v>
      </c>
      <c r="Q36" s="432">
        <v>-975</v>
      </c>
      <c r="R36" s="432">
        <v>-975</v>
      </c>
      <c r="S36" s="432">
        <v>-975</v>
      </c>
      <c r="T36" s="432">
        <v>-975</v>
      </c>
      <c r="U36" s="432">
        <f t="shared" si="7"/>
        <v>-11700</v>
      </c>
    </row>
    <row r="37" spans="1:21" ht="15" customHeight="1" x14ac:dyDescent="0.3">
      <c r="A37" s="9"/>
      <c r="B37" s="9"/>
      <c r="C37" s="140" t="s">
        <v>268</v>
      </c>
      <c r="D37" s="9"/>
      <c r="E37" s="9"/>
      <c r="F37" s="432">
        <v>-493</v>
      </c>
      <c r="G37" s="432">
        <v>-493</v>
      </c>
      <c r="H37" s="432">
        <v>-493</v>
      </c>
      <c r="I37" s="432">
        <v>-493</v>
      </c>
      <c r="J37" s="432">
        <v>-493</v>
      </c>
      <c r="K37" s="432">
        <v>-493</v>
      </c>
      <c r="L37" s="432">
        <v>-493</v>
      </c>
      <c r="M37" s="432">
        <v>-493</v>
      </c>
      <c r="N37" s="432">
        <v>-493</v>
      </c>
      <c r="O37" s="432">
        <v>-493</v>
      </c>
      <c r="P37" s="432">
        <v>-493</v>
      </c>
      <c r="Q37" s="432">
        <v>-493</v>
      </c>
      <c r="R37" s="432">
        <v>-493</v>
      </c>
      <c r="S37" s="432">
        <v>-493</v>
      </c>
      <c r="T37" s="432">
        <v>-493</v>
      </c>
      <c r="U37" s="432">
        <f t="shared" si="7"/>
        <v>-5916</v>
      </c>
    </row>
    <row r="38" spans="1:21" ht="15" customHeight="1" x14ac:dyDescent="0.3">
      <c r="A38" s="9"/>
      <c r="B38" s="9"/>
      <c r="C38" s="140" t="s">
        <v>283</v>
      </c>
      <c r="D38" s="9"/>
      <c r="E38" s="9"/>
      <c r="F38" s="432">
        <v>-493</v>
      </c>
      <c r="G38" s="432">
        <v>-493</v>
      </c>
      <c r="H38" s="432">
        <v>-493</v>
      </c>
      <c r="I38" s="432">
        <v>-493</v>
      </c>
      <c r="J38" s="432">
        <v>-493</v>
      </c>
      <c r="K38" s="432">
        <v>-493</v>
      </c>
      <c r="L38" s="432">
        <v>-493</v>
      </c>
      <c r="M38" s="432">
        <v>-493</v>
      </c>
      <c r="N38" s="432">
        <v>-493</v>
      </c>
      <c r="O38" s="432">
        <v>-493</v>
      </c>
      <c r="P38" s="432">
        <v>-493</v>
      </c>
      <c r="Q38" s="432">
        <v>-493</v>
      </c>
      <c r="R38" s="432">
        <v>-493</v>
      </c>
      <c r="S38" s="432">
        <v>-493</v>
      </c>
      <c r="T38" s="432">
        <v>-493</v>
      </c>
      <c r="U38" s="432">
        <f t="shared" si="7"/>
        <v>-5916</v>
      </c>
    </row>
    <row r="39" spans="1:21" ht="15" customHeight="1" x14ac:dyDescent="0.3">
      <c r="A39" s="9"/>
      <c r="B39" s="9"/>
      <c r="C39" s="140" t="s">
        <v>282</v>
      </c>
      <c r="D39" s="9"/>
      <c r="E39" s="9"/>
      <c r="F39" s="433">
        <v>-1070</v>
      </c>
      <c r="G39" s="433">
        <v>-1070</v>
      </c>
      <c r="H39" s="433">
        <v>-1070</v>
      </c>
      <c r="I39" s="433">
        <v>-1070</v>
      </c>
      <c r="J39" s="433">
        <v>-1070</v>
      </c>
      <c r="K39" s="433">
        <v>-1070</v>
      </c>
      <c r="L39" s="433">
        <v>-1070</v>
      </c>
      <c r="M39" s="433">
        <v>-1070</v>
      </c>
      <c r="N39" s="433">
        <v>-1070</v>
      </c>
      <c r="O39" s="433">
        <v>-1070</v>
      </c>
      <c r="P39" s="433">
        <v>-1070</v>
      </c>
      <c r="Q39" s="433">
        <v>-1070</v>
      </c>
      <c r="R39" s="433">
        <v>-1070</v>
      </c>
      <c r="S39" s="433">
        <v>-1070</v>
      </c>
      <c r="T39" s="433">
        <v>-1070</v>
      </c>
      <c r="U39" s="432">
        <f t="shared" si="7"/>
        <v>-12840</v>
      </c>
    </row>
    <row r="40" spans="1:21" ht="15" customHeight="1" x14ac:dyDescent="0.3">
      <c r="A40" s="9"/>
      <c r="B40" s="9"/>
      <c r="C40" s="140" t="s">
        <v>120</v>
      </c>
      <c r="D40" s="9"/>
      <c r="E40" s="9"/>
      <c r="F40" s="155" t="s">
        <v>143</v>
      </c>
      <c r="G40" s="155" t="s">
        <v>143</v>
      </c>
      <c r="H40" s="155" t="s">
        <v>143</v>
      </c>
      <c r="I40" s="155" t="s">
        <v>143</v>
      </c>
      <c r="J40" s="155" t="s">
        <v>143</v>
      </c>
      <c r="K40" s="155" t="s">
        <v>143</v>
      </c>
      <c r="L40" s="155" t="s">
        <v>143</v>
      </c>
      <c r="M40" s="155" t="s">
        <v>143</v>
      </c>
      <c r="N40" s="155" t="s">
        <v>143</v>
      </c>
      <c r="O40" s="155" t="s">
        <v>143</v>
      </c>
      <c r="P40" s="155" t="s">
        <v>143</v>
      </c>
      <c r="Q40" s="155" t="s">
        <v>143</v>
      </c>
      <c r="R40" s="155" t="s">
        <v>143</v>
      </c>
      <c r="S40" s="155" t="s">
        <v>143</v>
      </c>
      <c r="T40" s="155" t="s">
        <v>143</v>
      </c>
      <c r="U40" s="132"/>
    </row>
    <row r="41" spans="1:21" ht="15" customHeight="1" x14ac:dyDescent="0.3">
      <c r="A41" s="9"/>
      <c r="B41" s="9"/>
      <c r="C41" s="140" t="s">
        <v>121</v>
      </c>
      <c r="D41" s="9"/>
      <c r="E41" s="9"/>
      <c r="F41" s="155" t="s">
        <v>143</v>
      </c>
      <c r="G41" s="155" t="s">
        <v>143</v>
      </c>
      <c r="H41" s="155" t="s">
        <v>143</v>
      </c>
      <c r="I41" s="155" t="s">
        <v>143</v>
      </c>
      <c r="J41" s="155" t="s">
        <v>143</v>
      </c>
      <c r="K41" s="155" t="s">
        <v>143</v>
      </c>
      <c r="L41" s="155" t="s">
        <v>143</v>
      </c>
      <c r="M41" s="155" t="s">
        <v>143</v>
      </c>
      <c r="N41" s="155" t="s">
        <v>143</v>
      </c>
      <c r="O41" s="155" t="s">
        <v>143</v>
      </c>
      <c r="P41" s="155" t="s">
        <v>143</v>
      </c>
      <c r="Q41" s="155" t="s">
        <v>143</v>
      </c>
      <c r="R41" s="155" t="s">
        <v>143</v>
      </c>
      <c r="S41" s="155" t="s">
        <v>143</v>
      </c>
      <c r="T41" s="155" t="s">
        <v>143</v>
      </c>
      <c r="U41" s="132"/>
    </row>
    <row r="42" spans="1:21" ht="15" customHeight="1" x14ac:dyDescent="0.3">
      <c r="A42" s="9"/>
      <c r="B42" s="9"/>
      <c r="C42" s="140" t="s">
        <v>122</v>
      </c>
      <c r="D42" s="9"/>
      <c r="E42" s="9"/>
      <c r="F42" s="155" t="s">
        <v>143</v>
      </c>
      <c r="G42" s="155" t="s">
        <v>143</v>
      </c>
      <c r="H42" s="155" t="s">
        <v>143</v>
      </c>
      <c r="I42" s="155" t="s">
        <v>143</v>
      </c>
      <c r="J42" s="155" t="s">
        <v>143</v>
      </c>
      <c r="K42" s="155" t="s">
        <v>143</v>
      </c>
      <c r="L42" s="155" t="s">
        <v>143</v>
      </c>
      <c r="M42" s="155" t="s">
        <v>143</v>
      </c>
      <c r="N42" s="155" t="s">
        <v>143</v>
      </c>
      <c r="O42" s="155" t="s">
        <v>143</v>
      </c>
      <c r="P42" s="155" t="s">
        <v>143</v>
      </c>
      <c r="Q42" s="155" t="s">
        <v>143</v>
      </c>
      <c r="R42" s="155" t="s">
        <v>143</v>
      </c>
      <c r="S42" s="155" t="s">
        <v>143</v>
      </c>
      <c r="T42" s="155" t="s">
        <v>143</v>
      </c>
      <c r="U42" s="132"/>
    </row>
    <row r="43" spans="1:21" ht="15" customHeight="1" x14ac:dyDescent="0.3">
      <c r="A43" s="9"/>
      <c r="B43" s="9"/>
      <c r="C43" s="140" t="s">
        <v>123</v>
      </c>
      <c r="D43" s="9"/>
      <c r="E43" s="9"/>
      <c r="F43" s="155" t="s">
        <v>143</v>
      </c>
      <c r="G43" s="155" t="s">
        <v>143</v>
      </c>
      <c r="H43" s="155" t="s">
        <v>143</v>
      </c>
      <c r="I43" s="155" t="s">
        <v>143</v>
      </c>
      <c r="J43" s="155" t="s">
        <v>143</v>
      </c>
      <c r="K43" s="155" t="s">
        <v>143</v>
      </c>
      <c r="L43" s="155" t="s">
        <v>143</v>
      </c>
      <c r="M43" s="155" t="s">
        <v>143</v>
      </c>
      <c r="N43" s="155" t="s">
        <v>143</v>
      </c>
      <c r="O43" s="155" t="s">
        <v>143</v>
      </c>
      <c r="P43" s="155" t="s">
        <v>143</v>
      </c>
      <c r="Q43" s="155" t="s">
        <v>143</v>
      </c>
      <c r="R43" s="155" t="s">
        <v>143</v>
      </c>
      <c r="S43" s="155" t="s">
        <v>143</v>
      </c>
      <c r="T43" s="155" t="s">
        <v>143</v>
      </c>
      <c r="U43" s="132"/>
    </row>
    <row r="44" spans="1:21" x14ac:dyDescent="0.3">
      <c r="A44" s="151"/>
      <c r="B44" s="151"/>
      <c r="C44" s="177" t="s">
        <v>124</v>
      </c>
      <c r="D44" s="151"/>
      <c r="E44" s="151"/>
      <c r="F44" s="158">
        <f>SUM(F36:F43)</f>
        <v>-3031</v>
      </c>
      <c r="G44" s="158">
        <f t="shared" ref="F44:H44" si="9">SUM(G36:G43)</f>
        <v>-3031</v>
      </c>
      <c r="H44" s="158">
        <f t="shared" si="9"/>
        <v>-3031</v>
      </c>
      <c r="I44" s="158">
        <f t="shared" ref="I44:T44" si="10">SUM(I36:I43)</f>
        <v>-3031</v>
      </c>
      <c r="J44" s="158">
        <f t="shared" si="10"/>
        <v>-3031</v>
      </c>
      <c r="K44" s="158">
        <f t="shared" si="10"/>
        <v>-3031</v>
      </c>
      <c r="L44" s="158">
        <f t="shared" si="10"/>
        <v>-3031</v>
      </c>
      <c r="M44" s="158">
        <f t="shared" si="10"/>
        <v>-3031</v>
      </c>
      <c r="N44" s="158">
        <f t="shared" si="10"/>
        <v>-3031</v>
      </c>
      <c r="O44" s="158">
        <f t="shared" si="10"/>
        <v>-3031</v>
      </c>
      <c r="P44" s="158">
        <f t="shared" si="10"/>
        <v>-3031</v>
      </c>
      <c r="Q44" s="158">
        <f t="shared" si="10"/>
        <v>-3031</v>
      </c>
      <c r="R44" s="158">
        <f t="shared" si="10"/>
        <v>-3031</v>
      </c>
      <c r="S44" s="158">
        <f t="shared" si="10"/>
        <v>-3031</v>
      </c>
      <c r="T44" s="158">
        <f t="shared" si="10"/>
        <v>-3031</v>
      </c>
      <c r="U44" s="158">
        <f t="shared" si="7"/>
        <v>-36372</v>
      </c>
    </row>
    <row r="45" spans="1:21" x14ac:dyDescent="0.3">
      <c r="A45" s="152"/>
      <c r="B45" s="152"/>
      <c r="C45" s="188" t="s">
        <v>125</v>
      </c>
      <c r="D45" s="152"/>
      <c r="E45" s="152"/>
      <c r="F45" s="153">
        <v>-3000</v>
      </c>
      <c r="G45" s="153">
        <v>-3000</v>
      </c>
      <c r="H45" s="153">
        <v>-3000</v>
      </c>
      <c r="I45" s="153">
        <v>-3000</v>
      </c>
      <c r="J45" s="153">
        <v>-3000</v>
      </c>
      <c r="K45" s="153">
        <v>-3000</v>
      </c>
      <c r="L45" s="153">
        <v>-3000</v>
      </c>
      <c r="M45" s="153">
        <v>-3000</v>
      </c>
      <c r="N45" s="153">
        <v>-3000</v>
      </c>
      <c r="O45" s="153">
        <v>-3000</v>
      </c>
      <c r="P45" s="153">
        <v>-3000</v>
      </c>
      <c r="Q45" s="153">
        <v>-3000</v>
      </c>
      <c r="R45" s="153">
        <v>-3000</v>
      </c>
      <c r="S45" s="153">
        <v>-3000</v>
      </c>
      <c r="T45" s="153">
        <v>-3000</v>
      </c>
      <c r="U45" s="153">
        <f t="shared" si="7"/>
        <v>-36000</v>
      </c>
    </row>
    <row r="46" spans="1:21" x14ac:dyDescent="0.3">
      <c r="A46" s="9"/>
      <c r="B46" s="9"/>
      <c r="C46" s="138"/>
      <c r="D46" s="9"/>
      <c r="E46" s="9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2"/>
    </row>
    <row r="47" spans="1:21" x14ac:dyDescent="0.3">
      <c r="A47" s="9"/>
      <c r="B47" s="9"/>
      <c r="C47" s="139" t="s">
        <v>24</v>
      </c>
      <c r="D47" s="9"/>
      <c r="E47" s="9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2"/>
    </row>
    <row r="48" spans="1:21" x14ac:dyDescent="0.3">
      <c r="A48" s="9"/>
      <c r="B48" s="9"/>
      <c r="C48" s="138" t="s">
        <v>73</v>
      </c>
      <c r="D48" s="9"/>
      <c r="E48" s="9"/>
      <c r="F48" s="432">
        <v>-350</v>
      </c>
      <c r="G48" s="432">
        <v>-350</v>
      </c>
      <c r="H48" s="432">
        <v>-350</v>
      </c>
      <c r="I48" s="432">
        <v>-350</v>
      </c>
      <c r="J48" s="432">
        <v>-350</v>
      </c>
      <c r="K48" s="432">
        <v>-350</v>
      </c>
      <c r="L48" s="432">
        <v>-350</v>
      </c>
      <c r="M48" s="432">
        <v>-350</v>
      </c>
      <c r="N48" s="432">
        <v>-350</v>
      </c>
      <c r="O48" s="432">
        <v>-350</v>
      </c>
      <c r="P48" s="432">
        <v>-350</v>
      </c>
      <c r="Q48" s="432">
        <v>-350</v>
      </c>
      <c r="R48" s="432">
        <v>-350</v>
      </c>
      <c r="S48" s="432">
        <v>-350</v>
      </c>
      <c r="T48" s="432">
        <v>-350</v>
      </c>
      <c r="U48" s="432">
        <f t="shared" si="7"/>
        <v>-4200</v>
      </c>
    </row>
    <row r="49" spans="1:21" x14ac:dyDescent="0.3">
      <c r="A49" s="9"/>
      <c r="B49" s="9"/>
      <c r="C49" s="138" t="s">
        <v>255</v>
      </c>
      <c r="D49" s="9"/>
      <c r="E49" s="9"/>
      <c r="F49" s="432">
        <v>-550</v>
      </c>
      <c r="G49" s="432">
        <v>-550</v>
      </c>
      <c r="H49" s="432">
        <v>-550</v>
      </c>
      <c r="I49" s="432">
        <v>-550</v>
      </c>
      <c r="J49" s="432">
        <v>-550</v>
      </c>
      <c r="K49" s="432">
        <v>-550</v>
      </c>
      <c r="L49" s="432">
        <v>-550</v>
      </c>
      <c r="M49" s="432">
        <v>-550</v>
      </c>
      <c r="N49" s="432">
        <v>-550</v>
      </c>
      <c r="O49" s="432">
        <v>-550</v>
      </c>
      <c r="P49" s="432">
        <v>-550</v>
      </c>
      <c r="Q49" s="432">
        <v>-550</v>
      </c>
      <c r="R49" s="432">
        <v>-550</v>
      </c>
      <c r="S49" s="432">
        <v>-550</v>
      </c>
      <c r="T49" s="432">
        <v>-550</v>
      </c>
      <c r="U49" s="432">
        <f t="shared" si="7"/>
        <v>-6600</v>
      </c>
    </row>
    <row r="50" spans="1:21" x14ac:dyDescent="0.3">
      <c r="A50" s="9"/>
      <c r="B50" s="9"/>
      <c r="C50" s="138" t="s">
        <v>126</v>
      </c>
      <c r="D50" s="9"/>
      <c r="E50" s="9"/>
      <c r="F50" s="432">
        <v>-700</v>
      </c>
      <c r="G50" s="432">
        <v>-700</v>
      </c>
      <c r="H50" s="432">
        <v>-700</v>
      </c>
      <c r="I50" s="432">
        <v>-700</v>
      </c>
      <c r="J50" s="432">
        <v>-700</v>
      </c>
      <c r="K50" s="432">
        <v>-700</v>
      </c>
      <c r="L50" s="432">
        <v>-700</v>
      </c>
      <c r="M50" s="432">
        <v>-700</v>
      </c>
      <c r="N50" s="432">
        <v>-700</v>
      </c>
      <c r="O50" s="432">
        <v>-700</v>
      </c>
      <c r="P50" s="432">
        <v>-700</v>
      </c>
      <c r="Q50" s="432">
        <v>-700</v>
      </c>
      <c r="R50" s="432">
        <v>-700</v>
      </c>
      <c r="S50" s="432">
        <v>-700</v>
      </c>
      <c r="T50" s="432">
        <v>-700</v>
      </c>
      <c r="U50" s="432">
        <f t="shared" si="7"/>
        <v>-8400</v>
      </c>
    </row>
    <row r="51" spans="1:21" x14ac:dyDescent="0.3">
      <c r="A51" s="9"/>
      <c r="B51" s="9"/>
      <c r="C51" s="138" t="s">
        <v>223</v>
      </c>
      <c r="D51" s="9"/>
      <c r="E51" s="9"/>
      <c r="F51" s="432">
        <v>-550</v>
      </c>
      <c r="G51" s="432">
        <v>-550</v>
      </c>
      <c r="H51" s="432">
        <v>-550</v>
      </c>
      <c r="I51" s="432">
        <v>-550</v>
      </c>
      <c r="J51" s="432">
        <v>-550</v>
      </c>
      <c r="K51" s="432">
        <v>-550</v>
      </c>
      <c r="L51" s="432">
        <v>-550</v>
      </c>
      <c r="M51" s="432">
        <v>-550</v>
      </c>
      <c r="N51" s="432">
        <v>-550</v>
      </c>
      <c r="O51" s="432">
        <v>-550</v>
      </c>
      <c r="P51" s="432">
        <v>-550</v>
      </c>
      <c r="Q51" s="432">
        <v>-550</v>
      </c>
      <c r="R51" s="432">
        <v>-550</v>
      </c>
      <c r="S51" s="432">
        <v>-550</v>
      </c>
      <c r="T51" s="432">
        <v>-550</v>
      </c>
      <c r="U51" s="432">
        <f t="shared" si="7"/>
        <v>-6600</v>
      </c>
    </row>
    <row r="52" spans="1:21" x14ac:dyDescent="0.3">
      <c r="A52" s="9"/>
      <c r="B52" s="9"/>
      <c r="C52" s="138" t="s">
        <v>256</v>
      </c>
      <c r="D52" s="9"/>
      <c r="E52" s="9"/>
      <c r="F52" s="432">
        <v>-900</v>
      </c>
      <c r="G52" s="432">
        <v>-900</v>
      </c>
      <c r="H52" s="432">
        <v>-900</v>
      </c>
      <c r="I52" s="432">
        <v>-900</v>
      </c>
      <c r="J52" s="432">
        <v>-900</v>
      </c>
      <c r="K52" s="432">
        <v>-900</v>
      </c>
      <c r="L52" s="432">
        <v>-900</v>
      </c>
      <c r="M52" s="432">
        <v>-900</v>
      </c>
      <c r="N52" s="432">
        <v>-900</v>
      </c>
      <c r="O52" s="432">
        <v>-900</v>
      </c>
      <c r="P52" s="432">
        <v>-900</v>
      </c>
      <c r="Q52" s="432">
        <v>-900</v>
      </c>
      <c r="R52" s="432">
        <v>-900</v>
      </c>
      <c r="S52" s="432">
        <v>-900</v>
      </c>
      <c r="T52" s="432">
        <v>-900</v>
      </c>
      <c r="U52" s="432">
        <f t="shared" si="7"/>
        <v>-10800</v>
      </c>
    </row>
    <row r="53" spans="1:21" x14ac:dyDescent="0.3">
      <c r="A53" s="9"/>
      <c r="B53" s="9"/>
      <c r="C53" s="138" t="s">
        <v>127</v>
      </c>
      <c r="D53" s="9"/>
      <c r="E53" s="9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2"/>
    </row>
    <row r="54" spans="1:21" x14ac:dyDescent="0.3">
      <c r="A54" s="9"/>
      <c r="B54" s="9"/>
      <c r="C54" s="140" t="s">
        <v>128</v>
      </c>
      <c r="D54" s="9"/>
      <c r="E54" s="9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2"/>
    </row>
    <row r="55" spans="1:21" x14ac:dyDescent="0.3">
      <c r="A55" s="9"/>
      <c r="B55" s="9"/>
      <c r="C55" s="140" t="s">
        <v>129</v>
      </c>
      <c r="D55" s="9"/>
      <c r="E55" s="9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2"/>
    </row>
    <row r="56" spans="1:21" x14ac:dyDescent="0.3">
      <c r="A56" s="9"/>
      <c r="B56" s="9"/>
      <c r="C56" s="140" t="s">
        <v>130</v>
      </c>
      <c r="D56" s="9"/>
      <c r="E56" s="9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2"/>
    </row>
    <row r="57" spans="1:21" x14ac:dyDescent="0.3">
      <c r="A57" s="9"/>
      <c r="B57" s="9"/>
      <c r="C57" s="140" t="s">
        <v>131</v>
      </c>
      <c r="D57" s="9"/>
      <c r="E57" s="9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2"/>
    </row>
    <row r="58" spans="1:21" x14ac:dyDescent="0.3">
      <c r="A58" s="9"/>
      <c r="B58" s="9"/>
      <c r="C58" s="140" t="s">
        <v>132</v>
      </c>
      <c r="D58" s="9"/>
      <c r="E58" s="9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2"/>
    </row>
    <row r="59" spans="1:21" x14ac:dyDescent="0.3">
      <c r="A59" s="9"/>
      <c r="B59" s="9"/>
      <c r="C59" s="140" t="s">
        <v>133</v>
      </c>
      <c r="D59" s="9"/>
      <c r="E59" s="9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2"/>
    </row>
    <row r="60" spans="1:21" x14ac:dyDescent="0.3">
      <c r="A60" s="9"/>
      <c r="B60" s="9"/>
      <c r="C60" s="140" t="s">
        <v>134</v>
      </c>
      <c r="D60" s="9"/>
      <c r="E60" s="9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2"/>
    </row>
    <row r="61" spans="1:21" x14ac:dyDescent="0.3">
      <c r="A61" s="9"/>
      <c r="B61" s="9"/>
      <c r="C61" s="140" t="s">
        <v>135</v>
      </c>
      <c r="D61" s="9"/>
      <c r="E61" s="9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2"/>
    </row>
    <row r="62" spans="1:21" x14ac:dyDescent="0.3">
      <c r="A62" s="9"/>
      <c r="B62" s="9"/>
      <c r="C62" s="140" t="s">
        <v>136</v>
      </c>
      <c r="D62" s="9"/>
      <c r="E62" s="9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2"/>
    </row>
    <row r="63" spans="1:21" s="110" customFormat="1" ht="14.4" customHeight="1" x14ac:dyDescent="0.3">
      <c r="A63" s="164"/>
      <c r="B63" s="164"/>
      <c r="C63" s="165" t="s">
        <v>137</v>
      </c>
      <c r="D63" s="164"/>
      <c r="E63" s="164"/>
      <c r="F63" s="166">
        <f t="shared" ref="F63:H63" si="11">SUM(F48:F62)</f>
        <v>-3050</v>
      </c>
      <c r="G63" s="166">
        <f t="shared" si="11"/>
        <v>-3050</v>
      </c>
      <c r="H63" s="166">
        <f t="shared" si="11"/>
        <v>-3050</v>
      </c>
      <c r="I63" s="166">
        <f t="shared" ref="I63:T63" si="12">SUM(I48:I62)</f>
        <v>-3050</v>
      </c>
      <c r="J63" s="166">
        <f t="shared" si="12"/>
        <v>-3050</v>
      </c>
      <c r="K63" s="166">
        <f t="shared" si="12"/>
        <v>-3050</v>
      </c>
      <c r="L63" s="166">
        <f t="shared" si="12"/>
        <v>-3050</v>
      </c>
      <c r="M63" s="166">
        <f t="shared" si="12"/>
        <v>-3050</v>
      </c>
      <c r="N63" s="166">
        <f t="shared" si="12"/>
        <v>-3050</v>
      </c>
      <c r="O63" s="166">
        <f t="shared" si="12"/>
        <v>-3050</v>
      </c>
      <c r="P63" s="166">
        <f t="shared" si="12"/>
        <v>-3050</v>
      </c>
      <c r="Q63" s="166">
        <f t="shared" si="12"/>
        <v>-3050</v>
      </c>
      <c r="R63" s="166">
        <f t="shared" si="12"/>
        <v>-3050</v>
      </c>
      <c r="S63" s="166">
        <f t="shared" si="12"/>
        <v>-3050</v>
      </c>
      <c r="T63" s="166">
        <f t="shared" si="12"/>
        <v>-3050</v>
      </c>
      <c r="U63" s="158">
        <f t="shared" si="7"/>
        <v>-36600</v>
      </c>
    </row>
    <row r="64" spans="1:21" s="110" customFormat="1" ht="14.4" customHeight="1" x14ac:dyDescent="0.3">
      <c r="A64" s="167"/>
      <c r="B64" s="167"/>
      <c r="C64" s="168" t="s">
        <v>6</v>
      </c>
      <c r="D64" s="167"/>
      <c r="E64" s="167"/>
      <c r="F64" s="169">
        <f>F24+F25+F44+F63</f>
        <v>18747</v>
      </c>
      <c r="G64" s="169">
        <f>G24+G25+G44+G63</f>
        <v>19458</v>
      </c>
      <c r="H64" s="169">
        <f t="shared" ref="H64:T64" si="13">H24+H25+H44+H63</f>
        <v>20671</v>
      </c>
      <c r="I64" s="169">
        <f t="shared" si="13"/>
        <v>21210</v>
      </c>
      <c r="J64" s="169">
        <f t="shared" si="13"/>
        <v>24173</v>
      </c>
      <c r="K64" s="169">
        <f t="shared" si="13"/>
        <v>25657</v>
      </c>
      <c r="L64" s="169">
        <f t="shared" si="13"/>
        <v>26295</v>
      </c>
      <c r="M64" s="169">
        <f t="shared" si="13"/>
        <v>26559</v>
      </c>
      <c r="N64" s="169">
        <f t="shared" si="13"/>
        <v>22572</v>
      </c>
      <c r="O64" s="169">
        <f t="shared" si="13"/>
        <v>19784</v>
      </c>
      <c r="P64" s="169">
        <f t="shared" si="13"/>
        <v>20335</v>
      </c>
      <c r="Q64" s="169">
        <f t="shared" si="13"/>
        <v>17644</v>
      </c>
      <c r="R64" s="169">
        <f t="shared" si="13"/>
        <v>18847</v>
      </c>
      <c r="S64" s="169">
        <f t="shared" si="13"/>
        <v>19558</v>
      </c>
      <c r="T64" s="169">
        <f t="shared" si="13"/>
        <v>21171</v>
      </c>
      <c r="U64" s="153">
        <f t="shared" si="7"/>
        <v>263105</v>
      </c>
    </row>
    <row r="65" spans="1:21" s="110" customFormat="1" ht="14.4" customHeight="1" x14ac:dyDescent="0.3">
      <c r="A65" s="108"/>
      <c r="B65" s="108"/>
      <c r="C65" s="141" t="s">
        <v>138</v>
      </c>
      <c r="D65" s="108"/>
      <c r="E65" s="108"/>
      <c r="F65" s="441">
        <v>-1911</v>
      </c>
      <c r="G65" s="441">
        <v>-1911</v>
      </c>
      <c r="H65" s="441">
        <v>-1911</v>
      </c>
      <c r="I65" s="441">
        <v>-1756</v>
      </c>
      <c r="J65" s="441">
        <v>-1756</v>
      </c>
      <c r="K65" s="441">
        <v>-1756</v>
      </c>
      <c r="L65" s="441">
        <v>-1756</v>
      </c>
      <c r="M65" s="441">
        <v>-1756</v>
      </c>
      <c r="N65" s="441">
        <v>-1756</v>
      </c>
      <c r="O65" s="441">
        <v>-1756</v>
      </c>
      <c r="P65" s="441">
        <v>-1756</v>
      </c>
      <c r="Q65" s="441">
        <v>-1756</v>
      </c>
      <c r="R65" s="441">
        <v>-1756</v>
      </c>
      <c r="S65" s="441">
        <v>-1756</v>
      </c>
      <c r="T65" s="441">
        <v>-1756</v>
      </c>
      <c r="U65" s="441">
        <f t="shared" si="7"/>
        <v>-21537</v>
      </c>
    </row>
    <row r="66" spans="1:21" s="110" customFormat="1" ht="25.05" customHeight="1" x14ac:dyDescent="0.3">
      <c r="A66" s="108"/>
      <c r="B66" s="108"/>
      <c r="C66" s="141" t="s">
        <v>8</v>
      </c>
      <c r="D66" s="108"/>
      <c r="E66" s="108"/>
      <c r="F66" s="454">
        <f>F64+F65</f>
        <v>16836</v>
      </c>
      <c r="G66" s="454">
        <f t="shared" ref="G66:T66" si="14">G64+G65</f>
        <v>17547</v>
      </c>
      <c r="H66" s="454">
        <f t="shared" si="14"/>
        <v>18760</v>
      </c>
      <c r="I66" s="454">
        <f t="shared" si="14"/>
        <v>19454</v>
      </c>
      <c r="J66" s="454">
        <f t="shared" si="14"/>
        <v>22417</v>
      </c>
      <c r="K66" s="454">
        <f t="shared" si="14"/>
        <v>23901</v>
      </c>
      <c r="L66" s="454">
        <f t="shared" si="14"/>
        <v>24539</v>
      </c>
      <c r="M66" s="454">
        <f t="shared" si="14"/>
        <v>24803</v>
      </c>
      <c r="N66" s="454">
        <f t="shared" si="14"/>
        <v>20816</v>
      </c>
      <c r="O66" s="454">
        <f t="shared" si="14"/>
        <v>18028</v>
      </c>
      <c r="P66" s="454">
        <f t="shared" si="14"/>
        <v>18579</v>
      </c>
      <c r="Q66" s="454">
        <f t="shared" si="14"/>
        <v>15888</v>
      </c>
      <c r="R66" s="454">
        <f t="shared" si="14"/>
        <v>17091</v>
      </c>
      <c r="S66" s="454">
        <f t="shared" si="14"/>
        <v>17802</v>
      </c>
      <c r="T66" s="454">
        <f t="shared" si="14"/>
        <v>19415</v>
      </c>
      <c r="U66" s="442">
        <f t="shared" si="7"/>
        <v>241568</v>
      </c>
    </row>
    <row r="67" spans="1:21" s="110" customFormat="1" ht="25.05" customHeight="1" x14ac:dyDescent="0.3">
      <c r="A67" s="108"/>
      <c r="B67" s="108"/>
      <c r="C67" s="144" t="s">
        <v>139</v>
      </c>
      <c r="D67" s="145"/>
      <c r="E67" s="108"/>
      <c r="F67" s="441">
        <f>('BS 2026'!F27)*0.05</f>
        <v>-2600</v>
      </c>
      <c r="G67" s="441">
        <f>('BS 2026'!G27)*0.05</f>
        <v>-2325</v>
      </c>
      <c r="H67" s="441">
        <f>('BS 2026'!H27)*0.05</f>
        <v>-2050</v>
      </c>
      <c r="I67" s="441">
        <f>('BS 2026'!I27)*0.05</f>
        <v>-1775</v>
      </c>
      <c r="J67" s="441">
        <f>('BS 2026'!J27)*0.05</f>
        <v>-1500</v>
      </c>
      <c r="K67" s="441">
        <f>('BS 2026'!K27)*0.05</f>
        <v>-1225</v>
      </c>
      <c r="L67" s="441">
        <f>('BS 2026'!L27)*0.05</f>
        <v>-950</v>
      </c>
      <c r="M67" s="441">
        <f>('BS 2026'!M27)*0.05</f>
        <v>-675</v>
      </c>
      <c r="N67" s="441">
        <f>('BS 2026'!N27)*0.05</f>
        <v>-400</v>
      </c>
      <c r="O67" s="441">
        <f>('BS 2026'!O27)*0.05</f>
        <v>0</v>
      </c>
      <c r="P67" s="441">
        <f>('BS 2026'!P27)*0.05</f>
        <v>0</v>
      </c>
      <c r="Q67" s="441">
        <f>('BS 2026'!Q27)*0.05</f>
        <v>0</v>
      </c>
      <c r="R67" s="441">
        <f>('BS 2026'!R27)*0.05</f>
        <v>0</v>
      </c>
      <c r="S67" s="441">
        <f>('BS 2026'!S27)*0.05</f>
        <v>0</v>
      </c>
      <c r="T67" s="441">
        <f>('BS 2026'!T27)*0.05</f>
        <v>0</v>
      </c>
      <c r="U67" s="441">
        <f t="shared" si="7"/>
        <v>-13500</v>
      </c>
    </row>
    <row r="68" spans="1:21" s="110" customFormat="1" ht="25.05" customHeight="1" x14ac:dyDescent="0.3">
      <c r="A68" s="108"/>
      <c r="B68" s="108"/>
      <c r="C68" s="141" t="s">
        <v>10</v>
      </c>
      <c r="D68" s="108"/>
      <c r="E68" s="108"/>
      <c r="F68" s="454">
        <f>F64</f>
        <v>18747</v>
      </c>
      <c r="G68" s="454">
        <f t="shared" ref="G68:T68" si="15">G64</f>
        <v>19458</v>
      </c>
      <c r="H68" s="454">
        <f t="shared" si="15"/>
        <v>20671</v>
      </c>
      <c r="I68" s="454">
        <f t="shared" si="15"/>
        <v>21210</v>
      </c>
      <c r="J68" s="454">
        <f t="shared" si="15"/>
        <v>24173</v>
      </c>
      <c r="K68" s="454">
        <f t="shared" si="15"/>
        <v>25657</v>
      </c>
      <c r="L68" s="454">
        <f t="shared" si="15"/>
        <v>26295</v>
      </c>
      <c r="M68" s="454">
        <f t="shared" si="15"/>
        <v>26559</v>
      </c>
      <c r="N68" s="454">
        <f t="shared" si="15"/>
        <v>22572</v>
      </c>
      <c r="O68" s="454">
        <f t="shared" si="15"/>
        <v>19784</v>
      </c>
      <c r="P68" s="454">
        <f t="shared" si="15"/>
        <v>20335</v>
      </c>
      <c r="Q68" s="454">
        <f t="shared" si="15"/>
        <v>17644</v>
      </c>
      <c r="R68" s="454">
        <f t="shared" si="15"/>
        <v>18847</v>
      </c>
      <c r="S68" s="454">
        <f t="shared" si="15"/>
        <v>19558</v>
      </c>
      <c r="T68" s="454">
        <f t="shared" si="15"/>
        <v>21171</v>
      </c>
      <c r="U68" s="442">
        <f t="shared" si="7"/>
        <v>263105</v>
      </c>
    </row>
    <row r="69" spans="1:21" s="110" customFormat="1" ht="25.05" customHeight="1" x14ac:dyDescent="0.3">
      <c r="A69" s="108"/>
      <c r="B69" s="108"/>
      <c r="C69" s="144" t="s">
        <v>11</v>
      </c>
      <c r="D69" s="108"/>
      <c r="E69" s="108"/>
      <c r="F69" s="441">
        <f>(F66*0.2)*-1</f>
        <v>-3367.2000000000003</v>
      </c>
      <c r="G69" s="441">
        <f t="shared" ref="G69:T69" si="16">(G66*0.2)*-1</f>
        <v>-3509.4</v>
      </c>
      <c r="H69" s="441">
        <f t="shared" si="16"/>
        <v>-3752</v>
      </c>
      <c r="I69" s="441">
        <f t="shared" si="16"/>
        <v>-3890.8</v>
      </c>
      <c r="J69" s="441">
        <f t="shared" si="16"/>
        <v>-4483.4000000000005</v>
      </c>
      <c r="K69" s="441">
        <f t="shared" si="16"/>
        <v>-4780.2</v>
      </c>
      <c r="L69" s="441">
        <f t="shared" si="16"/>
        <v>-4907.8</v>
      </c>
      <c r="M69" s="441">
        <f t="shared" si="16"/>
        <v>-4960.6000000000004</v>
      </c>
      <c r="N69" s="441">
        <f t="shared" si="16"/>
        <v>-4163.2</v>
      </c>
      <c r="O69" s="441">
        <f t="shared" si="16"/>
        <v>-3605.6000000000004</v>
      </c>
      <c r="P69" s="441">
        <f t="shared" si="16"/>
        <v>-3715.8</v>
      </c>
      <c r="Q69" s="441">
        <f t="shared" si="16"/>
        <v>-3177.6000000000004</v>
      </c>
      <c r="R69" s="441">
        <f t="shared" si="16"/>
        <v>-3418.2000000000003</v>
      </c>
      <c r="S69" s="441">
        <f t="shared" si="16"/>
        <v>-3560.4</v>
      </c>
      <c r="T69" s="441">
        <f t="shared" si="16"/>
        <v>-3883</v>
      </c>
      <c r="U69" s="441">
        <f t="shared" si="7"/>
        <v>-48313.599999999999</v>
      </c>
    </row>
    <row r="70" spans="1:21" s="110" customFormat="1" ht="14.4" customHeight="1" x14ac:dyDescent="0.3">
      <c r="A70" s="170"/>
      <c r="B70" s="170"/>
      <c r="C70" s="171" t="s">
        <v>12</v>
      </c>
      <c r="D70" s="170"/>
      <c r="E70" s="170"/>
      <c r="F70" s="304">
        <f t="shared" ref="F70" si="17">F68+F69</f>
        <v>15379.8</v>
      </c>
      <c r="G70" s="304">
        <f t="shared" ref="G70" si="18">G68+G69</f>
        <v>15948.6</v>
      </c>
      <c r="H70" s="304">
        <f t="shared" ref="H70" si="19">H68+H69</f>
        <v>16919</v>
      </c>
      <c r="I70" s="304">
        <f t="shared" ref="I70" si="20">I68+I69</f>
        <v>17319.2</v>
      </c>
      <c r="J70" s="304">
        <f t="shared" ref="J70" si="21">J68+J69</f>
        <v>19689.599999999999</v>
      </c>
      <c r="K70" s="304">
        <f t="shared" ref="K70" si="22">K68+K69</f>
        <v>20876.8</v>
      </c>
      <c r="L70" s="304">
        <f t="shared" ref="L70" si="23">L68+L69</f>
        <v>21387.200000000001</v>
      </c>
      <c r="M70" s="304">
        <f t="shared" ref="M70" si="24">M68+M69</f>
        <v>21598.400000000001</v>
      </c>
      <c r="N70" s="304">
        <f t="shared" ref="N70" si="25">N68+N69</f>
        <v>18408.8</v>
      </c>
      <c r="O70" s="304">
        <f t="shared" ref="O70" si="26">O68+O69</f>
        <v>16178.4</v>
      </c>
      <c r="P70" s="304">
        <f t="shared" ref="P70" si="27">P68+P69</f>
        <v>16619.2</v>
      </c>
      <c r="Q70" s="304">
        <f t="shared" ref="Q70" si="28">Q68+Q69</f>
        <v>14466.4</v>
      </c>
      <c r="R70" s="304">
        <f t="shared" ref="R70" si="29">R68+R69</f>
        <v>15428.8</v>
      </c>
      <c r="S70" s="304">
        <f t="shared" ref="S70" si="30">S68+S69</f>
        <v>15997.6</v>
      </c>
      <c r="T70" s="304">
        <f t="shared" ref="T70" si="31">T68+T69</f>
        <v>17288</v>
      </c>
      <c r="U70" s="305">
        <f t="shared" si="7"/>
        <v>214791.4</v>
      </c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67"/>
  <sheetViews>
    <sheetView showGridLines="0" topLeftCell="A13" workbookViewId="0">
      <selection activeCell="R39" sqref="R39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1" t="s">
        <v>144</v>
      </c>
      <c r="C2" s="130"/>
      <c r="D2" s="9"/>
    </row>
    <row r="3" spans="1:22" x14ac:dyDescent="0.3">
      <c r="A3" s="129" t="s">
        <v>145</v>
      </c>
      <c r="C3" s="14"/>
    </row>
    <row r="4" spans="1:22" x14ac:dyDescent="0.3">
      <c r="A4" s="129" t="s">
        <v>146</v>
      </c>
      <c r="C4" s="14"/>
    </row>
    <row r="6" spans="1:22" x14ac:dyDescent="0.3">
      <c r="B6" s="14" t="s">
        <v>194</v>
      </c>
    </row>
    <row r="7" spans="1:22" x14ac:dyDescent="0.3">
      <c r="A7" s="146"/>
      <c r="B7" s="177" t="s">
        <v>64</v>
      </c>
      <c r="C7" s="151"/>
      <c r="D7" s="151"/>
      <c r="E7" s="151"/>
      <c r="F7" s="151"/>
      <c r="G7" s="178">
        <v>46023</v>
      </c>
      <c r="H7" s="178">
        <v>46054</v>
      </c>
      <c r="I7" s="178">
        <v>46082</v>
      </c>
      <c r="J7" s="178">
        <v>46113</v>
      </c>
      <c r="K7" s="178">
        <v>46143</v>
      </c>
      <c r="L7" s="178">
        <v>46174</v>
      </c>
      <c r="M7" s="178">
        <v>46204</v>
      </c>
      <c r="N7" s="178">
        <v>46235</v>
      </c>
      <c r="O7" s="178">
        <v>46266</v>
      </c>
      <c r="P7" s="178">
        <v>46296</v>
      </c>
      <c r="Q7" s="178">
        <v>46327</v>
      </c>
      <c r="R7" s="178">
        <v>46357</v>
      </c>
      <c r="S7" s="178">
        <v>46388</v>
      </c>
      <c r="T7" s="178">
        <v>46419</v>
      </c>
      <c r="U7" s="178">
        <v>46447</v>
      </c>
      <c r="V7" s="179" t="s">
        <v>72</v>
      </c>
    </row>
    <row r="9" spans="1:22" x14ac:dyDescent="0.3">
      <c r="B9" s="14" t="s">
        <v>170</v>
      </c>
    </row>
    <row r="10" spans="1:22" x14ac:dyDescent="0.3">
      <c r="A10" s="151"/>
      <c r="B10" s="177" t="s">
        <v>147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</row>
    <row r="11" spans="1:22" x14ac:dyDescent="0.3">
      <c r="B11" s="314" t="s">
        <v>37</v>
      </c>
      <c r="C11" s="315"/>
      <c r="D11" s="315"/>
      <c r="E11" s="315"/>
      <c r="F11" s="315"/>
      <c r="G11" s="316">
        <f>SUM(G15+G22)</f>
        <v>27053</v>
      </c>
      <c r="H11" s="316">
        <f t="shared" ref="H11:R11" si="0">SUM(H12:H18)</f>
        <v>38097.816580147868</v>
      </c>
      <c r="I11" s="316">
        <f t="shared" si="0"/>
        <v>38623.82015718909</v>
      </c>
      <c r="J11" s="316">
        <f t="shared" si="0"/>
        <v>39191.817976852544</v>
      </c>
      <c r="K11" s="316">
        <f t="shared" si="0"/>
        <v>40013.838576889153</v>
      </c>
      <c r="L11" s="316">
        <f t="shared" si="0"/>
        <v>41091.829593267881</v>
      </c>
      <c r="M11" s="316">
        <f t="shared" si="0"/>
        <v>41845.815501149737</v>
      </c>
      <c r="N11" s="316">
        <f t="shared" si="0"/>
        <v>42527.826058113307</v>
      </c>
      <c r="O11" s="316">
        <f t="shared" si="0"/>
        <v>43425.826265741453</v>
      </c>
      <c r="P11" s="316">
        <f t="shared" si="0"/>
        <v>44673.845962423788</v>
      </c>
      <c r="Q11" s="316">
        <f t="shared" si="0"/>
        <v>45927.819390516532</v>
      </c>
      <c r="R11" s="316">
        <f t="shared" si="0"/>
        <v>40525.656542056073</v>
      </c>
      <c r="S11" s="316">
        <f t="shared" ref="S11" si="1">SUM(S12:S18)</f>
        <v>38088.815793613343</v>
      </c>
      <c r="T11" s="316">
        <f>SUM(T12:T18)</f>
        <v>38299.832310838443</v>
      </c>
      <c r="U11" s="316">
        <f>SUM(U12:U18)</f>
        <v>39626.761482329377</v>
      </c>
      <c r="V11" s="203">
        <f>SUM(G11:R11)</f>
        <v>482998.9126043474</v>
      </c>
    </row>
    <row r="12" spans="1:22" x14ac:dyDescent="0.3">
      <c r="B12" s="331" t="s">
        <v>281</v>
      </c>
      <c r="C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3">
      <c r="B13" s="332" t="s">
        <v>273</v>
      </c>
      <c r="C13" s="9"/>
      <c r="E13" s="9"/>
      <c r="F13" s="9"/>
      <c r="G13" s="328">
        <v>5086</v>
      </c>
      <c r="H13" s="328">
        <v>5191</v>
      </c>
      <c r="I13" s="328">
        <v>5322</v>
      </c>
      <c r="J13" s="328">
        <v>5442</v>
      </c>
      <c r="K13" s="328">
        <v>5704</v>
      </c>
      <c r="L13" s="328">
        <v>5915</v>
      </c>
      <c r="M13" s="328">
        <v>6029</v>
      </c>
      <c r="N13" s="328">
        <v>6226</v>
      </c>
      <c r="O13" s="328">
        <v>6430</v>
      </c>
      <c r="P13" s="328">
        <v>6799</v>
      </c>
      <c r="Q13" s="328">
        <v>6964</v>
      </c>
      <c r="R13" s="328">
        <v>5058</v>
      </c>
      <c r="S13" s="328">
        <f>'IS 2027'!F11</f>
        <v>5186</v>
      </c>
      <c r="T13" s="328">
        <f>'IS 2027'!G11</f>
        <v>5291</v>
      </c>
      <c r="U13" s="328">
        <f>'IS 2027'!H11</f>
        <v>5322</v>
      </c>
      <c r="V13" s="9"/>
    </row>
    <row r="14" spans="1:22" x14ac:dyDescent="0.3">
      <c r="B14" s="332" t="s">
        <v>274</v>
      </c>
      <c r="C14" s="9"/>
      <c r="E14" s="9"/>
      <c r="F14" s="9"/>
      <c r="G14" s="328">
        <v>6537</v>
      </c>
      <c r="H14" s="328">
        <v>6357</v>
      </c>
      <c r="I14" s="328">
        <v>6489</v>
      </c>
      <c r="J14" s="328">
        <v>6653</v>
      </c>
      <c r="K14" s="328">
        <v>6802</v>
      </c>
      <c r="L14" s="328">
        <v>7130</v>
      </c>
      <c r="M14" s="328">
        <v>7393</v>
      </c>
      <c r="N14" s="328">
        <v>7537</v>
      </c>
      <c r="O14" s="328">
        <v>7782</v>
      </c>
      <c r="P14" s="328">
        <v>8037</v>
      </c>
      <c r="Q14" s="328">
        <v>8499</v>
      </c>
      <c r="R14" s="328">
        <v>7704</v>
      </c>
      <c r="S14" s="328">
        <f>'IS 2027'!F12</f>
        <v>6357</v>
      </c>
      <c r="T14" s="328">
        <f>'IS 2027'!G12</f>
        <v>6357</v>
      </c>
      <c r="U14" s="328">
        <f>'IS 2027'!H12</f>
        <v>6989</v>
      </c>
      <c r="V14" s="9"/>
    </row>
    <row r="15" spans="1:22" x14ac:dyDescent="0.3">
      <c r="B15" s="332" t="s">
        <v>276</v>
      </c>
      <c r="C15" s="9"/>
      <c r="E15" s="9"/>
      <c r="F15" s="9"/>
      <c r="G15" s="328">
        <f>SUM(G13:G14)</f>
        <v>11623</v>
      </c>
      <c r="H15" s="328">
        <f t="shared" ref="H15:Q15" si="2">SUM(H13:H14)</f>
        <v>11548</v>
      </c>
      <c r="I15" s="328">
        <f t="shared" si="2"/>
        <v>11811</v>
      </c>
      <c r="J15" s="328">
        <f t="shared" si="2"/>
        <v>12095</v>
      </c>
      <c r="K15" s="328">
        <f t="shared" si="2"/>
        <v>12506</v>
      </c>
      <c r="L15" s="328">
        <f t="shared" si="2"/>
        <v>13045</v>
      </c>
      <c r="M15" s="328">
        <f t="shared" si="2"/>
        <v>13422</v>
      </c>
      <c r="N15" s="328">
        <f t="shared" si="2"/>
        <v>13763</v>
      </c>
      <c r="O15" s="328">
        <f t="shared" si="2"/>
        <v>14212</v>
      </c>
      <c r="P15" s="328">
        <f t="shared" si="2"/>
        <v>14836</v>
      </c>
      <c r="Q15" s="328">
        <f t="shared" si="2"/>
        <v>15463</v>
      </c>
      <c r="R15" s="328">
        <f>SUM(R13:R14)</f>
        <v>12762</v>
      </c>
      <c r="S15" s="328">
        <f t="shared" ref="S15:U15" si="3">SUM(S13:S14)</f>
        <v>11543</v>
      </c>
      <c r="T15" s="328">
        <f t="shared" si="3"/>
        <v>11648</v>
      </c>
      <c r="U15" s="328">
        <f t="shared" si="3"/>
        <v>12311</v>
      </c>
      <c r="V15" s="9"/>
    </row>
    <row r="16" spans="1:22" x14ac:dyDescent="0.3">
      <c r="B16" s="332" t="s">
        <v>277</v>
      </c>
      <c r="C16" s="9"/>
      <c r="E16" s="9"/>
      <c r="F16" s="9"/>
      <c r="G16" s="330">
        <v>15000</v>
      </c>
      <c r="H16" s="330">
        <v>15000</v>
      </c>
      <c r="I16" s="330">
        <v>15000</v>
      </c>
      <c r="J16" s="330">
        <v>15000</v>
      </c>
      <c r="K16" s="330">
        <v>15000</v>
      </c>
      <c r="L16" s="330">
        <v>15000</v>
      </c>
      <c r="M16" s="330">
        <v>15000</v>
      </c>
      <c r="N16" s="330">
        <v>15000</v>
      </c>
      <c r="O16" s="330">
        <v>15000</v>
      </c>
      <c r="P16" s="330">
        <v>15000</v>
      </c>
      <c r="Q16" s="330">
        <v>15000</v>
      </c>
      <c r="R16" s="330">
        <v>15000</v>
      </c>
      <c r="S16" s="330">
        <v>15001</v>
      </c>
      <c r="T16" s="330">
        <v>15002</v>
      </c>
      <c r="U16" s="330">
        <v>15003</v>
      </c>
      <c r="V16" s="9"/>
    </row>
    <row r="17" spans="1:22" x14ac:dyDescent="0.3">
      <c r="B17" s="332" t="s">
        <v>275</v>
      </c>
      <c r="C17" s="9"/>
      <c r="E17" s="9"/>
      <c r="F17" s="9"/>
      <c r="G17" s="329">
        <f>G15/G$14</f>
        <v>1.7780327367293867</v>
      </c>
      <c r="H17" s="329">
        <f t="shared" ref="H17:U17" si="4">H15/H$14</f>
        <v>1.8165801478684915</v>
      </c>
      <c r="I17" s="329">
        <f t="shared" si="4"/>
        <v>1.8201571890892279</v>
      </c>
      <c r="J17" s="329">
        <f t="shared" si="4"/>
        <v>1.8179768525477229</v>
      </c>
      <c r="K17" s="329">
        <f t="shared" si="4"/>
        <v>1.8385768891502499</v>
      </c>
      <c r="L17" s="329">
        <f t="shared" si="4"/>
        <v>1.829593267882188</v>
      </c>
      <c r="M17" s="329">
        <f t="shared" si="4"/>
        <v>1.815501149736237</v>
      </c>
      <c r="N17" s="329">
        <f t="shared" si="4"/>
        <v>1.8260581133076821</v>
      </c>
      <c r="O17" s="329">
        <f t="shared" si="4"/>
        <v>1.8262657414546388</v>
      </c>
      <c r="P17" s="329">
        <f t="shared" si="4"/>
        <v>1.8459624237899714</v>
      </c>
      <c r="Q17" s="329">
        <f t="shared" si="4"/>
        <v>1.8193905165313566</v>
      </c>
      <c r="R17" s="329">
        <f t="shared" si="4"/>
        <v>1.6565420560747663</v>
      </c>
      <c r="S17" s="329">
        <f t="shared" si="4"/>
        <v>1.8157936133396255</v>
      </c>
      <c r="T17" s="329">
        <f t="shared" si="4"/>
        <v>1.8323108384458078</v>
      </c>
      <c r="U17" s="329">
        <f t="shared" si="4"/>
        <v>1.7614823293747317</v>
      </c>
      <c r="V17" s="9"/>
    </row>
    <row r="18" spans="1:22" x14ac:dyDescent="0.3">
      <c r="B18" s="332"/>
      <c r="C18" s="9"/>
      <c r="E18" s="9"/>
      <c r="F18" s="9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9"/>
    </row>
    <row r="19" spans="1:22" x14ac:dyDescent="0.3">
      <c r="B19" s="331" t="s">
        <v>280</v>
      </c>
      <c r="C19" s="9"/>
      <c r="E19" s="9"/>
      <c r="F19" s="9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9"/>
    </row>
    <row r="20" spans="1:22" x14ac:dyDescent="0.3">
      <c r="B20" s="332" t="s">
        <v>278</v>
      </c>
      <c r="C20" s="9"/>
      <c r="E20" s="9"/>
      <c r="F20" s="9"/>
      <c r="G20" s="328">
        <v>7393</v>
      </c>
      <c r="H20" s="328">
        <v>7537</v>
      </c>
      <c r="I20" s="328">
        <v>7782</v>
      </c>
      <c r="J20" s="328">
        <v>8037</v>
      </c>
      <c r="K20" s="328">
        <v>8499</v>
      </c>
      <c r="L20" s="328">
        <v>8704</v>
      </c>
      <c r="M20" s="328">
        <v>8877</v>
      </c>
      <c r="N20" s="328">
        <v>8800</v>
      </c>
      <c r="O20" s="328">
        <v>7782</v>
      </c>
      <c r="P20" s="328">
        <v>6037</v>
      </c>
      <c r="Q20" s="328">
        <v>5499</v>
      </c>
      <c r="R20" s="328">
        <v>5704</v>
      </c>
      <c r="S20" s="328">
        <f>'IS 2027'!F18</f>
        <v>7393</v>
      </c>
      <c r="T20" s="328">
        <f>'IS 2027'!G18</f>
        <v>7537</v>
      </c>
      <c r="U20" s="328">
        <f>'IS 2027'!H18</f>
        <v>7782</v>
      </c>
      <c r="V20" s="9"/>
    </row>
    <row r="21" spans="1:22" x14ac:dyDescent="0.3">
      <c r="B21" s="332" t="s">
        <v>279</v>
      </c>
      <c r="C21" s="9"/>
      <c r="E21" s="9"/>
      <c r="F21" s="9"/>
      <c r="G21" s="328">
        <v>8037</v>
      </c>
      <c r="H21" s="328">
        <v>8499</v>
      </c>
      <c r="I21" s="328">
        <v>9204</v>
      </c>
      <c r="J21" s="328">
        <v>9204</v>
      </c>
      <c r="K21" s="328">
        <v>11294</v>
      </c>
      <c r="L21" s="328">
        <v>12034</v>
      </c>
      <c r="M21" s="328">
        <v>12122</v>
      </c>
      <c r="N21" s="328">
        <v>12122</v>
      </c>
      <c r="O21" s="328">
        <v>8704</v>
      </c>
      <c r="P21" s="328">
        <v>7037</v>
      </c>
      <c r="Q21" s="328">
        <v>7499</v>
      </c>
      <c r="R21" s="328">
        <v>7304</v>
      </c>
      <c r="S21" s="328">
        <f>'IS 2027'!F19</f>
        <v>8037</v>
      </c>
      <c r="T21" s="328">
        <f>'IS 2027'!G19</f>
        <v>8499</v>
      </c>
      <c r="U21" s="328">
        <f>'IS 2027'!H19</f>
        <v>9204</v>
      </c>
      <c r="V21" s="9"/>
    </row>
    <row r="22" spans="1:22" x14ac:dyDescent="0.3">
      <c r="B22" s="332" t="s">
        <v>276</v>
      </c>
      <c r="C22" s="9"/>
      <c r="E22" s="9"/>
      <c r="F22" s="9"/>
      <c r="G22" s="328">
        <f>SUM(G20:G21)</f>
        <v>15430</v>
      </c>
      <c r="H22" s="328">
        <f t="shared" ref="H22:U22" si="5">SUM(H20:H21)</f>
        <v>16036</v>
      </c>
      <c r="I22" s="328">
        <f t="shared" si="5"/>
        <v>16986</v>
      </c>
      <c r="J22" s="328">
        <f t="shared" si="5"/>
        <v>17241</v>
      </c>
      <c r="K22" s="328">
        <f t="shared" si="5"/>
        <v>19793</v>
      </c>
      <c r="L22" s="328">
        <f t="shared" si="5"/>
        <v>20738</v>
      </c>
      <c r="M22" s="328">
        <f t="shared" si="5"/>
        <v>20999</v>
      </c>
      <c r="N22" s="328">
        <f t="shared" si="5"/>
        <v>20922</v>
      </c>
      <c r="O22" s="328">
        <f t="shared" si="5"/>
        <v>16486</v>
      </c>
      <c r="P22" s="328">
        <f t="shared" si="5"/>
        <v>13074</v>
      </c>
      <c r="Q22" s="328">
        <f t="shared" si="5"/>
        <v>12998</v>
      </c>
      <c r="R22" s="328">
        <f t="shared" si="5"/>
        <v>13008</v>
      </c>
      <c r="S22" s="328">
        <f t="shared" si="5"/>
        <v>15430</v>
      </c>
      <c r="T22" s="328">
        <f t="shared" si="5"/>
        <v>16036</v>
      </c>
      <c r="U22" s="328">
        <f t="shared" si="5"/>
        <v>16986</v>
      </c>
      <c r="V22" s="9"/>
    </row>
    <row r="23" spans="1:22" x14ac:dyDescent="0.3">
      <c r="B23" s="332" t="s">
        <v>277</v>
      </c>
      <c r="C23" s="9"/>
      <c r="E23" s="9"/>
      <c r="F23" s="9"/>
      <c r="G23" s="327">
        <v>21000</v>
      </c>
      <c r="H23" s="327">
        <v>21000</v>
      </c>
      <c r="I23" s="327">
        <v>21000</v>
      </c>
      <c r="J23" s="327">
        <v>21000</v>
      </c>
      <c r="K23" s="327">
        <v>21000</v>
      </c>
      <c r="L23" s="327">
        <v>21000</v>
      </c>
      <c r="M23" s="327">
        <v>21000</v>
      </c>
      <c r="N23" s="327">
        <v>21000</v>
      </c>
      <c r="O23" s="327">
        <v>21000</v>
      </c>
      <c r="P23" s="327">
        <v>21000</v>
      </c>
      <c r="Q23" s="327">
        <v>21000</v>
      </c>
      <c r="R23" s="327">
        <v>21000</v>
      </c>
      <c r="S23" s="327">
        <v>21001</v>
      </c>
      <c r="T23" s="327">
        <v>21002</v>
      </c>
      <c r="U23" s="327">
        <v>21003</v>
      </c>
      <c r="V23" s="9"/>
    </row>
    <row r="24" spans="1:22" x14ac:dyDescent="0.3">
      <c r="B24" s="332" t="s">
        <v>275</v>
      </c>
      <c r="C24" s="9"/>
      <c r="E24" s="9"/>
      <c r="F24" s="9"/>
      <c r="G24" s="329">
        <f>G22/G$21</f>
        <v>1.9198705984820206</v>
      </c>
      <c r="H24" s="329">
        <f t="shared" ref="H24:U24" si="6">H22/H$21</f>
        <v>1.8868102129662314</v>
      </c>
      <c r="I24" s="329">
        <f t="shared" si="6"/>
        <v>1.8455019556714471</v>
      </c>
      <c r="J24" s="329">
        <f t="shared" si="6"/>
        <v>1.8732073011734029</v>
      </c>
      <c r="K24" s="329">
        <f t="shared" si="6"/>
        <v>1.7525234637860811</v>
      </c>
      <c r="L24" s="329">
        <f t="shared" si="6"/>
        <v>1.7232840285856739</v>
      </c>
      <c r="M24" s="329">
        <f t="shared" si="6"/>
        <v>1.7323049001814883</v>
      </c>
      <c r="N24" s="329">
        <f t="shared" si="6"/>
        <v>1.7259528130671506</v>
      </c>
      <c r="O24" s="329">
        <f t="shared" si="6"/>
        <v>1.8940716911764706</v>
      </c>
      <c r="P24" s="329">
        <f t="shared" si="6"/>
        <v>1.8578939889157311</v>
      </c>
      <c r="Q24" s="329">
        <f t="shared" si="6"/>
        <v>1.7332977730364048</v>
      </c>
      <c r="R24" s="329">
        <f t="shared" si="6"/>
        <v>1.7809419496166483</v>
      </c>
      <c r="S24" s="329">
        <f t="shared" si="6"/>
        <v>1.9198705984820206</v>
      </c>
      <c r="T24" s="329">
        <f t="shared" si="6"/>
        <v>1.8868102129662314</v>
      </c>
      <c r="U24" s="329">
        <f t="shared" si="6"/>
        <v>1.8455019556714471</v>
      </c>
      <c r="V24" s="9"/>
    </row>
    <row r="25" spans="1:22" x14ac:dyDescent="0.3">
      <c r="B25" s="86" t="s">
        <v>38</v>
      </c>
      <c r="G25" s="1">
        <v>-325</v>
      </c>
      <c r="H25" s="1">
        <v>-325</v>
      </c>
      <c r="I25" s="1">
        <v>-325</v>
      </c>
      <c r="J25" s="1">
        <v>-325</v>
      </c>
      <c r="K25" s="1">
        <v>-325</v>
      </c>
      <c r="L25" s="1">
        <v>-325</v>
      </c>
      <c r="M25" s="1">
        <v>-325</v>
      </c>
      <c r="N25" s="1">
        <v>-325</v>
      </c>
      <c r="O25" s="1">
        <v>-325</v>
      </c>
      <c r="P25" s="1">
        <v>-325</v>
      </c>
      <c r="Q25" s="1">
        <v>-325</v>
      </c>
      <c r="R25" s="1">
        <v>-325</v>
      </c>
      <c r="S25" s="1">
        <v>-325</v>
      </c>
      <c r="T25" s="1">
        <v>-325</v>
      </c>
      <c r="U25" s="1">
        <v>-325</v>
      </c>
      <c r="V25" s="1">
        <f>SUM(G25:R25)</f>
        <v>-3900</v>
      </c>
    </row>
    <row r="26" spans="1:22" x14ac:dyDescent="0.3">
      <c r="B26" s="86" t="s">
        <v>148</v>
      </c>
      <c r="G26" s="1">
        <f>'IS 2025'!F69</f>
        <v>-5900</v>
      </c>
      <c r="H26" s="1">
        <f>'IS 2025'!G69</f>
        <v>-5625</v>
      </c>
      <c r="I26" s="1">
        <f>'IS 2025'!H69</f>
        <v>-5350</v>
      </c>
      <c r="J26" s="1">
        <f>'IS 2025'!I69</f>
        <v>-5075</v>
      </c>
      <c r="K26" s="1">
        <f>'IS 2025'!J69</f>
        <v>-4800</v>
      </c>
      <c r="L26" s="1">
        <f>'IS 2025'!K69</f>
        <v>-4525</v>
      </c>
      <c r="M26" s="1">
        <f>'IS 2025'!L69</f>
        <v>-4250</v>
      </c>
      <c r="N26" s="1">
        <f>'IS 2025'!M69</f>
        <v>-3975</v>
      </c>
      <c r="O26" s="1">
        <f>'IS 2025'!N69</f>
        <v>-3700</v>
      </c>
      <c r="P26" s="1">
        <f>'IS 2025'!O69</f>
        <v>-3425</v>
      </c>
      <c r="Q26" s="1">
        <f>'IS 2025'!P69</f>
        <v>-3150</v>
      </c>
      <c r="R26" s="1">
        <f>'IS 2025'!Q69</f>
        <v>-2875</v>
      </c>
      <c r="S26" s="1">
        <f>'IS 2025'!R69</f>
        <v>-2600</v>
      </c>
      <c r="T26" s="1">
        <f>'IS 2025'!S69</f>
        <v>-2325</v>
      </c>
      <c r="U26" s="1">
        <f>'IS 2025'!T69</f>
        <v>-2050</v>
      </c>
    </row>
    <row r="27" spans="1:22" x14ac:dyDescent="0.3">
      <c r="B27" s="86" t="s">
        <v>149</v>
      </c>
      <c r="G27" s="1">
        <f>'CF 2025'!S59</f>
        <v>-4130.6000000000004</v>
      </c>
      <c r="H27" s="1">
        <f>'CF 2025'!T59</f>
        <v>-4272.8</v>
      </c>
      <c r="I27" s="1">
        <f>'CF 2025'!U59</f>
        <v>-4515.4000000000005</v>
      </c>
      <c r="J27" s="1">
        <f>'IS 2025'!I71</f>
        <v>-4583.2</v>
      </c>
      <c r="K27" s="1">
        <f>'IS 2025'!J71</f>
        <v>-5175.8</v>
      </c>
      <c r="L27" s="1">
        <f>'IS 2025'!K71</f>
        <v>-5472.6</v>
      </c>
      <c r="M27" s="1">
        <f>'IS 2025'!L71</f>
        <v>-5600.2000000000007</v>
      </c>
      <c r="N27" s="1">
        <f>'IS 2025'!M71</f>
        <v>-5653</v>
      </c>
      <c r="O27" s="1">
        <f>'IS 2025'!N71</f>
        <v>-4855.6000000000004</v>
      </c>
      <c r="P27" s="1">
        <f>'IS 2025'!O71</f>
        <v>-4298</v>
      </c>
      <c r="Q27" s="1">
        <f>'IS 2025'!P71</f>
        <v>-4408.2</v>
      </c>
      <c r="R27" s="1">
        <f>'IS 2025'!Q71</f>
        <v>-3910</v>
      </c>
      <c r="S27" s="1">
        <f>'IS 2025'!R71</f>
        <v>-4130.6000000000004</v>
      </c>
      <c r="T27" s="1">
        <f>'IS 2025'!S71</f>
        <v>-4272.8</v>
      </c>
      <c r="U27" s="1">
        <f>'IS 2025'!T71</f>
        <v>-4515.4000000000005</v>
      </c>
    </row>
    <row r="28" spans="1:22" x14ac:dyDescent="0.3">
      <c r="A28" s="151"/>
      <c r="B28" s="180" t="s">
        <v>150</v>
      </c>
      <c r="C28" s="151"/>
      <c r="D28" s="151"/>
      <c r="E28" s="151"/>
      <c r="F28" s="151"/>
      <c r="G28" s="158">
        <f>G11</f>
        <v>27053</v>
      </c>
      <c r="H28" s="158">
        <f t="shared" ref="H28:V28" si="7">H11</f>
        <v>38097.816580147868</v>
      </c>
      <c r="I28" s="158">
        <f t="shared" si="7"/>
        <v>38623.82015718909</v>
      </c>
      <c r="J28" s="158">
        <f t="shared" si="7"/>
        <v>39191.817976852544</v>
      </c>
      <c r="K28" s="158">
        <f t="shared" si="7"/>
        <v>40013.838576889153</v>
      </c>
      <c r="L28" s="158">
        <f t="shared" si="7"/>
        <v>41091.829593267881</v>
      </c>
      <c r="M28" s="158">
        <f t="shared" si="7"/>
        <v>41845.815501149737</v>
      </c>
      <c r="N28" s="158">
        <f t="shared" si="7"/>
        <v>42527.826058113307</v>
      </c>
      <c r="O28" s="158">
        <f t="shared" si="7"/>
        <v>43425.826265741453</v>
      </c>
      <c r="P28" s="158">
        <f t="shared" si="7"/>
        <v>44673.845962423788</v>
      </c>
      <c r="Q28" s="158">
        <f t="shared" si="7"/>
        <v>45927.819390516532</v>
      </c>
      <c r="R28" s="158">
        <f t="shared" si="7"/>
        <v>40525.656542056073</v>
      </c>
      <c r="S28" s="158">
        <f t="shared" si="7"/>
        <v>38088.815793613343</v>
      </c>
      <c r="T28" s="158">
        <f t="shared" si="7"/>
        <v>38299.832310838443</v>
      </c>
      <c r="U28" s="158">
        <f t="shared" si="7"/>
        <v>39626.761482329377</v>
      </c>
      <c r="V28" s="158">
        <f t="shared" si="7"/>
        <v>482998.9126043474</v>
      </c>
    </row>
    <row r="29" spans="1:22" x14ac:dyDescent="0.3">
      <c r="A29" s="152"/>
      <c r="B29" s="202" t="s">
        <v>151</v>
      </c>
      <c r="C29" s="152"/>
      <c r="D29" s="152"/>
      <c r="E29" s="152"/>
      <c r="F29" s="152"/>
      <c r="G29" s="153">
        <f>SUM(G25:G27)</f>
        <v>-10355.6</v>
      </c>
      <c r="H29" s="153">
        <f t="shared" ref="H29:U29" si="8">SUM(H25:H27)</f>
        <v>-10222.799999999999</v>
      </c>
      <c r="I29" s="153">
        <f t="shared" si="8"/>
        <v>-10190.400000000001</v>
      </c>
      <c r="J29" s="153">
        <f t="shared" si="8"/>
        <v>-9983.2000000000007</v>
      </c>
      <c r="K29" s="153">
        <f t="shared" si="8"/>
        <v>-10300.799999999999</v>
      </c>
      <c r="L29" s="153">
        <f t="shared" si="8"/>
        <v>-10322.6</v>
      </c>
      <c r="M29" s="153">
        <f t="shared" si="8"/>
        <v>-10175.200000000001</v>
      </c>
      <c r="N29" s="153">
        <f t="shared" si="8"/>
        <v>-9953</v>
      </c>
      <c r="O29" s="153">
        <f t="shared" si="8"/>
        <v>-8880.6</v>
      </c>
      <c r="P29" s="153">
        <f t="shared" si="8"/>
        <v>-8048</v>
      </c>
      <c r="Q29" s="153">
        <f t="shared" si="8"/>
        <v>-7883.2</v>
      </c>
      <c r="R29" s="153">
        <f t="shared" si="8"/>
        <v>-7110</v>
      </c>
      <c r="S29" s="153">
        <f t="shared" si="8"/>
        <v>-7055.6</v>
      </c>
      <c r="T29" s="153">
        <f t="shared" si="8"/>
        <v>-6922.8</v>
      </c>
      <c r="U29" s="153">
        <f t="shared" si="8"/>
        <v>-6890.4000000000005</v>
      </c>
      <c r="V29" s="153">
        <f>SUM(G29:R29)</f>
        <v>-113425.40000000001</v>
      </c>
    </row>
    <row r="30" spans="1:22" x14ac:dyDescent="0.3">
      <c r="B30" s="9" t="s">
        <v>152</v>
      </c>
      <c r="C30" s="9"/>
      <c r="D30" s="9"/>
      <c r="E30" s="9"/>
      <c r="F30" s="9"/>
      <c r="G30" s="132">
        <f>SUM(G28:G29)</f>
        <v>16697.400000000001</v>
      </c>
      <c r="H30" s="132">
        <f t="shared" ref="H30:R30" si="9">SUM(H28:H29)</f>
        <v>27875.016580147869</v>
      </c>
      <c r="I30" s="132">
        <f t="shared" si="9"/>
        <v>28433.420157189088</v>
      </c>
      <c r="J30" s="132">
        <f t="shared" si="9"/>
        <v>29208.617976852544</v>
      </c>
      <c r="K30" s="132">
        <f t="shared" si="9"/>
        <v>29713.038576889154</v>
      </c>
      <c r="L30" s="132">
        <f t="shared" si="9"/>
        <v>30769.229593267883</v>
      </c>
      <c r="M30" s="132">
        <f t="shared" si="9"/>
        <v>31670.615501149736</v>
      </c>
      <c r="N30" s="132">
        <f t="shared" si="9"/>
        <v>32574.826058113307</v>
      </c>
      <c r="O30" s="132">
        <f t="shared" si="9"/>
        <v>34545.226265741454</v>
      </c>
      <c r="P30" s="132">
        <f t="shared" si="9"/>
        <v>36625.845962423788</v>
      </c>
      <c r="Q30" s="132">
        <f t="shared" si="9"/>
        <v>38044.619390516535</v>
      </c>
      <c r="R30" s="132">
        <f t="shared" si="9"/>
        <v>33415.656542056073</v>
      </c>
      <c r="S30" s="132">
        <f>'CF 2027'!G30</f>
        <v>16697.400000000001</v>
      </c>
      <c r="T30" s="132">
        <f>'CF 2027'!H30</f>
        <v>27875.016580147869</v>
      </c>
      <c r="U30" s="132">
        <f>'CF 2027'!I30</f>
        <v>28433.420157189088</v>
      </c>
      <c r="V30" s="132">
        <f>SUM(G30:R30)</f>
        <v>369573.51260434743</v>
      </c>
    </row>
    <row r="31" spans="1:22" x14ac:dyDescent="0.3">
      <c r="B31" s="9" t="s">
        <v>196</v>
      </c>
      <c r="C31" s="9"/>
      <c r="D31" s="9"/>
      <c r="E31" s="9"/>
      <c r="F31" s="9"/>
      <c r="G31" s="132">
        <f>G30-'IS 2026'!F65</f>
        <v>18608.400000000001</v>
      </c>
      <c r="H31" s="132">
        <f>H30-'IS 2026'!G65</f>
        <v>29786.016580147869</v>
      </c>
      <c r="I31" s="132">
        <f>I30-'IS 2026'!H65</f>
        <v>30344.420157189088</v>
      </c>
      <c r="J31" s="132">
        <f>J30-'IS 2026'!I65</f>
        <v>30964.617976852544</v>
      </c>
      <c r="K31" s="132">
        <f>K30-'IS 2026'!J65</f>
        <v>31469.038576889154</v>
      </c>
      <c r="L31" s="132">
        <f>L30-'IS 2026'!K65</f>
        <v>32525.229593267883</v>
      </c>
      <c r="M31" s="132">
        <f>M30-'IS 2026'!L65</f>
        <v>33426.615501149732</v>
      </c>
      <c r="N31" s="132">
        <f>N30-'IS 2026'!M65</f>
        <v>34330.826058113307</v>
      </c>
      <c r="O31" s="132">
        <f>O30-'IS 2026'!N65</f>
        <v>36301.226265741454</v>
      </c>
      <c r="P31" s="132">
        <f>P30-'IS 2026'!O65</f>
        <v>38381.845962423788</v>
      </c>
      <c r="Q31" s="132">
        <f>Q30-'IS 2026'!P65</f>
        <v>39800.619390516535</v>
      </c>
      <c r="R31" s="132">
        <f>R30-'IS 2026'!Q65</f>
        <v>35171.656542056073</v>
      </c>
      <c r="S31" s="132">
        <f>'CF 2027'!G31</f>
        <v>14847.400000000001</v>
      </c>
      <c r="T31" s="132">
        <f>'CF 2027'!H31</f>
        <v>26425.016580147869</v>
      </c>
      <c r="U31" s="132">
        <f>'CF 2027'!I31</f>
        <v>26983.420157189088</v>
      </c>
      <c r="V31" s="132"/>
    </row>
    <row r="32" spans="1:22" x14ac:dyDescent="0.3">
      <c r="B32" s="130" t="s">
        <v>153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32">
        <f>'CF 2027'!G32</f>
        <v>0</v>
      </c>
      <c r="T32" s="132">
        <f>'CF 2027'!H32</f>
        <v>0</v>
      </c>
      <c r="U32" s="132">
        <f>'CF 2027'!I32</f>
        <v>0</v>
      </c>
    </row>
    <row r="33" spans="2:22" x14ac:dyDescent="0.3">
      <c r="B33" s="133" t="s">
        <v>154</v>
      </c>
      <c r="C33" s="9"/>
      <c r="D33" s="9"/>
      <c r="E33" s="9"/>
      <c r="F33" s="9"/>
      <c r="G33" s="132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32">
        <f>'CF 2027'!G33</f>
        <v>0</v>
      </c>
      <c r="T33" s="132">
        <f>'CF 2027'!H33</f>
        <v>0</v>
      </c>
      <c r="U33" s="132">
        <f>'CF 2027'!I33</f>
        <v>0</v>
      </c>
    </row>
    <row r="34" spans="2:22" x14ac:dyDescent="0.3">
      <c r="B34" s="135" t="s">
        <v>117</v>
      </c>
      <c r="C34" s="9"/>
      <c r="D34" s="9"/>
      <c r="E34" s="9"/>
      <c r="F34" s="9"/>
      <c r="G34" s="132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34">
        <f>'CF 2027'!G34</f>
        <v>0</v>
      </c>
      <c r="T34" s="132">
        <f>'CF 2027'!H34</f>
        <v>0</v>
      </c>
      <c r="U34" s="132">
        <f>'CF 2027'!I34</f>
        <v>0</v>
      </c>
    </row>
    <row r="35" spans="2:22" x14ac:dyDescent="0.3">
      <c r="B35" s="133" t="s">
        <v>155</v>
      </c>
      <c r="C35" s="9"/>
      <c r="D35" s="9"/>
      <c r="E35" s="9"/>
      <c r="F35" s="9"/>
      <c r="G35" s="132">
        <f>SUM(G33:G34)</f>
        <v>0</v>
      </c>
      <c r="H35" s="132">
        <f t="shared" ref="H35:R35" si="10">SUM(H33:H34)</f>
        <v>0</v>
      </c>
      <c r="I35" s="132">
        <f t="shared" si="10"/>
        <v>0</v>
      </c>
      <c r="J35" s="132">
        <f t="shared" si="10"/>
        <v>0</v>
      </c>
      <c r="K35" s="132">
        <f t="shared" si="10"/>
        <v>0</v>
      </c>
      <c r="L35" s="132">
        <f t="shared" si="10"/>
        <v>0</v>
      </c>
      <c r="M35" s="132">
        <f t="shared" si="10"/>
        <v>0</v>
      </c>
      <c r="N35" s="132">
        <f t="shared" si="10"/>
        <v>0</v>
      </c>
      <c r="O35" s="132">
        <f t="shared" si="10"/>
        <v>0</v>
      </c>
      <c r="P35" s="132">
        <f t="shared" si="10"/>
        <v>0</v>
      </c>
      <c r="Q35" s="132">
        <f t="shared" si="10"/>
        <v>0</v>
      </c>
      <c r="R35" s="132">
        <f t="shared" si="10"/>
        <v>0</v>
      </c>
      <c r="S35" s="132">
        <f>'CF 2027'!G35</f>
        <v>0</v>
      </c>
      <c r="T35" s="132">
        <f>'CF 2027'!H35</f>
        <v>0</v>
      </c>
      <c r="U35" s="132">
        <f>'CF 2027'!I35</f>
        <v>0</v>
      </c>
    </row>
    <row r="36" spans="2:22" x14ac:dyDescent="0.3">
      <c r="B36" s="136" t="s">
        <v>156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32">
        <f>'CF 2027'!G36</f>
        <v>0</v>
      </c>
      <c r="T36" s="132">
        <f>'CF 2027'!H36</f>
        <v>0</v>
      </c>
      <c r="U36" s="132">
        <f>'CF 2027'!I36</f>
        <v>0</v>
      </c>
    </row>
    <row r="37" spans="2:22" x14ac:dyDescent="0.3">
      <c r="B37" s="86" t="s">
        <v>157</v>
      </c>
      <c r="G37" s="1"/>
      <c r="S37" s="1">
        <f>'CF 2027'!G37</f>
        <v>0</v>
      </c>
      <c r="T37" s="1">
        <f>'CF 2027'!H37</f>
        <v>0</v>
      </c>
      <c r="U37" s="1">
        <f>'CF 2027'!I37</f>
        <v>0</v>
      </c>
    </row>
    <row r="38" spans="2:22" x14ac:dyDescent="0.3">
      <c r="B38" s="128" t="s">
        <v>117</v>
      </c>
      <c r="G38" s="1"/>
      <c r="S38" s="1">
        <f>'CF 2027'!G38</f>
        <v>0</v>
      </c>
      <c r="T38" s="1">
        <f>'CF 2027'!H38</f>
        <v>0</v>
      </c>
      <c r="U38" s="1">
        <f>'CF 2027'!I38</f>
        <v>0</v>
      </c>
    </row>
    <row r="39" spans="2:22" x14ac:dyDescent="0.3">
      <c r="B39" s="128" t="s">
        <v>118</v>
      </c>
      <c r="G39" s="1"/>
      <c r="S39" s="1">
        <f>'CF 2027'!G39</f>
        <v>0</v>
      </c>
      <c r="T39" s="1">
        <f>'CF 2027'!H39</f>
        <v>0</v>
      </c>
      <c r="U39" s="1">
        <f>'CF 2027'!I39</f>
        <v>0</v>
      </c>
    </row>
    <row r="40" spans="2:22" x14ac:dyDescent="0.3">
      <c r="B40" s="128" t="s">
        <v>119</v>
      </c>
      <c r="G40" s="1"/>
      <c r="S40" s="1">
        <f>'CF 2027'!G40</f>
        <v>0</v>
      </c>
      <c r="T40" s="1">
        <f>'CF 2027'!H40</f>
        <v>0</v>
      </c>
      <c r="U40" s="1">
        <f>'CF 2027'!I40</f>
        <v>0</v>
      </c>
    </row>
    <row r="41" spans="2:22" x14ac:dyDescent="0.3">
      <c r="B41" s="86" t="s">
        <v>158</v>
      </c>
      <c r="G41" s="451">
        <v>-5500</v>
      </c>
      <c r="H41" s="451">
        <v>-5500</v>
      </c>
      <c r="I41" s="451">
        <v>-5500</v>
      </c>
      <c r="J41" s="451">
        <v>-5500</v>
      </c>
      <c r="K41" s="451">
        <v>-5500</v>
      </c>
      <c r="L41" s="451">
        <v>-5500</v>
      </c>
      <c r="M41" s="451">
        <v>-5500</v>
      </c>
      <c r="N41" s="451">
        <v>-5500</v>
      </c>
      <c r="O41" s="451">
        <v>-5500</v>
      </c>
      <c r="P41" s="451">
        <v>-8000</v>
      </c>
      <c r="Q41" s="451"/>
      <c r="R41" s="1"/>
      <c r="S41" s="1"/>
      <c r="T41" s="1"/>
      <c r="U41" s="1"/>
      <c r="V41" s="1">
        <f>SUM(G37:R41)</f>
        <v>-57500</v>
      </c>
    </row>
    <row r="42" spans="2:22" x14ac:dyDescent="0.3">
      <c r="B42" s="128" t="s">
        <v>117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f>'CF 2027'!G42</f>
        <v>0</v>
      </c>
      <c r="T42" s="1">
        <f>'CF 2027'!H42</f>
        <v>0</v>
      </c>
      <c r="U42" s="1">
        <f>'CF 2027'!I42</f>
        <v>0</v>
      </c>
    </row>
    <row r="43" spans="2:22" x14ac:dyDescent="0.3">
      <c r="B43" s="86" t="s">
        <v>159</v>
      </c>
      <c r="G43" s="1"/>
      <c r="S43" s="1">
        <f>'CF 2027'!G43</f>
        <v>0</v>
      </c>
      <c r="T43" s="1">
        <f>'CF 2027'!H43</f>
        <v>0</v>
      </c>
      <c r="U43" s="1">
        <f>'CF 2027'!I43</f>
        <v>0</v>
      </c>
    </row>
    <row r="44" spans="2:22" x14ac:dyDescent="0.3">
      <c r="B44" s="128" t="s">
        <v>117</v>
      </c>
      <c r="G44" s="1"/>
      <c r="S44" s="1">
        <f>'CF 2027'!G44</f>
        <v>0</v>
      </c>
      <c r="T44" s="1">
        <f>'CF 2027'!H44</f>
        <v>0</v>
      </c>
      <c r="U44" s="1">
        <f>'CF 2027'!I44</f>
        <v>0</v>
      </c>
    </row>
    <row r="45" spans="2:22" x14ac:dyDescent="0.3">
      <c r="B45" s="86" t="s">
        <v>160</v>
      </c>
      <c r="S45" s="1">
        <f>'CF 2027'!G45</f>
        <v>0</v>
      </c>
      <c r="T45" s="1">
        <f>'CF 2027'!H45</f>
        <v>0</v>
      </c>
      <c r="U45" s="1">
        <f>'CF 2027'!I45</f>
        <v>0</v>
      </c>
    </row>
    <row r="46" spans="2:22" x14ac:dyDescent="0.3">
      <c r="B46" s="128" t="s">
        <v>117</v>
      </c>
      <c r="S46" s="1">
        <f>'CF 2027'!G46</f>
        <v>0</v>
      </c>
      <c r="T46" s="1">
        <f>'CF 2027'!H46</f>
        <v>0</v>
      </c>
      <c r="U46" s="1">
        <f>'CF 2027'!I46</f>
        <v>0</v>
      </c>
    </row>
    <row r="47" spans="2:22" x14ac:dyDescent="0.3">
      <c r="B47" s="86" t="s">
        <v>161</v>
      </c>
      <c r="S47" s="1">
        <f>'CF 2027'!G47</f>
        <v>0</v>
      </c>
      <c r="T47" s="1">
        <f>'CF 2027'!H47</f>
        <v>0</v>
      </c>
      <c r="U47" s="1">
        <f>'CF 2027'!I47</f>
        <v>0</v>
      </c>
    </row>
    <row r="48" spans="2:22" x14ac:dyDescent="0.3">
      <c r="B48" s="128" t="s">
        <v>117</v>
      </c>
      <c r="S48" s="1">
        <f>'CF 2027'!G48</f>
        <v>0</v>
      </c>
      <c r="T48" s="1">
        <f>'CF 2027'!H48</f>
        <v>0</v>
      </c>
      <c r="U48" s="1">
        <f>'CF 2027'!I48</f>
        <v>0</v>
      </c>
    </row>
    <row r="49" spans="1:22" x14ac:dyDescent="0.3">
      <c r="B49" s="86" t="s">
        <v>45</v>
      </c>
      <c r="S49" s="1">
        <f>'CF 2027'!G49</f>
        <v>0</v>
      </c>
      <c r="T49" s="1">
        <f>'CF 2027'!H49</f>
        <v>0</v>
      </c>
      <c r="U49" s="1">
        <f>'CF 2027'!I49</f>
        <v>0</v>
      </c>
    </row>
    <row r="50" spans="1:22" x14ac:dyDescent="0.3">
      <c r="B50" s="86" t="s">
        <v>162</v>
      </c>
      <c r="G50" s="451">
        <f>SUM(G37:G49)</f>
        <v>-5500</v>
      </c>
      <c r="H50" s="451">
        <f t="shared" ref="H50:R50" si="11">SUM(H37:H49)</f>
        <v>-5500</v>
      </c>
      <c r="I50" s="451">
        <f t="shared" si="11"/>
        <v>-5500</v>
      </c>
      <c r="J50" s="451">
        <f t="shared" si="11"/>
        <v>-5500</v>
      </c>
      <c r="K50" s="451">
        <f t="shared" si="11"/>
        <v>-5500</v>
      </c>
      <c r="L50" s="451">
        <f t="shared" si="11"/>
        <v>-5500</v>
      </c>
      <c r="M50" s="451">
        <f t="shared" si="11"/>
        <v>-5500</v>
      </c>
      <c r="N50" s="451">
        <f t="shared" si="11"/>
        <v>-5500</v>
      </c>
      <c r="O50" s="451">
        <f t="shared" si="11"/>
        <v>-5500</v>
      </c>
      <c r="P50" s="451">
        <f t="shared" si="11"/>
        <v>-8000</v>
      </c>
      <c r="Q50" s="451">
        <f t="shared" si="11"/>
        <v>0</v>
      </c>
      <c r="R50" s="451">
        <f t="shared" si="11"/>
        <v>0</v>
      </c>
      <c r="S50" s="451">
        <f>'CF 2027'!G50</f>
        <v>0</v>
      </c>
      <c r="T50" s="451">
        <f>'CF 2027'!H50</f>
        <v>0</v>
      </c>
      <c r="U50" s="451">
        <f>'CF 2027'!I50</f>
        <v>0</v>
      </c>
      <c r="V50" s="437"/>
    </row>
    <row r="51" spans="1:22" x14ac:dyDescent="0.3">
      <c r="B51" s="207" t="s">
        <v>163</v>
      </c>
      <c r="C51" s="206"/>
      <c r="D51" s="206"/>
      <c r="E51" s="206"/>
      <c r="F51" s="206"/>
      <c r="G51" s="208">
        <f>G30+G50</f>
        <v>11197.400000000001</v>
      </c>
      <c r="H51" s="208">
        <f>H30+H50</f>
        <v>22375.016580147869</v>
      </c>
      <c r="I51" s="208">
        <f>I30+I50</f>
        <v>22933.420157189088</v>
      </c>
      <c r="J51" s="208">
        <f>J30+J50</f>
        <v>23708.617976852544</v>
      </c>
      <c r="K51" s="208">
        <f t="shared" ref="K51:U51" si="12">K30+K50</f>
        <v>24213.038576889154</v>
      </c>
      <c r="L51" s="208">
        <f t="shared" si="12"/>
        <v>25269.229593267883</v>
      </c>
      <c r="M51" s="208">
        <f t="shared" si="12"/>
        <v>26170.615501149736</v>
      </c>
      <c r="N51" s="208">
        <f t="shared" si="12"/>
        <v>27074.826058113307</v>
      </c>
      <c r="O51" s="208">
        <f t="shared" si="12"/>
        <v>29045.226265741454</v>
      </c>
      <c r="P51" s="208">
        <f t="shared" si="12"/>
        <v>28625.845962423788</v>
      </c>
      <c r="Q51" s="208">
        <f t="shared" si="12"/>
        <v>38044.619390516535</v>
      </c>
      <c r="R51" s="208">
        <f t="shared" si="12"/>
        <v>33415.656542056073</v>
      </c>
      <c r="S51" s="208">
        <f t="shared" si="12"/>
        <v>16697.400000000001</v>
      </c>
      <c r="T51" s="208">
        <f t="shared" si="12"/>
        <v>27875.016580147869</v>
      </c>
      <c r="U51" s="208">
        <f t="shared" si="12"/>
        <v>28433.420157189088</v>
      </c>
      <c r="V51" s="209">
        <f>SUM(G51:R51)</f>
        <v>312073.51260434743</v>
      </c>
    </row>
    <row r="52" spans="1:22" x14ac:dyDescent="0.3">
      <c r="A52" s="151"/>
      <c r="B52" s="177" t="s">
        <v>164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</row>
    <row r="53" spans="1:22" x14ac:dyDescent="0.3">
      <c r="B53" s="195" t="s">
        <v>155</v>
      </c>
      <c r="C53" s="195"/>
      <c r="D53" s="195"/>
      <c r="E53" s="195"/>
      <c r="F53" s="195"/>
      <c r="G53" s="196">
        <f>G35</f>
        <v>0</v>
      </c>
      <c r="H53" s="196">
        <f t="shared" ref="H53:U53" si="13">H35</f>
        <v>0</v>
      </c>
      <c r="I53" s="196">
        <f t="shared" si="13"/>
        <v>0</v>
      </c>
      <c r="J53" s="196">
        <f t="shared" si="13"/>
        <v>0</v>
      </c>
      <c r="K53" s="196">
        <f t="shared" si="13"/>
        <v>0</v>
      </c>
      <c r="L53" s="196">
        <f t="shared" si="13"/>
        <v>0</v>
      </c>
      <c r="M53" s="196">
        <f t="shared" si="13"/>
        <v>0</v>
      </c>
      <c r="N53" s="196">
        <f t="shared" si="13"/>
        <v>0</v>
      </c>
      <c r="O53" s="196">
        <f t="shared" si="13"/>
        <v>0</v>
      </c>
      <c r="P53" s="196">
        <f t="shared" si="13"/>
        <v>0</v>
      </c>
      <c r="Q53" s="196">
        <f t="shared" si="13"/>
        <v>0</v>
      </c>
      <c r="R53" s="196">
        <f t="shared" si="13"/>
        <v>0</v>
      </c>
      <c r="S53" s="196">
        <f t="shared" si="13"/>
        <v>0</v>
      </c>
      <c r="T53" s="196">
        <f t="shared" si="13"/>
        <v>0</v>
      </c>
      <c r="U53" s="196">
        <f t="shared" si="13"/>
        <v>0</v>
      </c>
    </row>
    <row r="54" spans="1:22" x14ac:dyDescent="0.3">
      <c r="B54" s="9" t="s">
        <v>162</v>
      </c>
      <c r="C54" s="9"/>
      <c r="D54" s="9"/>
      <c r="E54" s="9"/>
      <c r="F54" s="9"/>
      <c r="G54" s="132">
        <f>G50</f>
        <v>-5500</v>
      </c>
      <c r="H54" s="132">
        <f t="shared" ref="H54:U54" si="14">H50</f>
        <v>-5500</v>
      </c>
      <c r="I54" s="132">
        <f t="shared" si="14"/>
        <v>-5500</v>
      </c>
      <c r="J54" s="132">
        <f t="shared" si="14"/>
        <v>-5500</v>
      </c>
      <c r="K54" s="132">
        <f t="shared" si="14"/>
        <v>-5500</v>
      </c>
      <c r="L54" s="132">
        <f t="shared" si="14"/>
        <v>-5500</v>
      </c>
      <c r="M54" s="132">
        <f t="shared" si="14"/>
        <v>-5500</v>
      </c>
      <c r="N54" s="132">
        <f t="shared" si="14"/>
        <v>-5500</v>
      </c>
      <c r="O54" s="132">
        <f t="shared" si="14"/>
        <v>-5500</v>
      </c>
      <c r="P54" s="132">
        <f t="shared" si="14"/>
        <v>-8000</v>
      </c>
      <c r="Q54" s="132">
        <f t="shared" si="14"/>
        <v>0</v>
      </c>
      <c r="R54" s="132">
        <f t="shared" si="14"/>
        <v>0</v>
      </c>
      <c r="S54" s="132">
        <f t="shared" si="14"/>
        <v>0</v>
      </c>
      <c r="T54" s="132">
        <f t="shared" si="14"/>
        <v>0</v>
      </c>
      <c r="U54" s="132">
        <f t="shared" si="14"/>
        <v>0</v>
      </c>
    </row>
    <row r="55" spans="1:22" x14ac:dyDescent="0.3">
      <c r="B55" s="9" t="s">
        <v>37</v>
      </c>
      <c r="C55" s="9"/>
      <c r="D55" s="9"/>
      <c r="E55" s="9"/>
      <c r="F55" s="9"/>
      <c r="G55" s="132">
        <f>G11</f>
        <v>27053</v>
      </c>
      <c r="H55" s="132">
        <f t="shared" ref="H55:U55" si="15">H11</f>
        <v>38097.816580147868</v>
      </c>
      <c r="I55" s="132">
        <f t="shared" si="15"/>
        <v>38623.82015718909</v>
      </c>
      <c r="J55" s="132">
        <f t="shared" si="15"/>
        <v>39191.817976852544</v>
      </c>
      <c r="K55" s="132">
        <f t="shared" si="15"/>
        <v>40013.838576889153</v>
      </c>
      <c r="L55" s="132">
        <f t="shared" si="15"/>
        <v>41091.829593267881</v>
      </c>
      <c r="M55" s="132">
        <f t="shared" si="15"/>
        <v>41845.815501149737</v>
      </c>
      <c r="N55" s="132">
        <f t="shared" si="15"/>
        <v>42527.826058113307</v>
      </c>
      <c r="O55" s="132">
        <f t="shared" si="15"/>
        <v>43425.826265741453</v>
      </c>
      <c r="P55" s="132">
        <f t="shared" si="15"/>
        <v>44673.845962423788</v>
      </c>
      <c r="Q55" s="132">
        <f t="shared" si="15"/>
        <v>45927.819390516532</v>
      </c>
      <c r="R55" s="132">
        <f t="shared" si="15"/>
        <v>40525.656542056073</v>
      </c>
      <c r="S55" s="132">
        <f t="shared" si="15"/>
        <v>38088.815793613343</v>
      </c>
      <c r="T55" s="132">
        <f t="shared" si="15"/>
        <v>38299.832310838443</v>
      </c>
      <c r="U55" s="132">
        <f t="shared" si="15"/>
        <v>39626.761482329377</v>
      </c>
    </row>
    <row r="56" spans="1:22" x14ac:dyDescent="0.3">
      <c r="B56" s="9" t="s">
        <v>38</v>
      </c>
      <c r="C56" s="9"/>
      <c r="D56" s="9"/>
      <c r="E56" s="9"/>
      <c r="F56" s="9"/>
      <c r="G56" s="132">
        <f>G25</f>
        <v>-325</v>
      </c>
      <c r="H56" s="132">
        <f t="shared" ref="H56:U56" si="16">H25</f>
        <v>-325</v>
      </c>
      <c r="I56" s="132">
        <f t="shared" si="16"/>
        <v>-325</v>
      </c>
      <c r="J56" s="132">
        <f t="shared" si="16"/>
        <v>-325</v>
      </c>
      <c r="K56" s="132">
        <f t="shared" si="16"/>
        <v>-325</v>
      </c>
      <c r="L56" s="132">
        <f t="shared" si="16"/>
        <v>-325</v>
      </c>
      <c r="M56" s="132">
        <f t="shared" si="16"/>
        <v>-325</v>
      </c>
      <c r="N56" s="132">
        <f t="shared" si="16"/>
        <v>-325</v>
      </c>
      <c r="O56" s="132">
        <f t="shared" si="16"/>
        <v>-325</v>
      </c>
      <c r="P56" s="132">
        <f t="shared" si="16"/>
        <v>-325</v>
      </c>
      <c r="Q56" s="132">
        <f t="shared" si="16"/>
        <v>-325</v>
      </c>
      <c r="R56" s="132">
        <f t="shared" si="16"/>
        <v>-325</v>
      </c>
      <c r="S56" s="132">
        <f t="shared" si="16"/>
        <v>-325</v>
      </c>
      <c r="T56" s="132">
        <f t="shared" si="16"/>
        <v>-325</v>
      </c>
      <c r="U56" s="132">
        <f t="shared" si="16"/>
        <v>-325</v>
      </c>
    </row>
    <row r="57" spans="1:22" x14ac:dyDescent="0.3">
      <c r="B57" s="9" t="s">
        <v>165</v>
      </c>
      <c r="C57" s="9"/>
      <c r="D57" s="9"/>
      <c r="E57" s="9"/>
      <c r="F57" s="9"/>
      <c r="G57" s="132">
        <f>SUM(G53:G56)</f>
        <v>21228</v>
      </c>
      <c r="H57" s="132">
        <f t="shared" ref="H57:U57" si="17">SUM(H53:H56)</f>
        <v>32272.816580147868</v>
      </c>
      <c r="I57" s="132">
        <f t="shared" si="17"/>
        <v>32798.82015718909</v>
      </c>
      <c r="J57" s="132">
        <f t="shared" si="17"/>
        <v>33366.817976852544</v>
      </c>
      <c r="K57" s="132">
        <f t="shared" si="17"/>
        <v>34188.838576889153</v>
      </c>
      <c r="L57" s="132">
        <f t="shared" si="17"/>
        <v>35266.829593267881</v>
      </c>
      <c r="M57" s="132">
        <f t="shared" si="17"/>
        <v>36020.815501149737</v>
      </c>
      <c r="N57" s="132">
        <f t="shared" si="17"/>
        <v>36702.826058113307</v>
      </c>
      <c r="O57" s="132">
        <f t="shared" si="17"/>
        <v>37600.826265741453</v>
      </c>
      <c r="P57" s="132">
        <f t="shared" si="17"/>
        <v>36348.845962423788</v>
      </c>
      <c r="Q57" s="132">
        <f t="shared" si="17"/>
        <v>45602.819390516532</v>
      </c>
      <c r="R57" s="132">
        <f t="shared" si="17"/>
        <v>40200.656542056073</v>
      </c>
      <c r="S57" s="132">
        <f t="shared" si="17"/>
        <v>37763.815793613343</v>
      </c>
      <c r="T57" s="132">
        <f t="shared" si="17"/>
        <v>37974.832310838443</v>
      </c>
      <c r="U57" s="132">
        <f t="shared" si="17"/>
        <v>39301.761482329377</v>
      </c>
    </row>
    <row r="58" spans="1:22" x14ac:dyDescent="0.3">
      <c r="B58" s="9" t="s">
        <v>148</v>
      </c>
      <c r="C58" s="9"/>
      <c r="D58" s="9"/>
      <c r="E58" s="9"/>
      <c r="F58" s="9"/>
      <c r="G58" s="132">
        <f>G26</f>
        <v>-5900</v>
      </c>
      <c r="H58" s="132">
        <f t="shared" ref="H58:U58" si="18">H26</f>
        <v>-5625</v>
      </c>
      <c r="I58" s="132">
        <f t="shared" si="18"/>
        <v>-5350</v>
      </c>
      <c r="J58" s="132">
        <f t="shared" si="18"/>
        <v>-5075</v>
      </c>
      <c r="K58" s="132">
        <f t="shared" si="18"/>
        <v>-4800</v>
      </c>
      <c r="L58" s="132">
        <f t="shared" si="18"/>
        <v>-4525</v>
      </c>
      <c r="M58" s="132">
        <f t="shared" si="18"/>
        <v>-4250</v>
      </c>
      <c r="N58" s="132">
        <f t="shared" si="18"/>
        <v>-3975</v>
      </c>
      <c r="O58" s="132">
        <f t="shared" si="18"/>
        <v>-3700</v>
      </c>
      <c r="P58" s="132">
        <f t="shared" si="18"/>
        <v>-3425</v>
      </c>
      <c r="Q58" s="132">
        <f t="shared" si="18"/>
        <v>-3150</v>
      </c>
      <c r="R58" s="132">
        <f t="shared" si="18"/>
        <v>-2875</v>
      </c>
      <c r="S58" s="132">
        <f t="shared" si="18"/>
        <v>-2600</v>
      </c>
      <c r="T58" s="132">
        <f t="shared" si="18"/>
        <v>-2325</v>
      </c>
      <c r="U58" s="132">
        <f t="shared" si="18"/>
        <v>-2050</v>
      </c>
    </row>
    <row r="59" spans="1:22" x14ac:dyDescent="0.3">
      <c r="B59" s="9" t="s">
        <v>149</v>
      </c>
      <c r="C59" s="9"/>
      <c r="D59" s="9"/>
      <c r="E59" s="9"/>
      <c r="F59" s="9"/>
      <c r="G59" s="194">
        <f>'IS 2026'!F69</f>
        <v>-3367.2000000000003</v>
      </c>
      <c r="H59" s="194">
        <f>'IS 2026'!G69</f>
        <v>-3509.4</v>
      </c>
      <c r="I59" s="194">
        <f>'IS 2026'!H69</f>
        <v>-3752</v>
      </c>
      <c r="J59" s="194">
        <f>'IS 2026'!I69</f>
        <v>-3890.8</v>
      </c>
      <c r="K59" s="194">
        <f>'IS 2026'!J69</f>
        <v>-4483.4000000000005</v>
      </c>
      <c r="L59" s="194">
        <f>'IS 2026'!K69</f>
        <v>-4780.2</v>
      </c>
      <c r="M59" s="194">
        <f>'IS 2026'!L69</f>
        <v>-4907.8</v>
      </c>
      <c r="N59" s="194">
        <f>'IS 2026'!M69</f>
        <v>-4960.6000000000004</v>
      </c>
      <c r="O59" s="194">
        <f>'IS 2026'!N69</f>
        <v>-4163.2</v>
      </c>
      <c r="P59" s="194">
        <f>'IS 2026'!O69</f>
        <v>-3605.6000000000004</v>
      </c>
      <c r="Q59" s="194">
        <f>'IS 2026'!P69</f>
        <v>-3715.8</v>
      </c>
      <c r="R59" s="194">
        <f>'IS 2026'!Q69</f>
        <v>-3177.6000000000004</v>
      </c>
      <c r="S59" s="194">
        <f>'IS 2026'!R69</f>
        <v>-3418.2000000000003</v>
      </c>
      <c r="T59" s="194">
        <f>'IS 2026'!S69</f>
        <v>-3560.4</v>
      </c>
      <c r="U59" s="194">
        <f>'IS 2026'!T69</f>
        <v>-3883</v>
      </c>
    </row>
    <row r="60" spans="1:22" x14ac:dyDescent="0.3">
      <c r="B60" s="9" t="s">
        <v>163</v>
      </c>
      <c r="C60" s="9"/>
      <c r="D60" s="9"/>
      <c r="E60" s="9"/>
      <c r="F60" s="9"/>
      <c r="G60" s="132">
        <f>SUM(G57:G59)</f>
        <v>11960.8</v>
      </c>
      <c r="H60" s="132">
        <f>SUM(H57:H59)</f>
        <v>23138.416580147867</v>
      </c>
      <c r="I60" s="132">
        <f t="shared" ref="I60:U60" si="19">SUM(I57:I59)</f>
        <v>23696.82015718909</v>
      </c>
      <c r="J60" s="132">
        <f t="shared" si="19"/>
        <v>24401.017976852545</v>
      </c>
      <c r="K60" s="132">
        <f t="shared" si="19"/>
        <v>24905.438576889152</v>
      </c>
      <c r="L60" s="132">
        <f t="shared" si="19"/>
        <v>25961.62959326788</v>
      </c>
      <c r="M60" s="132">
        <f t="shared" si="19"/>
        <v>26863.015501149737</v>
      </c>
      <c r="N60" s="132">
        <f t="shared" si="19"/>
        <v>27767.226058113309</v>
      </c>
      <c r="O60" s="132">
        <f t="shared" si="19"/>
        <v>29737.626265741452</v>
      </c>
      <c r="P60" s="132">
        <f t="shared" si="19"/>
        <v>29318.245962423789</v>
      </c>
      <c r="Q60" s="132">
        <f t="shared" si="19"/>
        <v>38737.019390516529</v>
      </c>
      <c r="R60" s="132">
        <f t="shared" si="19"/>
        <v>34148.056542056074</v>
      </c>
      <c r="S60" s="132">
        <f t="shared" si="19"/>
        <v>31745.615793613342</v>
      </c>
      <c r="T60" s="132">
        <f t="shared" si="19"/>
        <v>32089.432310838441</v>
      </c>
      <c r="U60" s="132">
        <f t="shared" si="19"/>
        <v>33368.761482329377</v>
      </c>
    </row>
    <row r="61" spans="1:22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2" x14ac:dyDescent="0.3">
      <c r="A62" s="151"/>
      <c r="B62" s="177" t="s">
        <v>166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</row>
    <row r="63" spans="1:22" x14ac:dyDescent="0.3">
      <c r="B63" t="s">
        <v>167</v>
      </c>
      <c r="G63" s="1">
        <f>SUM(G30+G35)</f>
        <v>16697.400000000001</v>
      </c>
      <c r="H63" s="1">
        <f t="shared" ref="H63:U63" si="20">SUM(H30+H35)</f>
        <v>27875.016580147869</v>
      </c>
      <c r="I63" s="1">
        <f t="shared" si="20"/>
        <v>28433.420157189088</v>
      </c>
      <c r="J63" s="1">
        <f t="shared" si="20"/>
        <v>29208.617976852544</v>
      </c>
      <c r="K63" s="1">
        <f t="shared" si="20"/>
        <v>29713.038576889154</v>
      </c>
      <c r="L63" s="1">
        <f t="shared" si="20"/>
        <v>30769.229593267883</v>
      </c>
      <c r="M63" s="1">
        <f t="shared" si="20"/>
        <v>31670.615501149736</v>
      </c>
      <c r="N63" s="1">
        <f t="shared" si="20"/>
        <v>32574.826058113307</v>
      </c>
      <c r="O63" s="1">
        <f t="shared" si="20"/>
        <v>34545.226265741454</v>
      </c>
      <c r="P63" s="1">
        <f t="shared" si="20"/>
        <v>36625.845962423788</v>
      </c>
      <c r="Q63" s="1">
        <f t="shared" si="20"/>
        <v>38044.619390516535</v>
      </c>
      <c r="R63" s="1">
        <f t="shared" si="20"/>
        <v>33415.656542056073</v>
      </c>
      <c r="S63" s="1">
        <f t="shared" si="20"/>
        <v>16697.400000000001</v>
      </c>
      <c r="T63" s="1">
        <f t="shared" si="20"/>
        <v>27875.016580147869</v>
      </c>
      <c r="U63" s="1">
        <f t="shared" si="20"/>
        <v>28433.420157189088</v>
      </c>
    </row>
    <row r="64" spans="1:22" x14ac:dyDescent="0.3">
      <c r="B64" t="s">
        <v>168</v>
      </c>
      <c r="G64" s="1">
        <f>G60</f>
        <v>11960.8</v>
      </c>
      <c r="H64" s="1">
        <f t="shared" ref="H64:U64" si="21">H60</f>
        <v>23138.416580147867</v>
      </c>
      <c r="I64" s="1">
        <f t="shared" si="21"/>
        <v>23696.82015718909</v>
      </c>
      <c r="J64" s="1">
        <f t="shared" si="21"/>
        <v>24401.017976852545</v>
      </c>
      <c r="K64" s="1">
        <f t="shared" si="21"/>
        <v>24905.438576889152</v>
      </c>
      <c r="L64" s="1">
        <f t="shared" si="21"/>
        <v>25961.62959326788</v>
      </c>
      <c r="M64" s="1">
        <f t="shared" si="21"/>
        <v>26863.015501149737</v>
      </c>
      <c r="N64" s="1">
        <f t="shared" si="21"/>
        <v>27767.226058113309</v>
      </c>
      <c r="O64" s="1">
        <f t="shared" si="21"/>
        <v>29737.626265741452</v>
      </c>
      <c r="P64" s="1">
        <f t="shared" si="21"/>
        <v>29318.245962423789</v>
      </c>
      <c r="Q64" s="1">
        <f t="shared" si="21"/>
        <v>38737.019390516529</v>
      </c>
      <c r="R64" s="1">
        <f t="shared" si="21"/>
        <v>34148.056542056074</v>
      </c>
      <c r="S64" s="1">
        <f t="shared" si="21"/>
        <v>31745.615793613342</v>
      </c>
      <c r="T64" s="1">
        <f t="shared" si="21"/>
        <v>32089.432310838441</v>
      </c>
      <c r="U64" s="1">
        <f t="shared" si="21"/>
        <v>33368.761482329377</v>
      </c>
    </row>
    <row r="65" spans="2:21" x14ac:dyDescent="0.3">
      <c r="B65" t="s">
        <v>169</v>
      </c>
      <c r="G65" s="1">
        <f>G60</f>
        <v>11960.8</v>
      </c>
      <c r="H65" s="1">
        <f t="shared" ref="H65:T65" si="22">H60</f>
        <v>23138.416580147867</v>
      </c>
      <c r="I65" s="1">
        <f t="shared" si="22"/>
        <v>23696.82015718909</v>
      </c>
      <c r="J65" s="1">
        <f t="shared" si="22"/>
        <v>24401.017976852545</v>
      </c>
      <c r="K65" s="1">
        <f t="shared" si="22"/>
        <v>24905.438576889152</v>
      </c>
      <c r="L65" s="1">
        <f t="shared" si="22"/>
        <v>25961.62959326788</v>
      </c>
      <c r="M65" s="1">
        <f t="shared" si="22"/>
        <v>26863.015501149737</v>
      </c>
      <c r="N65" s="1">
        <f t="shared" si="22"/>
        <v>27767.226058113309</v>
      </c>
      <c r="O65" s="1">
        <f t="shared" si="22"/>
        <v>29737.626265741452</v>
      </c>
      <c r="P65" s="1">
        <f t="shared" si="22"/>
        <v>29318.245962423789</v>
      </c>
      <c r="Q65" s="1">
        <f t="shared" si="22"/>
        <v>38737.019390516529</v>
      </c>
      <c r="R65" s="1">
        <f t="shared" si="22"/>
        <v>34148.056542056074</v>
      </c>
      <c r="S65" s="1">
        <f t="shared" si="22"/>
        <v>31745.615793613342</v>
      </c>
      <c r="T65" s="1">
        <f t="shared" si="22"/>
        <v>32089.432310838441</v>
      </c>
      <c r="U65" s="1">
        <f>U60</f>
        <v>33368.761482329377</v>
      </c>
    </row>
    <row r="66" spans="2:21" x14ac:dyDescent="0.3">
      <c r="B66" t="s">
        <v>161</v>
      </c>
    </row>
    <row r="67" spans="2:21" x14ac:dyDescent="0.3">
      <c r="B67" t="s">
        <v>163</v>
      </c>
      <c r="G67" s="1">
        <f>G60</f>
        <v>11960.8</v>
      </c>
      <c r="H67" s="1">
        <f t="shared" ref="H67:U67" si="23">H60</f>
        <v>23138.416580147867</v>
      </c>
      <c r="I67" s="1">
        <f t="shared" si="23"/>
        <v>23696.82015718909</v>
      </c>
      <c r="J67" s="1">
        <f t="shared" si="23"/>
        <v>24401.017976852545</v>
      </c>
      <c r="K67" s="1">
        <f t="shared" si="23"/>
        <v>24905.438576889152</v>
      </c>
      <c r="L67" s="1">
        <f t="shared" si="23"/>
        <v>25961.62959326788</v>
      </c>
      <c r="M67" s="1">
        <f t="shared" si="23"/>
        <v>26863.015501149737</v>
      </c>
      <c r="N67" s="1">
        <f t="shared" si="23"/>
        <v>27767.226058113309</v>
      </c>
      <c r="O67" s="1">
        <f t="shared" si="23"/>
        <v>29737.626265741452</v>
      </c>
      <c r="P67" s="1">
        <f t="shared" si="23"/>
        <v>29318.245962423789</v>
      </c>
      <c r="Q67" s="1">
        <f t="shared" si="23"/>
        <v>38737.019390516529</v>
      </c>
      <c r="R67" s="1">
        <f t="shared" si="23"/>
        <v>34148.056542056074</v>
      </c>
      <c r="S67" s="1">
        <f t="shared" si="23"/>
        <v>31745.615793613342</v>
      </c>
      <c r="T67" s="1">
        <f t="shared" si="23"/>
        <v>32089.432310838441</v>
      </c>
      <c r="U67" s="1">
        <f t="shared" si="23"/>
        <v>33368.761482329377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topLeftCell="A16" workbookViewId="0">
      <selection activeCell="O32" sqref="O32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7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171</v>
      </c>
      <c r="F2"/>
    </row>
    <row r="3" spans="1:25" x14ac:dyDescent="0.3">
      <c r="B3" t="s">
        <v>142</v>
      </c>
      <c r="F3"/>
    </row>
    <row r="4" spans="1:25" x14ac:dyDescent="0.3">
      <c r="F4"/>
    </row>
    <row r="5" spans="1:25" x14ac:dyDescent="0.3">
      <c r="A5" s="151"/>
      <c r="B5" s="177" t="s">
        <v>172</v>
      </c>
      <c r="C5" s="151"/>
      <c r="D5" s="151"/>
      <c r="E5" s="151"/>
      <c r="F5" s="205">
        <v>2026</v>
      </c>
      <c r="G5" s="205">
        <v>2026</v>
      </c>
      <c r="H5" s="205">
        <v>2026</v>
      </c>
      <c r="I5" s="205">
        <v>2026</v>
      </c>
      <c r="J5" s="205">
        <v>2026</v>
      </c>
      <c r="K5" s="205">
        <v>2026</v>
      </c>
      <c r="L5" s="205">
        <v>2026</v>
      </c>
      <c r="M5" s="205">
        <v>2026</v>
      </c>
      <c r="N5" s="205">
        <v>2026</v>
      </c>
      <c r="O5" s="205">
        <v>2026</v>
      </c>
      <c r="P5" s="205">
        <v>2026</v>
      </c>
      <c r="Q5" s="205">
        <v>2026</v>
      </c>
      <c r="R5" s="205">
        <v>2027</v>
      </c>
      <c r="S5" s="205">
        <v>2027</v>
      </c>
      <c r="T5" s="205">
        <v>2027</v>
      </c>
      <c r="U5" s="151"/>
    </row>
    <row r="6" spans="1:25" ht="15" thickBot="1" x14ac:dyDescent="0.35">
      <c r="A6" s="162"/>
      <c r="B6" s="163" t="s">
        <v>64</v>
      </c>
      <c r="C6" s="152"/>
      <c r="D6" s="152"/>
      <c r="E6" s="152"/>
      <c r="F6" s="204" t="s">
        <v>25</v>
      </c>
      <c r="G6" s="204" t="s">
        <v>26</v>
      </c>
      <c r="H6" s="204" t="s">
        <v>27</v>
      </c>
      <c r="I6" s="204" t="s">
        <v>28</v>
      </c>
      <c r="J6" s="204" t="s">
        <v>29</v>
      </c>
      <c r="K6" s="204" t="s">
        <v>30</v>
      </c>
      <c r="L6" s="204" t="s">
        <v>31</v>
      </c>
      <c r="M6" s="204" t="s">
        <v>32</v>
      </c>
      <c r="N6" s="204" t="s">
        <v>33</v>
      </c>
      <c r="O6" s="204" t="s">
        <v>34</v>
      </c>
      <c r="P6" s="204" t="s">
        <v>35</v>
      </c>
      <c r="Q6" s="204" t="s">
        <v>36</v>
      </c>
      <c r="R6" s="204" t="s">
        <v>25</v>
      </c>
      <c r="S6" s="204" t="s">
        <v>26</v>
      </c>
      <c r="T6" s="204" t="s">
        <v>27</v>
      </c>
      <c r="U6" s="201" t="s">
        <v>72</v>
      </c>
    </row>
    <row r="7" spans="1:25" s="12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2" t="s">
        <v>173</v>
      </c>
      <c r="F8"/>
    </row>
    <row r="9" spans="1:25" x14ac:dyDescent="0.3">
      <c r="C9" s="173"/>
      <c r="F9"/>
    </row>
    <row r="10" spans="1:25" x14ac:dyDescent="0.3">
      <c r="C10" s="172" t="s">
        <v>48</v>
      </c>
      <c r="F10"/>
      <c r="G10" s="174"/>
      <c r="H10" s="174"/>
      <c r="I10" s="174"/>
      <c r="J10" s="174"/>
      <c r="K10" s="174"/>
      <c r="L10" s="173"/>
      <c r="M10" s="174"/>
      <c r="N10" s="174"/>
      <c r="O10" s="174"/>
      <c r="P10" s="174"/>
      <c r="Q10" s="174"/>
      <c r="R10" s="174"/>
      <c r="S10" s="174"/>
      <c r="T10" s="174"/>
      <c r="V10" s="1"/>
    </row>
    <row r="11" spans="1:25" x14ac:dyDescent="0.3">
      <c r="C11" s="173" t="s">
        <v>174</v>
      </c>
      <c r="F11" s="174">
        <f>'BS 2025'!Q14+'CF 2026'!G51</f>
        <v>722389.23048431613</v>
      </c>
      <c r="G11" s="174">
        <f>F14+'CF 2026'!H51</f>
        <v>744764.24706446403</v>
      </c>
      <c r="H11" s="174">
        <f>G14+'CF 2026'!I51</f>
        <v>767697.66722165316</v>
      </c>
      <c r="I11" s="174">
        <f>H14+'CF 2026'!J51</f>
        <v>791406.28519850574</v>
      </c>
      <c r="J11" s="174">
        <f>I14+'CF 2026'!K51</f>
        <v>815619.32377539494</v>
      </c>
      <c r="K11" s="174">
        <f>J14+'CF 2026'!L51</f>
        <v>840888.55336866283</v>
      </c>
      <c r="L11" s="174">
        <f>K14+'CF 2026'!M51</f>
        <v>867059.16886981262</v>
      </c>
      <c r="M11" s="174">
        <f>L14+'CF 2026'!N51</f>
        <v>894133.99492792599</v>
      </c>
      <c r="N11" s="174">
        <f>M14+'CF 2026'!O51</f>
        <v>923179.2211936675</v>
      </c>
      <c r="O11" s="174">
        <f>N14+'CF 2026'!P51</f>
        <v>951805.06715609133</v>
      </c>
      <c r="P11" s="174">
        <f>O14+'CF 2026'!Q51</f>
        <v>989849.68654660787</v>
      </c>
      <c r="Q11" s="174">
        <f>P14+'CF 2026'!R51</f>
        <v>1023265.343088664</v>
      </c>
      <c r="R11" s="174">
        <f>'BS 2027'!F11</f>
        <v>1040675.143088664</v>
      </c>
      <c r="S11" s="174">
        <f>'BS 2027'!G11</f>
        <v>1069262.559668812</v>
      </c>
      <c r="T11" s="174">
        <f>'BS 2027'!H11</f>
        <v>1098328.3798260011</v>
      </c>
      <c r="V11" s="1"/>
    </row>
    <row r="12" spans="1:25" x14ac:dyDescent="0.3">
      <c r="C12" s="173" t="s">
        <v>175</v>
      </c>
      <c r="F12" s="174"/>
      <c r="G12" s="173"/>
      <c r="H12" s="173"/>
      <c r="I12" s="173" t="s">
        <v>192</v>
      </c>
      <c r="J12" s="173"/>
      <c r="K12" s="173" t="s">
        <v>192</v>
      </c>
      <c r="L12" s="173"/>
      <c r="M12" s="173"/>
      <c r="N12" s="173"/>
      <c r="O12" s="173"/>
      <c r="P12" s="173"/>
      <c r="Q12" s="173"/>
      <c r="R12" s="173"/>
      <c r="S12" s="173" t="s">
        <v>192</v>
      </c>
      <c r="T12" s="173" t="s">
        <v>192</v>
      </c>
      <c r="V12" s="1"/>
    </row>
    <row r="13" spans="1:25" x14ac:dyDescent="0.3">
      <c r="C13" s="173" t="s">
        <v>176</v>
      </c>
      <c r="F13"/>
      <c r="I13" s="174"/>
      <c r="K13" s="174"/>
      <c r="S13" s="174"/>
      <c r="T13" s="174"/>
      <c r="V13" s="1"/>
    </row>
    <row r="14" spans="1:25" x14ac:dyDescent="0.3">
      <c r="C14" s="173" t="s">
        <v>177</v>
      </c>
      <c r="F14" s="174">
        <f>SUM(F11:F13)</f>
        <v>722389.23048431613</v>
      </c>
      <c r="G14" s="174">
        <f t="shared" ref="G14:Q14" si="0">SUM(G11:G13)</f>
        <v>744764.24706446403</v>
      </c>
      <c r="H14" s="174">
        <f t="shared" si="0"/>
        <v>767697.66722165316</v>
      </c>
      <c r="I14" s="174">
        <f t="shared" si="0"/>
        <v>791406.28519850574</v>
      </c>
      <c r="J14" s="174">
        <f t="shared" si="0"/>
        <v>815619.32377539494</v>
      </c>
      <c r="K14" s="174">
        <f t="shared" si="0"/>
        <v>840888.55336866283</v>
      </c>
      <c r="L14" s="174">
        <f t="shared" si="0"/>
        <v>867059.16886981262</v>
      </c>
      <c r="M14" s="174">
        <f t="shared" si="0"/>
        <v>894133.99492792599</v>
      </c>
      <c r="N14" s="174">
        <f t="shared" si="0"/>
        <v>923179.2211936675</v>
      </c>
      <c r="O14" s="174">
        <f t="shared" si="0"/>
        <v>951805.06715609133</v>
      </c>
      <c r="P14" s="174">
        <f t="shared" si="0"/>
        <v>989849.68654660787</v>
      </c>
      <c r="Q14" s="174">
        <f t="shared" si="0"/>
        <v>1023265.343088664</v>
      </c>
      <c r="R14" s="174">
        <f t="shared" ref="R14" si="1">SUM(R11:R13)</f>
        <v>1040675.143088664</v>
      </c>
      <c r="S14" s="174">
        <f t="shared" ref="S14" si="2">SUM(S11:S13)</f>
        <v>1069262.559668812</v>
      </c>
      <c r="T14" s="174">
        <f t="shared" ref="T14" si="3">SUM(T11:T13)</f>
        <v>1098328.3798260011</v>
      </c>
      <c r="U14" s="219">
        <f>SUM(F14:Q14)</f>
        <v>10332057.788895767</v>
      </c>
      <c r="V14" s="1"/>
    </row>
    <row r="15" spans="1:25" x14ac:dyDescent="0.3">
      <c r="C15" s="172" t="s">
        <v>49</v>
      </c>
      <c r="F15"/>
      <c r="G15" s="173"/>
      <c r="H15" s="173"/>
      <c r="I15" s="173"/>
      <c r="J15" s="176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V15" s="1"/>
    </row>
    <row r="16" spans="1:25" x14ac:dyDescent="0.3">
      <c r="C16" s="175" t="s">
        <v>178</v>
      </c>
      <c r="F16" s="174">
        <f>'BS 2025'!Q16-'IS 2026'!F65</f>
        <v>311392</v>
      </c>
      <c r="G16" s="174">
        <f>F16-'IS 2026'!G65</f>
        <v>313303</v>
      </c>
      <c r="H16" s="174">
        <f>G16-'IS 2026'!H65</f>
        <v>315214</v>
      </c>
      <c r="I16" s="174">
        <f>H16-'IS 2026'!I65</f>
        <v>316970</v>
      </c>
      <c r="J16" s="174">
        <f>I16-'IS 2026'!J65</f>
        <v>318726</v>
      </c>
      <c r="K16" s="174">
        <f>J16-'IS 2026'!K65</f>
        <v>320482</v>
      </c>
      <c r="L16" s="174">
        <f>K16-'IS 2026'!L65</f>
        <v>322238</v>
      </c>
      <c r="M16" s="174">
        <f>L16-'IS 2026'!M65</f>
        <v>323994</v>
      </c>
      <c r="N16" s="174">
        <f>M16-'IS 2026'!N65</f>
        <v>325750</v>
      </c>
      <c r="O16" s="174">
        <f>N16-'IS 2026'!O65</f>
        <v>327506</v>
      </c>
      <c r="P16" s="174">
        <f>O16-'IS 2026'!P65</f>
        <v>329262</v>
      </c>
      <c r="Q16" s="174">
        <f>P16-'IS 2026'!Q65</f>
        <v>331018</v>
      </c>
      <c r="R16" s="174">
        <f>'BS 2027'!F16</f>
        <v>332774</v>
      </c>
      <c r="S16" s="181">
        <f>R16-'IS 2025'!G67</f>
        <v>334624</v>
      </c>
      <c r="T16" s="181">
        <f>S16-'IS 2025'!H67</f>
        <v>336474</v>
      </c>
      <c r="V16" s="1"/>
    </row>
    <row r="17" spans="1:22" x14ac:dyDescent="0.3">
      <c r="C17" s="175" t="s">
        <v>179</v>
      </c>
      <c r="F17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V17" s="1"/>
    </row>
    <row r="18" spans="1:22" x14ac:dyDescent="0.3">
      <c r="C18" s="175" t="s">
        <v>180</v>
      </c>
      <c r="F18" s="181">
        <f>SUM(F16:F17)</f>
        <v>311392</v>
      </c>
      <c r="G18" s="181">
        <f t="shared" ref="G18:T19" si="4">SUM(G16:G17)</f>
        <v>313303</v>
      </c>
      <c r="H18" s="181">
        <f t="shared" si="4"/>
        <v>315214</v>
      </c>
      <c r="I18" s="181">
        <f t="shared" si="4"/>
        <v>316970</v>
      </c>
      <c r="J18" s="181">
        <f t="shared" si="4"/>
        <v>318726</v>
      </c>
      <c r="K18" s="181">
        <f t="shared" si="4"/>
        <v>320482</v>
      </c>
      <c r="L18" s="181">
        <f t="shared" si="4"/>
        <v>322238</v>
      </c>
      <c r="M18" s="181">
        <f t="shared" si="4"/>
        <v>323994</v>
      </c>
      <c r="N18" s="181">
        <f t="shared" si="4"/>
        <v>325750</v>
      </c>
      <c r="O18" s="181">
        <f t="shared" si="4"/>
        <v>327506</v>
      </c>
      <c r="P18" s="181">
        <f t="shared" si="4"/>
        <v>329262</v>
      </c>
      <c r="Q18" s="181">
        <f t="shared" si="4"/>
        <v>331018</v>
      </c>
      <c r="R18" s="181">
        <f t="shared" si="4"/>
        <v>332774</v>
      </c>
      <c r="S18" s="181">
        <f t="shared" si="4"/>
        <v>334624</v>
      </c>
      <c r="T18" s="181">
        <f t="shared" si="4"/>
        <v>336474</v>
      </c>
      <c r="V18" s="1"/>
    </row>
    <row r="19" spans="1:22" x14ac:dyDescent="0.3">
      <c r="A19" s="146"/>
      <c r="B19" s="151"/>
      <c r="C19" s="184" t="s">
        <v>181</v>
      </c>
      <c r="D19" s="151"/>
      <c r="E19" s="151"/>
      <c r="F19" s="185">
        <f>SUM(F17:F18)</f>
        <v>311392</v>
      </c>
      <c r="G19" s="185">
        <f t="shared" si="4"/>
        <v>313303</v>
      </c>
      <c r="H19" s="185">
        <f t="shared" si="4"/>
        <v>315214</v>
      </c>
      <c r="I19" s="185">
        <f t="shared" si="4"/>
        <v>316970</v>
      </c>
      <c r="J19" s="185">
        <f t="shared" si="4"/>
        <v>318726</v>
      </c>
      <c r="K19" s="185">
        <f t="shared" si="4"/>
        <v>320482</v>
      </c>
      <c r="L19" s="185">
        <f t="shared" si="4"/>
        <v>322238</v>
      </c>
      <c r="M19" s="185">
        <f t="shared" si="4"/>
        <v>323994</v>
      </c>
      <c r="N19" s="185">
        <f t="shared" si="4"/>
        <v>325750</v>
      </c>
      <c r="O19" s="185">
        <f t="shared" si="4"/>
        <v>327506</v>
      </c>
      <c r="P19" s="185">
        <f t="shared" si="4"/>
        <v>329262</v>
      </c>
      <c r="Q19" s="185">
        <f t="shared" si="4"/>
        <v>331018</v>
      </c>
      <c r="R19" s="185">
        <f t="shared" si="4"/>
        <v>332774</v>
      </c>
      <c r="S19" s="185">
        <f t="shared" si="4"/>
        <v>334624</v>
      </c>
      <c r="T19" s="185">
        <f t="shared" si="4"/>
        <v>336474</v>
      </c>
      <c r="U19" s="158">
        <f>SUM(F19:Q19)</f>
        <v>3855855</v>
      </c>
      <c r="V19" s="1"/>
    </row>
    <row r="20" spans="1:22" x14ac:dyDescent="0.3">
      <c r="A20" s="162"/>
      <c r="B20" s="152"/>
      <c r="C20" s="186" t="s">
        <v>50</v>
      </c>
      <c r="D20" s="152"/>
      <c r="E20" s="152"/>
      <c r="F20" s="187">
        <f>F14+F19</f>
        <v>1033781.2304843161</v>
      </c>
      <c r="G20" s="187">
        <f>G14+G19</f>
        <v>1058067.247064464</v>
      </c>
      <c r="H20" s="187">
        <f t="shared" ref="H20:T20" si="5">H14+H19</f>
        <v>1082911.6672216533</v>
      </c>
      <c r="I20" s="187">
        <f t="shared" si="5"/>
        <v>1108376.2851985057</v>
      </c>
      <c r="J20" s="187">
        <f t="shared" si="5"/>
        <v>1134345.3237753948</v>
      </c>
      <c r="K20" s="187">
        <f t="shared" si="5"/>
        <v>1161370.5533686629</v>
      </c>
      <c r="L20" s="187">
        <f t="shared" si="5"/>
        <v>1189297.1688698125</v>
      </c>
      <c r="M20" s="187">
        <f t="shared" si="5"/>
        <v>1218127.994927926</v>
      </c>
      <c r="N20" s="187">
        <f t="shared" si="5"/>
        <v>1248929.2211936675</v>
      </c>
      <c r="O20" s="187">
        <f t="shared" si="5"/>
        <v>1279311.0671560913</v>
      </c>
      <c r="P20" s="187">
        <f t="shared" si="5"/>
        <v>1319111.6865466079</v>
      </c>
      <c r="Q20" s="187">
        <f t="shared" si="5"/>
        <v>1354283.3430886641</v>
      </c>
      <c r="R20" s="187">
        <f t="shared" si="5"/>
        <v>1373449.1430886639</v>
      </c>
      <c r="S20" s="187">
        <f t="shared" si="5"/>
        <v>1403886.559668812</v>
      </c>
      <c r="T20" s="187">
        <f t="shared" si="5"/>
        <v>1434802.3798260011</v>
      </c>
      <c r="U20" s="153">
        <f>SUM(F20:Q20)</f>
        <v>14187912.788895767</v>
      </c>
      <c r="V20" s="1"/>
    </row>
    <row r="21" spans="1:22" x14ac:dyDescent="0.3">
      <c r="C21" s="183" t="s">
        <v>51</v>
      </c>
      <c r="F21"/>
      <c r="I21" s="176"/>
      <c r="K21" s="176"/>
      <c r="S21" s="176"/>
      <c r="T21" s="176"/>
      <c r="V21" s="1"/>
    </row>
    <row r="22" spans="1:22" x14ac:dyDescent="0.3">
      <c r="C22" s="175" t="s">
        <v>182</v>
      </c>
      <c r="F22" s="176"/>
      <c r="G22" s="176"/>
      <c r="Q22" s="176"/>
      <c r="V22" s="1"/>
    </row>
    <row r="23" spans="1:22" x14ac:dyDescent="0.3">
      <c r="C23" s="175" t="s">
        <v>183</v>
      </c>
      <c r="F23"/>
      <c r="H23" s="176"/>
      <c r="J23" s="176"/>
      <c r="V23" s="1"/>
    </row>
    <row r="24" spans="1:22" x14ac:dyDescent="0.3">
      <c r="C24" s="173" t="s">
        <v>184</v>
      </c>
      <c r="F24" s="451">
        <f>'CF 2026'!G59</f>
        <v>-3367.2000000000003</v>
      </c>
      <c r="G24" s="451">
        <f>'CF 2026'!H59</f>
        <v>-3509.4</v>
      </c>
      <c r="H24" s="451">
        <f>'CF 2026'!I59</f>
        <v>-3752</v>
      </c>
      <c r="I24" s="451">
        <f>'CF 2026'!J59</f>
        <v>-3890.8</v>
      </c>
      <c r="J24" s="451">
        <f>'CF 2026'!K59</f>
        <v>-4483.4000000000005</v>
      </c>
      <c r="K24" s="451">
        <f>'CF 2026'!L59</f>
        <v>-4780.2</v>
      </c>
      <c r="L24" s="451">
        <f>'CF 2026'!M59</f>
        <v>-4907.8</v>
      </c>
      <c r="M24" s="451">
        <f>'CF 2026'!N59</f>
        <v>-4960.6000000000004</v>
      </c>
      <c r="N24" s="451">
        <f>'CF 2026'!O59</f>
        <v>-4163.2</v>
      </c>
      <c r="O24" s="451">
        <f>'CF 2026'!P59</f>
        <v>-3605.6000000000004</v>
      </c>
      <c r="P24" s="451">
        <f>'CF 2026'!Q59</f>
        <v>-3715.8</v>
      </c>
      <c r="Q24" s="451">
        <f>'CF 2026'!R59</f>
        <v>-3177.6000000000004</v>
      </c>
      <c r="R24" s="451">
        <f>'CF 2026'!S59</f>
        <v>-3418.2000000000003</v>
      </c>
      <c r="S24" s="451">
        <f>'CF 2026'!T59</f>
        <v>-3560.4</v>
      </c>
      <c r="T24" s="451">
        <f>'CF 2026'!U59</f>
        <v>-3883</v>
      </c>
      <c r="V24" s="1"/>
    </row>
    <row r="25" spans="1:22" x14ac:dyDescent="0.3">
      <c r="A25" s="151"/>
      <c r="B25" s="151"/>
      <c r="C25" s="177" t="s">
        <v>185</v>
      </c>
      <c r="D25" s="151"/>
      <c r="E25" s="151"/>
      <c r="F25" s="158">
        <f>SUM(F22:F24)</f>
        <v>-3367.2000000000003</v>
      </c>
      <c r="G25" s="158">
        <f t="shared" ref="G25:T25" si="6">SUM(G22:G24)</f>
        <v>-3509.4</v>
      </c>
      <c r="H25" s="158">
        <f t="shared" si="6"/>
        <v>-3752</v>
      </c>
      <c r="I25" s="158">
        <f t="shared" si="6"/>
        <v>-3890.8</v>
      </c>
      <c r="J25" s="158">
        <f t="shared" si="6"/>
        <v>-4483.4000000000005</v>
      </c>
      <c r="K25" s="158">
        <f t="shared" si="6"/>
        <v>-4780.2</v>
      </c>
      <c r="L25" s="158">
        <f t="shared" si="6"/>
        <v>-4907.8</v>
      </c>
      <c r="M25" s="158">
        <f t="shared" si="6"/>
        <v>-4960.6000000000004</v>
      </c>
      <c r="N25" s="158">
        <f t="shared" si="6"/>
        <v>-4163.2</v>
      </c>
      <c r="O25" s="158">
        <f t="shared" si="6"/>
        <v>-3605.6000000000004</v>
      </c>
      <c r="P25" s="158">
        <f t="shared" si="6"/>
        <v>-3715.8</v>
      </c>
      <c r="Q25" s="158">
        <f t="shared" si="6"/>
        <v>-3177.6000000000004</v>
      </c>
      <c r="R25" s="158">
        <f t="shared" si="6"/>
        <v>-3418.2000000000003</v>
      </c>
      <c r="S25" s="158">
        <f t="shared" si="6"/>
        <v>-3560.4</v>
      </c>
      <c r="T25" s="158">
        <f t="shared" si="6"/>
        <v>-3883</v>
      </c>
      <c r="U25" s="158">
        <f>SUM(F25:Q25)</f>
        <v>-48313.599999999999</v>
      </c>
      <c r="V25" s="1"/>
    </row>
    <row r="26" spans="1:22" x14ac:dyDescent="0.3">
      <c r="A26" s="152"/>
      <c r="B26" s="152"/>
      <c r="C26" s="188" t="s">
        <v>52</v>
      </c>
      <c r="D26" s="152"/>
      <c r="E26" s="152"/>
      <c r="F26" s="153"/>
      <c r="G26" s="152"/>
      <c r="H26" s="152"/>
      <c r="I26" s="153"/>
      <c r="J26" s="152"/>
      <c r="K26" s="153"/>
      <c r="L26" s="189"/>
      <c r="M26" s="189"/>
      <c r="N26" s="189"/>
      <c r="O26" s="189"/>
      <c r="P26" s="189"/>
      <c r="Q26" s="152"/>
      <c r="R26" s="189"/>
      <c r="S26" s="153"/>
      <c r="T26" s="153"/>
      <c r="U26" s="152"/>
      <c r="V26" s="1"/>
    </row>
    <row r="27" spans="1:22" x14ac:dyDescent="0.3">
      <c r="C27" s="172" t="s">
        <v>186</v>
      </c>
      <c r="F27" s="452">
        <f>'BS 2025'!R27</f>
        <v>-52000</v>
      </c>
      <c r="G27" s="452">
        <f>'BS 2025'!S27</f>
        <v>-46500</v>
      </c>
      <c r="H27" s="452">
        <f>'BS 2025'!T27</f>
        <v>-41000</v>
      </c>
      <c r="I27" s="452">
        <f>H27-'CF 2026'!J41</f>
        <v>-35500</v>
      </c>
      <c r="J27" s="452">
        <f>I27-'CF 2026'!K41</f>
        <v>-30000</v>
      </c>
      <c r="K27" s="452">
        <f>J27-'CF 2026'!L41</f>
        <v>-24500</v>
      </c>
      <c r="L27" s="452">
        <f>K27-'CF 2026'!M41</f>
        <v>-19000</v>
      </c>
      <c r="M27" s="452">
        <f>L27-'CF 2026'!N41</f>
        <v>-13500</v>
      </c>
      <c r="N27" s="452">
        <f>M27-'CF 2026'!O41</f>
        <v>-8000</v>
      </c>
      <c r="O27" s="452">
        <f>N27-'CF 2026'!P41</f>
        <v>0</v>
      </c>
      <c r="P27" s="452">
        <f>O27-'CF 2026'!Q41</f>
        <v>0</v>
      </c>
      <c r="Q27" s="452">
        <f>P27-'CF 2026'!R41</f>
        <v>0</v>
      </c>
      <c r="R27" s="181"/>
      <c r="S27" s="181"/>
      <c r="T27" s="181"/>
      <c r="U27" s="219">
        <f>SUM(F27:Q27)</f>
        <v>-270000</v>
      </c>
      <c r="V27" s="1"/>
    </row>
    <row r="28" spans="1:22" ht="12.6" customHeight="1" x14ac:dyDescent="0.3">
      <c r="C28" s="173"/>
      <c r="F28"/>
      <c r="J28" s="174" t="s">
        <v>192</v>
      </c>
      <c r="U28" s="337"/>
      <c r="V28" s="1"/>
    </row>
    <row r="29" spans="1:22" x14ac:dyDescent="0.3">
      <c r="C29" s="172" t="s">
        <v>187</v>
      </c>
      <c r="F29" s="174"/>
      <c r="G29" s="174"/>
      <c r="H29" s="174"/>
      <c r="Q29" s="174"/>
      <c r="U29" s="337"/>
      <c r="V29" s="1"/>
    </row>
    <row r="30" spans="1:22" x14ac:dyDescent="0.3">
      <c r="C30" s="175" t="s">
        <v>195</v>
      </c>
      <c r="F30" s="174"/>
      <c r="G30" s="174"/>
      <c r="H30" s="174"/>
      <c r="Q30" s="174"/>
      <c r="U30" s="337"/>
      <c r="V30" s="1"/>
    </row>
    <row r="31" spans="1:22" x14ac:dyDescent="0.3">
      <c r="C31" s="172" t="s">
        <v>188</v>
      </c>
      <c r="F31" s="452">
        <f>SUM(F27:F29)</f>
        <v>-52000</v>
      </c>
      <c r="G31" s="452">
        <f t="shared" ref="G31:T31" si="7">SUM(G27:G29)</f>
        <v>-46500</v>
      </c>
      <c r="H31" s="452">
        <f t="shared" si="7"/>
        <v>-41000</v>
      </c>
      <c r="I31" s="452">
        <f t="shared" si="7"/>
        <v>-35500</v>
      </c>
      <c r="J31" s="452">
        <f t="shared" si="7"/>
        <v>-30000</v>
      </c>
      <c r="K31" s="452">
        <f t="shared" si="7"/>
        <v>-24500</v>
      </c>
      <c r="L31" s="452">
        <f t="shared" si="7"/>
        <v>-19000</v>
      </c>
      <c r="M31" s="452">
        <f t="shared" si="7"/>
        <v>-13500</v>
      </c>
      <c r="N31" s="452">
        <f t="shared" si="7"/>
        <v>-8000</v>
      </c>
      <c r="O31" s="452">
        <f t="shared" si="7"/>
        <v>0</v>
      </c>
      <c r="P31" s="452">
        <f t="shared" si="7"/>
        <v>0</v>
      </c>
      <c r="Q31" s="452">
        <f t="shared" si="7"/>
        <v>0</v>
      </c>
      <c r="R31" s="452">
        <f t="shared" si="7"/>
        <v>0</v>
      </c>
      <c r="S31" s="452">
        <f t="shared" si="7"/>
        <v>0</v>
      </c>
      <c r="T31" s="452">
        <f t="shared" si="7"/>
        <v>0</v>
      </c>
      <c r="U31" s="337"/>
      <c r="V31" s="1"/>
    </row>
    <row r="32" spans="1:22" x14ac:dyDescent="0.3">
      <c r="C32" s="172" t="s">
        <v>53</v>
      </c>
      <c r="F32" s="452">
        <f>F31+F24</f>
        <v>-55367.199999999997</v>
      </c>
      <c r="G32" s="452">
        <f t="shared" ref="G32:T32" si="8">G31+G24</f>
        <v>-50009.4</v>
      </c>
      <c r="H32" s="452">
        <f t="shared" si="8"/>
        <v>-44752</v>
      </c>
      <c r="I32" s="452">
        <f t="shared" si="8"/>
        <v>-39390.800000000003</v>
      </c>
      <c r="J32" s="452">
        <f t="shared" si="8"/>
        <v>-34483.4</v>
      </c>
      <c r="K32" s="452">
        <f t="shared" si="8"/>
        <v>-29280.2</v>
      </c>
      <c r="L32" s="452">
        <f t="shared" si="8"/>
        <v>-23907.8</v>
      </c>
      <c r="M32" s="452">
        <f t="shared" si="8"/>
        <v>-18460.599999999999</v>
      </c>
      <c r="N32" s="452">
        <f t="shared" si="8"/>
        <v>-12163.2</v>
      </c>
      <c r="O32" s="452">
        <f t="shared" si="8"/>
        <v>-3605.6000000000004</v>
      </c>
      <c r="P32" s="452">
        <f t="shared" si="8"/>
        <v>-3715.8</v>
      </c>
      <c r="Q32" s="452">
        <f t="shared" si="8"/>
        <v>-3177.6000000000004</v>
      </c>
      <c r="R32" s="452">
        <f t="shared" si="8"/>
        <v>-3418.2000000000003</v>
      </c>
      <c r="S32" s="452">
        <f t="shared" si="8"/>
        <v>-3560.4</v>
      </c>
      <c r="T32" s="452">
        <f t="shared" si="8"/>
        <v>-3883</v>
      </c>
      <c r="U32" s="337"/>
      <c r="V32" s="1"/>
    </row>
    <row r="33" spans="3:22" x14ac:dyDescent="0.3">
      <c r="C33" s="172" t="s">
        <v>54</v>
      </c>
      <c r="F33" s="218">
        <f>F20+F32</f>
        <v>978414.03048431617</v>
      </c>
      <c r="G33" s="218">
        <f>G20+G32</f>
        <v>1008057.847064464</v>
      </c>
      <c r="H33" s="218">
        <f t="shared" ref="H33:T33" si="9">H20+H32</f>
        <v>1038159.6672216533</v>
      </c>
      <c r="I33" s="218">
        <f t="shared" si="9"/>
        <v>1068985.4851985057</v>
      </c>
      <c r="J33" s="218">
        <f t="shared" si="9"/>
        <v>1099861.9237753949</v>
      </c>
      <c r="K33" s="218">
        <f t="shared" si="9"/>
        <v>1132090.353368663</v>
      </c>
      <c r="L33" s="218">
        <f t="shared" si="9"/>
        <v>1165389.3688698125</v>
      </c>
      <c r="M33" s="218">
        <f t="shared" si="9"/>
        <v>1199667.3949279259</v>
      </c>
      <c r="N33" s="218">
        <f t="shared" si="9"/>
        <v>1236766.0211936675</v>
      </c>
      <c r="O33" s="218">
        <f t="shared" si="9"/>
        <v>1275705.4671560912</v>
      </c>
      <c r="P33" s="218">
        <f t="shared" si="9"/>
        <v>1315395.8865466078</v>
      </c>
      <c r="Q33" s="218">
        <f t="shared" si="9"/>
        <v>1351105.743088664</v>
      </c>
      <c r="R33" s="218">
        <f t="shared" si="9"/>
        <v>1370030.943088664</v>
      </c>
      <c r="S33" s="218">
        <f t="shared" si="9"/>
        <v>1400326.1596688121</v>
      </c>
      <c r="T33" s="218">
        <f t="shared" si="9"/>
        <v>1430919.3798260011</v>
      </c>
      <c r="U33" s="453">
        <f>SUM(F33:Q33)</f>
        <v>13869599.188895768</v>
      </c>
      <c r="V33" s="1"/>
    </row>
    <row r="34" spans="3:22" x14ac:dyDescent="0.3">
      <c r="C34" s="175" t="s">
        <v>56</v>
      </c>
      <c r="F34" s="173"/>
      <c r="G34" s="173"/>
      <c r="H34" s="173"/>
      <c r="I34" s="173"/>
      <c r="J34" s="174"/>
      <c r="K34" s="174"/>
      <c r="L34" s="174"/>
      <c r="M34" s="174"/>
      <c r="N34" s="174"/>
      <c r="O34" s="174"/>
      <c r="P34" s="174"/>
      <c r="Q34" s="173"/>
      <c r="R34" s="174"/>
      <c r="S34" s="174"/>
      <c r="T34" s="174"/>
      <c r="V34" s="1"/>
    </row>
    <row r="35" spans="3:22" x14ac:dyDescent="0.3">
      <c r="C35" s="175" t="s">
        <v>58</v>
      </c>
      <c r="F35" s="174">
        <f>SUM(F33:F34)</f>
        <v>978414.03048431617</v>
      </c>
      <c r="G35" s="174">
        <f t="shared" ref="G35:T35" si="10">SUM(G33:G34)</f>
        <v>1008057.847064464</v>
      </c>
      <c r="H35" s="174">
        <f t="shared" si="10"/>
        <v>1038159.6672216533</v>
      </c>
      <c r="I35" s="174">
        <f t="shared" si="10"/>
        <v>1068985.4851985057</v>
      </c>
      <c r="J35" s="174">
        <f t="shared" si="10"/>
        <v>1099861.9237753949</v>
      </c>
      <c r="K35" s="174">
        <f t="shared" si="10"/>
        <v>1132090.353368663</v>
      </c>
      <c r="L35" s="174">
        <f t="shared" si="10"/>
        <v>1165389.3688698125</v>
      </c>
      <c r="M35" s="174">
        <f t="shared" si="10"/>
        <v>1199667.3949279259</v>
      </c>
      <c r="N35" s="174">
        <f t="shared" si="10"/>
        <v>1236766.0211936675</v>
      </c>
      <c r="O35" s="174">
        <f t="shared" si="10"/>
        <v>1275705.4671560912</v>
      </c>
      <c r="P35" s="174">
        <f t="shared" si="10"/>
        <v>1315395.8865466078</v>
      </c>
      <c r="Q35" s="174">
        <f t="shared" si="10"/>
        <v>1351105.743088664</v>
      </c>
      <c r="R35" s="174">
        <f t="shared" si="10"/>
        <v>1370030.943088664</v>
      </c>
      <c r="S35" s="174">
        <f t="shared" si="10"/>
        <v>1400326.1596688121</v>
      </c>
      <c r="T35" s="174">
        <f t="shared" si="10"/>
        <v>1430919.3798260011</v>
      </c>
      <c r="V35" s="1"/>
    </row>
    <row r="36" spans="3:22" x14ac:dyDescent="0.3">
      <c r="C36" s="182" t="s">
        <v>59</v>
      </c>
      <c r="F36" s="174">
        <f>F34+F35</f>
        <v>978414.03048431617</v>
      </c>
      <c r="G36" s="174">
        <f t="shared" ref="G36:T36" si="11">G34+G35</f>
        <v>1008057.847064464</v>
      </c>
      <c r="H36" s="174">
        <f t="shared" si="11"/>
        <v>1038159.6672216533</v>
      </c>
      <c r="I36" s="174">
        <f t="shared" si="11"/>
        <v>1068985.4851985057</v>
      </c>
      <c r="J36" s="174">
        <f t="shared" si="11"/>
        <v>1099861.9237753949</v>
      </c>
      <c r="K36" s="174">
        <f t="shared" si="11"/>
        <v>1132090.353368663</v>
      </c>
      <c r="L36" s="174">
        <f t="shared" si="11"/>
        <v>1165389.3688698125</v>
      </c>
      <c r="M36" s="174">
        <f t="shared" si="11"/>
        <v>1199667.3949279259</v>
      </c>
      <c r="N36" s="174">
        <f t="shared" si="11"/>
        <v>1236766.0211936675</v>
      </c>
      <c r="O36" s="174">
        <f t="shared" si="11"/>
        <v>1275705.4671560912</v>
      </c>
      <c r="P36" s="174">
        <f t="shared" si="11"/>
        <v>1315395.8865466078</v>
      </c>
      <c r="Q36" s="174">
        <f t="shared" si="11"/>
        <v>1351105.743088664</v>
      </c>
      <c r="R36" s="174">
        <f t="shared" si="11"/>
        <v>1370030.943088664</v>
      </c>
      <c r="S36" s="174">
        <f t="shared" si="11"/>
        <v>1400326.1596688121</v>
      </c>
      <c r="T36" s="174">
        <f t="shared" si="11"/>
        <v>1430919.3798260011</v>
      </c>
      <c r="V36" s="1"/>
    </row>
    <row r="37" spans="3:22" x14ac:dyDescent="0.3">
      <c r="C37" s="175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V37" s="1"/>
    </row>
    <row r="38" spans="3:22" x14ac:dyDescent="0.3">
      <c r="C38" s="175" t="s">
        <v>189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V38" s="1"/>
    </row>
    <row r="39" spans="3:22" x14ac:dyDescent="0.3">
      <c r="C39" s="175" t="s">
        <v>190</v>
      </c>
      <c r="F39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V39" s="1"/>
    </row>
    <row r="40" spans="3:22" x14ac:dyDescent="0.3">
      <c r="C40" s="175" t="s">
        <v>191</v>
      </c>
      <c r="F40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V40" s="1"/>
    </row>
    <row r="41" spans="3:22" x14ac:dyDescent="0.3">
      <c r="C41" s="175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13" zoomScale="97" zoomScaleNormal="97" workbookViewId="0">
      <selection activeCell="K6" sqref="K6:V6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7" t="s">
        <v>224</v>
      </c>
      <c r="C2" s="177"/>
      <c r="D2" s="177"/>
      <c r="E2" s="177"/>
      <c r="F2" s="151"/>
      <c r="G2" s="151"/>
      <c r="H2" s="151"/>
      <c r="I2" s="151"/>
      <c r="J2" s="151"/>
      <c r="K2" s="349" t="s">
        <v>232</v>
      </c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4" spans="2:22" x14ac:dyDescent="0.3">
      <c r="B4" s="190" t="s">
        <v>20</v>
      </c>
      <c r="C4" s="190"/>
      <c r="D4" s="190"/>
      <c r="E4" s="191">
        <v>2023</v>
      </c>
      <c r="F4" s="191">
        <v>2024</v>
      </c>
      <c r="G4" s="191">
        <v>2025</v>
      </c>
      <c r="H4" s="191">
        <v>2026</v>
      </c>
      <c r="I4" s="191">
        <v>2027</v>
      </c>
      <c r="J4" s="190"/>
      <c r="K4" s="191" t="s">
        <v>25</v>
      </c>
      <c r="L4" s="191" t="s">
        <v>26</v>
      </c>
      <c r="M4" s="191" t="s">
        <v>27</v>
      </c>
      <c r="N4" s="191" t="s">
        <v>28</v>
      </c>
      <c r="O4" s="191" t="s">
        <v>29</v>
      </c>
      <c r="P4" s="191" t="s">
        <v>30</v>
      </c>
      <c r="Q4" s="191" t="s">
        <v>31</v>
      </c>
      <c r="R4" s="191" t="s">
        <v>32</v>
      </c>
      <c r="S4" s="191" t="s">
        <v>33</v>
      </c>
      <c r="T4" s="191" t="s">
        <v>34</v>
      </c>
      <c r="U4" s="191" t="s">
        <v>35</v>
      </c>
      <c r="V4" s="191" t="s">
        <v>36</v>
      </c>
    </row>
    <row r="5" spans="2:22" x14ac:dyDescent="0.3">
      <c r="B5" t="s">
        <v>37</v>
      </c>
      <c r="E5" s="203">
        <f>'Statements Summary 2023'!V5</f>
        <v>25770</v>
      </c>
      <c r="F5" s="203">
        <f>'Statements Summary 2024'!V5</f>
        <v>40525.656542056073</v>
      </c>
      <c r="G5" s="203">
        <f>'Statements Summary 2025'!V5</f>
        <v>40525.656542056073</v>
      </c>
      <c r="H5" s="203">
        <f t="shared" ref="H5:H17" si="0">V5</f>
        <v>40525.656542056073</v>
      </c>
      <c r="I5" s="203">
        <f>'Statements Summary 2027'!V5</f>
        <v>40525.656542056073</v>
      </c>
      <c r="K5" s="203">
        <f>'CF 2026'!G55</f>
        <v>27053</v>
      </c>
      <c r="L5" s="203">
        <f>'CF 2026'!H55</f>
        <v>38097.816580147868</v>
      </c>
      <c r="M5" s="203">
        <f>'CF 2026'!I55</f>
        <v>38623.82015718909</v>
      </c>
      <c r="N5" s="203">
        <f>'CF 2026'!J55</f>
        <v>39191.817976852544</v>
      </c>
      <c r="O5" s="203">
        <f>'CF 2026'!K55</f>
        <v>40013.838576889153</v>
      </c>
      <c r="P5" s="203">
        <f>'CF 2026'!L55</f>
        <v>41091.829593267881</v>
      </c>
      <c r="Q5" s="203">
        <f>'CF 2026'!M55</f>
        <v>41845.815501149737</v>
      </c>
      <c r="R5" s="203">
        <f>'CF 2026'!N55</f>
        <v>42527.826058113307</v>
      </c>
      <c r="S5" s="203">
        <f>'CF 2026'!O55</f>
        <v>43425.826265741453</v>
      </c>
      <c r="T5" s="203">
        <f>'CF 2026'!P55</f>
        <v>44673.845962423788</v>
      </c>
      <c r="U5" s="203">
        <f>'CF 2026'!Q55</f>
        <v>45927.819390516532</v>
      </c>
      <c r="V5" s="203">
        <f>'CF 2026'!R55</f>
        <v>40525.656542056073</v>
      </c>
    </row>
    <row r="6" spans="2:22" x14ac:dyDescent="0.3">
      <c r="B6" t="s">
        <v>38</v>
      </c>
      <c r="E6" s="203">
        <f>'Statements Summary 2023'!V6</f>
        <v>0</v>
      </c>
      <c r="F6" s="203">
        <f>'Statements Summary 2024'!V6</f>
        <v>-325</v>
      </c>
      <c r="G6" s="203">
        <f>'Statements Summary 2025'!V6</f>
        <v>-325</v>
      </c>
      <c r="H6" s="203">
        <f t="shared" si="0"/>
        <v>-325</v>
      </c>
      <c r="I6" s="203">
        <f>'Statements Summary 2027'!V6</f>
        <v>-325</v>
      </c>
      <c r="K6" s="203">
        <f>'CF 2026'!G56</f>
        <v>-325</v>
      </c>
      <c r="L6" s="203">
        <f>'CF 2026'!H56</f>
        <v>-325</v>
      </c>
      <c r="M6" s="203">
        <f>'CF 2026'!I56</f>
        <v>-325</v>
      </c>
      <c r="N6" s="203">
        <f>'CF 2026'!J56</f>
        <v>-325</v>
      </c>
      <c r="O6" s="203">
        <f>'CF 2026'!K56</f>
        <v>-325</v>
      </c>
      <c r="P6" s="203">
        <f>'CF 2026'!L56</f>
        <v>-325</v>
      </c>
      <c r="Q6" s="203">
        <f>'CF 2026'!M56</f>
        <v>-325</v>
      </c>
      <c r="R6" s="203">
        <f>'CF 2026'!N56</f>
        <v>-325</v>
      </c>
      <c r="S6" s="203">
        <f>'CF 2026'!O56</f>
        <v>-325</v>
      </c>
      <c r="T6" s="203">
        <f>'CF 2026'!P56</f>
        <v>-325</v>
      </c>
      <c r="U6" s="203">
        <f>'CF 2026'!Q56</f>
        <v>-325</v>
      </c>
      <c r="V6" s="203">
        <f>'CF 2026'!R56</f>
        <v>-325</v>
      </c>
    </row>
    <row r="7" spans="2:22" x14ac:dyDescent="0.3">
      <c r="B7" t="s">
        <v>39</v>
      </c>
      <c r="E7" s="203">
        <f>'Statements Summary 2023'!V7</f>
        <v>-5500</v>
      </c>
      <c r="F7" s="203">
        <f>'Statements Summary 2024'!V7</f>
        <v>-5500</v>
      </c>
      <c r="G7" s="203">
        <f>'Statements Summary 2025'!V7</f>
        <v>-5500</v>
      </c>
      <c r="H7" s="203">
        <f t="shared" si="0"/>
        <v>0</v>
      </c>
      <c r="I7" s="203">
        <f>'Statements Summary 2027'!V7</f>
        <v>0</v>
      </c>
      <c r="K7" s="203" t="s">
        <v>192</v>
      </c>
      <c r="L7" s="203">
        <f>'CF 2026'!H41</f>
        <v>-5500</v>
      </c>
      <c r="M7" s="203">
        <f>'CF 2026'!I41</f>
        <v>-5500</v>
      </c>
      <c r="N7" s="203">
        <f>'CF 2026'!J41</f>
        <v>-5500</v>
      </c>
      <c r="O7" s="203">
        <f>'CF 2026'!K41</f>
        <v>-5500</v>
      </c>
      <c r="P7" s="203">
        <f>'CF 2026'!L41</f>
        <v>-5500</v>
      </c>
      <c r="Q7" s="203">
        <f>'CF 2026'!M41</f>
        <v>-5500</v>
      </c>
      <c r="R7" s="203">
        <f>'CF 2026'!N41</f>
        <v>-5500</v>
      </c>
      <c r="S7" s="203">
        <f>'CF 2026'!O41</f>
        <v>-5500</v>
      </c>
      <c r="T7" s="203">
        <f>'CF 2026'!P41</f>
        <v>-8000</v>
      </c>
      <c r="U7" s="203">
        <f>'CF 2026'!Q41</f>
        <v>0</v>
      </c>
      <c r="V7" s="203">
        <f>'CF 2026'!R41</f>
        <v>0</v>
      </c>
    </row>
    <row r="8" spans="2:22" x14ac:dyDescent="0.3">
      <c r="B8" t="s">
        <v>14</v>
      </c>
      <c r="E8" s="203">
        <f>'Statements Summary 2023'!V8</f>
        <v>12762</v>
      </c>
      <c r="F8" s="203">
        <f>'Statements Summary 2024'!V8</f>
        <v>30423.656542056073</v>
      </c>
      <c r="G8" s="203">
        <f>'Statements Summary 2025'!V8</f>
        <v>47635.656542056073</v>
      </c>
      <c r="H8" s="203">
        <f t="shared" si="0"/>
        <v>33415.656542056073</v>
      </c>
      <c r="I8" s="203">
        <f>'Statements Summary 2027'!V8</f>
        <v>33415.656542056073</v>
      </c>
      <c r="K8" s="203">
        <f>'CF 2026'!G30</f>
        <v>16697.400000000001</v>
      </c>
      <c r="L8" s="203">
        <f>'CF 2026'!H30</f>
        <v>27875.016580147869</v>
      </c>
      <c r="M8" s="203">
        <f>'CF 2026'!I30</f>
        <v>28433.420157189088</v>
      </c>
      <c r="N8" s="203">
        <f>'CF 2026'!J30</f>
        <v>29208.617976852544</v>
      </c>
      <c r="O8" s="203">
        <f>'CF 2026'!K30</f>
        <v>29713.038576889154</v>
      </c>
      <c r="P8" s="203">
        <f>'CF 2026'!L30</f>
        <v>30769.229593267883</v>
      </c>
      <c r="Q8" s="203">
        <f>'CF 2026'!M30</f>
        <v>31670.615501149736</v>
      </c>
      <c r="R8" s="203">
        <f>'CF 2026'!N30</f>
        <v>32574.826058113307</v>
      </c>
      <c r="S8" s="203">
        <f>'CF 2026'!O30</f>
        <v>34545.226265741454</v>
      </c>
      <c r="T8" s="203">
        <f>'CF 2026'!P30</f>
        <v>36625.845962423788</v>
      </c>
      <c r="U8" s="203">
        <f>'CF 2026'!Q30</f>
        <v>38044.619390516535</v>
      </c>
      <c r="V8" s="203">
        <f>'CF 2026'!R30</f>
        <v>33415.656542056073</v>
      </c>
    </row>
    <row r="9" spans="2:22" x14ac:dyDescent="0.3">
      <c r="B9" t="s">
        <v>40</v>
      </c>
      <c r="E9" s="203" t="str">
        <f>'Statements Summary 2023'!V9</f>
        <v>-</v>
      </c>
      <c r="F9" s="203" t="str">
        <f>'Statements Summary 2024'!V9</f>
        <v>-</v>
      </c>
      <c r="G9" s="203">
        <f>'Statements Summary 2025'!V9</f>
        <v>0</v>
      </c>
      <c r="H9" s="203">
        <f t="shared" si="0"/>
        <v>0</v>
      </c>
      <c r="I9" s="203">
        <f>'Statements Summary 2027'!V9</f>
        <v>0</v>
      </c>
      <c r="K9" s="203">
        <f>'CF 2026'!G35</f>
        <v>0</v>
      </c>
      <c r="L9" s="203">
        <f>'CF 2026'!H35</f>
        <v>0</v>
      </c>
      <c r="M9" s="203">
        <f>'CF 2026'!I35</f>
        <v>0</v>
      </c>
      <c r="N9" s="203">
        <f>'CF 2026'!J35</f>
        <v>0</v>
      </c>
      <c r="O9" s="203">
        <f>'CF 2026'!K35</f>
        <v>0</v>
      </c>
      <c r="P9" s="203">
        <f>'CF 2026'!L35</f>
        <v>0</v>
      </c>
      <c r="Q9" s="203">
        <f>'CF 2026'!M35</f>
        <v>0</v>
      </c>
      <c r="R9" s="203">
        <f>'CF 2026'!N35</f>
        <v>0</v>
      </c>
      <c r="S9" s="203">
        <f>'CF 2026'!O35</f>
        <v>0</v>
      </c>
      <c r="T9" s="203">
        <f>'CF 2026'!P35</f>
        <v>0</v>
      </c>
      <c r="U9" s="203">
        <f>'CF 2026'!Q35</f>
        <v>0</v>
      </c>
      <c r="V9" s="203">
        <f>'CF 2026'!R35</f>
        <v>0</v>
      </c>
    </row>
    <row r="10" spans="2:22" x14ac:dyDescent="0.3">
      <c r="B10" t="s">
        <v>41</v>
      </c>
      <c r="E10" s="203" t="str">
        <f>'Statements Summary 2023'!V10</f>
        <v>-</v>
      </c>
      <c r="F10" s="203" t="str">
        <f>'Statements Summary 2024'!V10</f>
        <v>-</v>
      </c>
      <c r="G10" s="203" t="str">
        <f>'Statements Summary 2025'!V10</f>
        <v>-</v>
      </c>
      <c r="H10" s="203" t="str">
        <f t="shared" si="0"/>
        <v>-</v>
      </c>
      <c r="I10" s="203" t="str">
        <f>'Statements Summary 2027'!V10</f>
        <v>-</v>
      </c>
      <c r="K10" s="203" t="s">
        <v>192</v>
      </c>
      <c r="L10" s="203" t="s">
        <v>192</v>
      </c>
      <c r="M10" s="203" t="s">
        <v>192</v>
      </c>
      <c r="N10" s="203" t="s">
        <v>192</v>
      </c>
      <c r="O10" s="203" t="s">
        <v>192</v>
      </c>
      <c r="P10" s="203" t="s">
        <v>192</v>
      </c>
      <c r="Q10" s="203" t="s">
        <v>192</v>
      </c>
      <c r="R10" s="203" t="s">
        <v>192</v>
      </c>
      <c r="S10" s="203" t="s">
        <v>192</v>
      </c>
      <c r="T10" s="203" t="s">
        <v>192</v>
      </c>
      <c r="U10" s="203" t="s">
        <v>192</v>
      </c>
      <c r="V10" s="203" t="s">
        <v>192</v>
      </c>
    </row>
    <row r="11" spans="2:22" x14ac:dyDescent="0.3">
      <c r="B11" t="s">
        <v>42</v>
      </c>
      <c r="E11" s="203" t="str">
        <f>'Statements Summary 2023'!V11</f>
        <v>-</v>
      </c>
      <c r="F11" s="203" t="str">
        <f>'Statements Summary 2024'!V11</f>
        <v>-</v>
      </c>
      <c r="G11" s="203" t="str">
        <f>'Statements Summary 2025'!V11</f>
        <v>-</v>
      </c>
      <c r="H11" s="203" t="str">
        <f t="shared" si="0"/>
        <v>-</v>
      </c>
      <c r="I11" s="203" t="str">
        <f>'Statements Summary 2027'!V11</f>
        <v>-</v>
      </c>
      <c r="K11" s="203">
        <f>'CF 2026'!G35</f>
        <v>0</v>
      </c>
      <c r="L11" s="203" t="s">
        <v>192</v>
      </c>
      <c r="M11" s="203" t="s">
        <v>192</v>
      </c>
      <c r="N11" s="203" t="s">
        <v>192</v>
      </c>
      <c r="O11" s="203" t="s">
        <v>192</v>
      </c>
      <c r="P11" s="203" t="s">
        <v>192</v>
      </c>
      <c r="Q11" s="203" t="s">
        <v>192</v>
      </c>
      <c r="R11" s="203" t="s">
        <v>192</v>
      </c>
      <c r="S11" s="203" t="s">
        <v>192</v>
      </c>
      <c r="T11" s="203" t="s">
        <v>192</v>
      </c>
      <c r="U11" s="203" t="s">
        <v>192</v>
      </c>
      <c r="V11" s="203" t="s">
        <v>192</v>
      </c>
    </row>
    <row r="12" spans="2:22" x14ac:dyDescent="0.3">
      <c r="B12" t="s">
        <v>43</v>
      </c>
      <c r="E12" s="203">
        <f>'Statements Summary 2023'!V12</f>
        <v>-5500</v>
      </c>
      <c r="F12" s="203">
        <f>'Statements Summary 2024'!V12</f>
        <v>-5500</v>
      </c>
      <c r="G12" s="203">
        <f>'Statements Summary 2025'!V12</f>
        <v>-5500</v>
      </c>
      <c r="H12" s="203">
        <f t="shared" si="0"/>
        <v>0</v>
      </c>
      <c r="I12" s="203">
        <f>'Statements Summary 2027'!V12</f>
        <v>0</v>
      </c>
      <c r="K12" s="203" t="s">
        <v>192</v>
      </c>
      <c r="L12" s="203">
        <f>'CF 2026'!H41</f>
        <v>-5500</v>
      </c>
      <c r="M12" s="203">
        <f>'CF 2026'!I41</f>
        <v>-5500</v>
      </c>
      <c r="N12" s="203">
        <f>'CF 2026'!J41</f>
        <v>-5500</v>
      </c>
      <c r="O12" s="203">
        <f>'CF 2026'!K41</f>
        <v>-5500</v>
      </c>
      <c r="P12" s="203">
        <f>'CF 2026'!L41</f>
        <v>-5500</v>
      </c>
      <c r="Q12" s="203">
        <f>'CF 2026'!M41</f>
        <v>-5500</v>
      </c>
      <c r="R12" s="203">
        <f>'CF 2026'!N41</f>
        <v>-5500</v>
      </c>
      <c r="S12" s="203">
        <f>'CF 2026'!O41</f>
        <v>-5500</v>
      </c>
      <c r="T12" s="203">
        <f>'CF 2026'!P41</f>
        <v>-8000</v>
      </c>
      <c r="U12" s="203">
        <f>'CF 2026'!Q41</f>
        <v>0</v>
      </c>
      <c r="V12" s="203">
        <f>'CF 2026'!R41</f>
        <v>0</v>
      </c>
    </row>
    <row r="13" spans="2:22" x14ac:dyDescent="0.3">
      <c r="B13" t="s">
        <v>44</v>
      </c>
      <c r="E13" s="203" t="str">
        <f>'Statements Summary 2023'!V13</f>
        <v>-</v>
      </c>
      <c r="F13" s="203" t="str">
        <f>'Statements Summary 2024'!V13</f>
        <v>-</v>
      </c>
      <c r="G13" s="203" t="str">
        <f>'Statements Summary 2025'!V13</f>
        <v>-</v>
      </c>
      <c r="H13" s="203" t="str">
        <f t="shared" si="0"/>
        <v>-</v>
      </c>
      <c r="I13" s="203" t="str">
        <f>'Statements Summary 2027'!V13</f>
        <v>-</v>
      </c>
      <c r="K13" s="203" t="s">
        <v>192</v>
      </c>
      <c r="L13" s="203" t="s">
        <v>192</v>
      </c>
      <c r="M13" s="203" t="s">
        <v>192</v>
      </c>
      <c r="N13" s="203" t="s">
        <v>192</v>
      </c>
      <c r="O13" s="203" t="s">
        <v>192</v>
      </c>
      <c r="P13" s="203" t="s">
        <v>192</v>
      </c>
      <c r="Q13" s="203" t="s">
        <v>192</v>
      </c>
      <c r="R13" s="203" t="s">
        <v>192</v>
      </c>
      <c r="S13" s="203" t="s">
        <v>192</v>
      </c>
      <c r="T13" s="203" t="s">
        <v>192</v>
      </c>
      <c r="U13" s="203" t="s">
        <v>192</v>
      </c>
      <c r="V13" s="203" t="s">
        <v>192</v>
      </c>
    </row>
    <row r="14" spans="2:22" x14ac:dyDescent="0.3">
      <c r="B14" t="s">
        <v>45</v>
      </c>
      <c r="E14" s="203" t="str">
        <f>'Statements Summary 2023'!V14</f>
        <v>-</v>
      </c>
      <c r="F14" s="203" t="str">
        <f>'Statements Summary 2024'!V14</f>
        <v>-</v>
      </c>
      <c r="G14" s="203" t="str">
        <f>'Statements Summary 2025'!V14</f>
        <v>-</v>
      </c>
      <c r="H14" s="203" t="str">
        <f t="shared" si="0"/>
        <v>-</v>
      </c>
      <c r="I14" s="203" t="str">
        <f>'Statements Summary 2027'!V14</f>
        <v>-</v>
      </c>
      <c r="K14" s="203" t="s">
        <v>192</v>
      </c>
      <c r="L14" s="203" t="s">
        <v>192</v>
      </c>
      <c r="M14" s="203" t="s">
        <v>192</v>
      </c>
      <c r="N14" s="203" t="s">
        <v>192</v>
      </c>
      <c r="O14" s="203" t="s">
        <v>192</v>
      </c>
      <c r="P14" s="203" t="s">
        <v>192</v>
      </c>
      <c r="Q14" s="203" t="s">
        <v>192</v>
      </c>
      <c r="R14" s="203" t="s">
        <v>192</v>
      </c>
      <c r="S14" s="203" t="s">
        <v>192</v>
      </c>
      <c r="T14" s="203" t="s">
        <v>192</v>
      </c>
      <c r="U14" s="203" t="s">
        <v>192</v>
      </c>
      <c r="V14" s="203" t="s">
        <v>192</v>
      </c>
    </row>
    <row r="15" spans="2:22" x14ac:dyDescent="0.3">
      <c r="B15" t="s">
        <v>46</v>
      </c>
      <c r="E15" s="203">
        <f>'Statements Summary 2023'!V15</f>
        <v>-5500</v>
      </c>
      <c r="F15" s="203">
        <f>'Statements Summary 2024'!V15</f>
        <v>-5500</v>
      </c>
      <c r="G15" s="203">
        <f>'Statements Summary 2025'!V15</f>
        <v>-5500</v>
      </c>
      <c r="H15" s="203">
        <f t="shared" si="0"/>
        <v>0</v>
      </c>
      <c r="I15" s="203">
        <f>'Statements Summary 2027'!V15</f>
        <v>0</v>
      </c>
      <c r="K15" s="203" t="s">
        <v>192</v>
      </c>
      <c r="L15" s="203">
        <f>'CF 2026'!H41</f>
        <v>-5500</v>
      </c>
      <c r="M15" s="203">
        <f>'CF 2026'!I41</f>
        <v>-5500</v>
      </c>
      <c r="N15" s="203">
        <f>'CF 2026'!J41</f>
        <v>-5500</v>
      </c>
      <c r="O15" s="203">
        <f>'CF 2026'!K41</f>
        <v>-5500</v>
      </c>
      <c r="P15" s="203">
        <f>'CF 2026'!L41</f>
        <v>-5500</v>
      </c>
      <c r="Q15" s="203">
        <f>'CF 2026'!M41</f>
        <v>-5500</v>
      </c>
      <c r="R15" s="203">
        <f>'CF 2026'!N41</f>
        <v>-5500</v>
      </c>
      <c r="S15" s="203">
        <f>'CF 2026'!O41</f>
        <v>-5500</v>
      </c>
      <c r="T15" s="203">
        <f>'CF 2026'!P41</f>
        <v>-8000</v>
      </c>
      <c r="U15" s="203">
        <f>'CF 2026'!Q41</f>
        <v>0</v>
      </c>
      <c r="V15" s="203">
        <f>'CF 2026'!R41</f>
        <v>0</v>
      </c>
    </row>
    <row r="16" spans="2:22" x14ac:dyDescent="0.3">
      <c r="B16" t="s">
        <v>197</v>
      </c>
      <c r="E16" s="203">
        <f>'Statements Summary 2023'!V16</f>
        <v>12762</v>
      </c>
      <c r="F16" s="203">
        <f>'Statements Summary 2024'!V16</f>
        <v>30423.656542056073</v>
      </c>
      <c r="G16" s="203">
        <f>'Statements Summary 2025'!V16</f>
        <v>47635.656542056073</v>
      </c>
      <c r="H16" s="203">
        <f t="shared" si="0"/>
        <v>33415.656542056073</v>
      </c>
      <c r="I16" s="203">
        <f>'Statements Summary 2027'!V16</f>
        <v>33415.656542056073</v>
      </c>
      <c r="K16" s="203">
        <f>'CF 2026'!G30</f>
        <v>16697.400000000001</v>
      </c>
      <c r="L16" s="203">
        <f>'CF 2026'!H30</f>
        <v>27875.016580147869</v>
      </c>
      <c r="M16" s="203">
        <f>'CF 2026'!I30</f>
        <v>28433.420157189088</v>
      </c>
      <c r="N16" s="203">
        <f>'CF 2026'!J30</f>
        <v>29208.617976852544</v>
      </c>
      <c r="O16" s="203">
        <f>'CF 2026'!K30</f>
        <v>29713.038576889154</v>
      </c>
      <c r="P16" s="203">
        <f>'CF 2026'!L30</f>
        <v>30769.229593267883</v>
      </c>
      <c r="Q16" s="203">
        <f>'CF 2026'!M30</f>
        <v>31670.615501149736</v>
      </c>
      <c r="R16" s="203">
        <f>'CF 2026'!N30</f>
        <v>32574.826058113307</v>
      </c>
      <c r="S16" s="203">
        <f>'CF 2026'!O30</f>
        <v>34545.226265741454</v>
      </c>
      <c r="T16" s="203">
        <f>'CF 2026'!P30</f>
        <v>36625.845962423788</v>
      </c>
      <c r="U16" s="203">
        <f>'CF 2026'!Q30</f>
        <v>38044.619390516535</v>
      </c>
      <c r="V16" s="203">
        <f>'CF 2026'!R30</f>
        <v>33415.656542056073</v>
      </c>
    </row>
    <row r="17" spans="2:22" x14ac:dyDescent="0.3">
      <c r="B17" t="s">
        <v>47</v>
      </c>
      <c r="E17" s="203">
        <f>'Statements Summary 2023'!V17</f>
        <v>20024</v>
      </c>
      <c r="F17" s="203">
        <f>'Statements Summary 2024'!V17</f>
        <v>55347.313084112146</v>
      </c>
      <c r="G17" s="203">
        <f>'Statements Summary 2025'!V17</f>
        <v>89771.313084112146</v>
      </c>
      <c r="H17" s="203">
        <f t="shared" si="0"/>
        <v>66831.313084112146</v>
      </c>
      <c r="I17" s="203">
        <f>'Statements Summary 2027'!V17</f>
        <v>66831.313084112146</v>
      </c>
      <c r="K17" s="203">
        <f>'CF 2026'!G51+'CF 2026'!G28+'CF 2026'!G29</f>
        <v>27894.800000000003</v>
      </c>
      <c r="L17" s="203">
        <f>'CF 2026'!H51+'CF 2026'!H28+'CF 2026'!H29</f>
        <v>50250.03316029573</v>
      </c>
      <c r="M17" s="203">
        <f>'CF 2026'!I51+'CF 2026'!I28+'CF 2026'!I29</f>
        <v>51366.840314378176</v>
      </c>
      <c r="N17" s="203">
        <f>'CF 2026'!J51+'CF 2026'!J28+'CF 2026'!J29</f>
        <v>52917.235953705094</v>
      </c>
      <c r="O17" s="203">
        <f>'CF 2026'!K51+'CF 2026'!K28+'CF 2026'!K29</f>
        <v>53926.0771537783</v>
      </c>
      <c r="P17" s="203">
        <f>'CF 2026'!L51+'CF 2026'!L28+'CF 2026'!L29</f>
        <v>56038.459186535772</v>
      </c>
      <c r="Q17" s="203">
        <f>'CF 2026'!M51+'CF 2026'!M28+'CF 2026'!M29</f>
        <v>57841.231002299479</v>
      </c>
      <c r="R17" s="203">
        <f>'CF 2026'!N51+'CF 2026'!N28+'CF 2026'!N29</f>
        <v>59649.652116226614</v>
      </c>
      <c r="S17" s="203">
        <f>'CF 2026'!O51+'CF 2026'!O28+'CF 2026'!O29</f>
        <v>63590.452531482915</v>
      </c>
      <c r="T17" s="203">
        <f>'CF 2026'!P51+'CF 2026'!P28+'CF 2026'!P29</f>
        <v>65251.691924847575</v>
      </c>
      <c r="U17" s="203">
        <f>'CF 2026'!Q51+'CF 2026'!Q28+'CF 2026'!Q29</f>
        <v>76089.238781033069</v>
      </c>
      <c r="V17" s="203">
        <f>'CF 2026'!R51+'CF 2026'!R28+'CF 2026'!R29</f>
        <v>66831.313084112146</v>
      </c>
    </row>
    <row r="19" spans="2:22" x14ac:dyDescent="0.3">
      <c r="B19" s="177" t="s">
        <v>224</v>
      </c>
      <c r="C19" s="151"/>
      <c r="D19" s="151"/>
      <c r="E19" s="151"/>
      <c r="F19" s="151"/>
      <c r="G19" s="151"/>
      <c r="H19" s="151"/>
      <c r="I19" s="151"/>
      <c r="K19" s="349" t="s">
        <v>232</v>
      </c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</row>
    <row r="42" spans="2:22" x14ac:dyDescent="0.3">
      <c r="B42" s="177" t="s">
        <v>225</v>
      </c>
      <c r="C42" s="177"/>
      <c r="D42" s="177"/>
      <c r="E42" s="177"/>
      <c r="F42" s="151"/>
      <c r="G42" s="151"/>
      <c r="H42" s="151"/>
      <c r="I42" s="151"/>
      <c r="J42" s="151"/>
      <c r="K42" s="349" t="s">
        <v>233</v>
      </c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</row>
    <row r="44" spans="2:22" x14ac:dyDescent="0.3">
      <c r="B44" s="190" t="s">
        <v>20</v>
      </c>
      <c r="C44" s="190"/>
      <c r="D44" s="190"/>
      <c r="E44" s="191">
        <v>2023</v>
      </c>
      <c r="F44" s="191">
        <v>2024</v>
      </c>
      <c r="G44" s="191">
        <v>2025</v>
      </c>
      <c r="H44" s="191">
        <v>2026</v>
      </c>
      <c r="I44" s="191">
        <v>2027</v>
      </c>
      <c r="J44" s="190"/>
      <c r="K44" s="190" t="s">
        <v>25</v>
      </c>
      <c r="L44" s="190" t="s">
        <v>26</v>
      </c>
      <c r="M44" s="190" t="s">
        <v>27</v>
      </c>
      <c r="N44" s="190" t="s">
        <v>28</v>
      </c>
      <c r="O44" s="190" t="s">
        <v>29</v>
      </c>
      <c r="P44" s="190" t="s">
        <v>30</v>
      </c>
      <c r="Q44" s="190" t="s">
        <v>31</v>
      </c>
      <c r="R44" s="190" t="s">
        <v>32</v>
      </c>
      <c r="S44" s="190" t="s">
        <v>33</v>
      </c>
      <c r="T44" s="190" t="s">
        <v>34</v>
      </c>
      <c r="U44" s="190" t="s">
        <v>35</v>
      </c>
      <c r="V44" s="190" t="s">
        <v>36</v>
      </c>
    </row>
    <row r="45" spans="2:22" x14ac:dyDescent="0.3">
      <c r="B45" s="14" t="s">
        <v>2</v>
      </c>
      <c r="C45" s="14"/>
      <c r="D45" s="14"/>
      <c r="E45" s="192">
        <f>'Statements Summary 2023'!V44</f>
        <v>25770</v>
      </c>
      <c r="F45" s="192">
        <f>'Statements Summary 2024'!V45</f>
        <v>27986</v>
      </c>
      <c r="G45" s="192">
        <f>'Statements Summary 2025'!V45</f>
        <v>25770</v>
      </c>
      <c r="H45" s="192">
        <f t="shared" ref="H45:H65" si="1">V45</f>
        <v>25770</v>
      </c>
      <c r="I45" s="192">
        <f>'Statements Summary 2027'!V45</f>
        <v>25770</v>
      </c>
      <c r="K45" s="192">
        <f>'IS 2026'!F24</f>
        <v>26873</v>
      </c>
      <c r="L45" s="192">
        <f>'IS 2026'!G24</f>
        <v>27584</v>
      </c>
      <c r="M45" s="192">
        <f>'IS 2026'!H24</f>
        <v>28797</v>
      </c>
      <c r="N45" s="192">
        <f>'IS 2026'!I24</f>
        <v>29336</v>
      </c>
      <c r="O45" s="192">
        <f>'IS 2026'!J24</f>
        <v>32299</v>
      </c>
      <c r="P45" s="192">
        <f>'IS 2026'!K24</f>
        <v>33783</v>
      </c>
      <c r="Q45" s="192">
        <f>'IS 2026'!L24</f>
        <v>34421</v>
      </c>
      <c r="R45" s="192">
        <f>'IS 2026'!M24</f>
        <v>34685</v>
      </c>
      <c r="S45" s="192">
        <f>'IS 2026'!N24</f>
        <v>30698</v>
      </c>
      <c r="T45" s="192">
        <f>'IS 2026'!O24</f>
        <v>27910</v>
      </c>
      <c r="U45" s="192">
        <f>'IS 2026'!P24</f>
        <v>28461</v>
      </c>
      <c r="V45" s="192">
        <f>'IS 2026'!Q24</f>
        <v>25770</v>
      </c>
    </row>
    <row r="46" spans="2:22" x14ac:dyDescent="0.3">
      <c r="B46" t="s">
        <v>21</v>
      </c>
      <c r="E46" s="1">
        <f>'Statements Summary 2023'!V45</f>
        <v>-4.8585985379901053E-2</v>
      </c>
      <c r="F46" s="2">
        <f>'Statements Summary 2024'!V46</f>
        <v>-5.8946164968559804E-2</v>
      </c>
      <c r="G46" s="2">
        <f>'Statements Summary 2025'!V46</f>
        <v>-9.4550437440708332E-2</v>
      </c>
      <c r="H46" s="2">
        <f t="shared" si="1"/>
        <v>-9.4550437440708332E-2</v>
      </c>
      <c r="I46" s="2">
        <f>'Statements Summary 2027'!V46</f>
        <v>-9.4550437440708332E-2</v>
      </c>
      <c r="K46" s="2"/>
      <c r="L46" s="2">
        <f t="shared" ref="L46" si="2">(L45-K45)/K45</f>
        <v>2.645778290477431E-2</v>
      </c>
      <c r="M46" s="2">
        <f>(M45-L45)/L45</f>
        <v>4.3974767981438512E-2</v>
      </c>
      <c r="N46" s="2">
        <f>(N45-M45)/M45</f>
        <v>1.8717227488974544E-2</v>
      </c>
      <c r="O46" s="2">
        <f t="shared" ref="O46:T46" si="3">(O45-N45)/N45</f>
        <v>0.10100218161985274</v>
      </c>
      <c r="P46" s="2">
        <f t="shared" si="3"/>
        <v>4.5945694913155206E-2</v>
      </c>
      <c r="Q46" s="2">
        <f t="shared" si="3"/>
        <v>1.8885238137524792E-2</v>
      </c>
      <c r="R46" s="2">
        <f t="shared" si="3"/>
        <v>7.6697364980680399E-3</v>
      </c>
      <c r="S46" s="2">
        <f t="shared" si="3"/>
        <v>-0.11494882514055067</v>
      </c>
      <c r="T46" s="2">
        <f t="shared" si="3"/>
        <v>-9.0820248876148285E-2</v>
      </c>
      <c r="U46" s="2">
        <f>(U45-T45)/T45</f>
        <v>1.9742027946972412E-2</v>
      </c>
      <c r="V46" s="2">
        <f t="shared" ref="V46" si="4">(V45-U45)/U45</f>
        <v>-9.4550437440708332E-2</v>
      </c>
    </row>
    <row r="47" spans="2:22" x14ac:dyDescent="0.3">
      <c r="B47" t="s">
        <v>3</v>
      </c>
      <c r="E47" s="1">
        <f>'Statements Summary 2023'!V46</f>
        <v>-2045</v>
      </c>
      <c r="F47" s="1">
        <f>'Statements Summary 2024'!V47</f>
        <v>-2045</v>
      </c>
      <c r="G47" s="1">
        <f>'Statements Summary 2025'!V47</f>
        <v>-2045</v>
      </c>
      <c r="H47" s="1">
        <f t="shared" si="1"/>
        <v>-2045</v>
      </c>
      <c r="I47" s="1">
        <f>'Statements Summary 2027'!V47</f>
        <v>-2045</v>
      </c>
      <c r="K47" s="1">
        <f>'IS 2026'!F25</f>
        <v>-2045</v>
      </c>
      <c r="L47" s="1">
        <f>'IS 2026'!G25</f>
        <v>-2045</v>
      </c>
      <c r="M47" s="1">
        <f>'IS 2026'!H25</f>
        <v>-2045</v>
      </c>
      <c r="N47" s="1">
        <f>'IS 2026'!I25</f>
        <v>-2045</v>
      </c>
      <c r="O47" s="1">
        <f>'IS 2026'!J25</f>
        <v>-2045</v>
      </c>
      <c r="P47" s="1">
        <f>'IS 2026'!K25</f>
        <v>-2045</v>
      </c>
      <c r="Q47" s="1">
        <f>'IS 2026'!L25</f>
        <v>-2045</v>
      </c>
      <c r="R47" s="1">
        <f>'IS 2026'!M25</f>
        <v>-2045</v>
      </c>
      <c r="S47" s="1">
        <f>'IS 2026'!N25</f>
        <v>-2045</v>
      </c>
      <c r="T47" s="1">
        <f>'IS 2026'!O25</f>
        <v>-2045</v>
      </c>
      <c r="U47" s="1">
        <f>'IS 2026'!P25</f>
        <v>-2045</v>
      </c>
      <c r="V47" s="1">
        <f>'IS 2026'!Q25</f>
        <v>-2045</v>
      </c>
    </row>
    <row r="48" spans="2:22" x14ac:dyDescent="0.3">
      <c r="B48" t="s">
        <v>22</v>
      </c>
      <c r="E48" s="2">
        <f>'Statements Summary 2023'!V47</f>
        <v>-7.9355840124175403E-2</v>
      </c>
      <c r="F48" s="2">
        <f>'Statements Summary 2024'!V48</f>
        <v>-7.3072250410919748E-2</v>
      </c>
      <c r="G48" s="2">
        <f>'Statements Summary 2025'!V48</f>
        <v>-7.9355840124175403E-2</v>
      </c>
      <c r="H48" s="2">
        <f t="shared" si="1"/>
        <v>-7.9355840124175403E-2</v>
      </c>
      <c r="I48" s="2">
        <f>'Statements Summary 2027'!V48</f>
        <v>-7.9355840124175403E-2</v>
      </c>
      <c r="K48" s="2">
        <f>K47/K45</f>
        <v>-7.6098686413872657E-2</v>
      </c>
      <c r="L48" s="2">
        <f t="shared" ref="L48:V48" si="5">L47/L45</f>
        <v>-7.4137180974477954E-2</v>
      </c>
      <c r="M48" s="2">
        <f t="shared" si="5"/>
        <v>-7.1014341771712328E-2</v>
      </c>
      <c r="N48" s="2">
        <f t="shared" si="5"/>
        <v>-6.97095718571039E-2</v>
      </c>
      <c r="O48" s="2">
        <f t="shared" si="5"/>
        <v>-6.3314653704449053E-2</v>
      </c>
      <c r="P48" s="2">
        <f t="shared" si="5"/>
        <v>-6.0533404374981496E-2</v>
      </c>
      <c r="Q48" s="2">
        <f t="shared" si="5"/>
        <v>-5.941140582783766E-2</v>
      </c>
      <c r="R48" s="2">
        <f t="shared" si="5"/>
        <v>-5.8959204266974194E-2</v>
      </c>
      <c r="S48" s="2">
        <f t="shared" si="5"/>
        <v>-6.6616717701478922E-2</v>
      </c>
      <c r="T48" s="2">
        <f t="shared" si="5"/>
        <v>-7.3271228950197068E-2</v>
      </c>
      <c r="U48" s="2">
        <f t="shared" si="5"/>
        <v>-7.1852710726959701E-2</v>
      </c>
      <c r="V48" s="2">
        <f t="shared" si="5"/>
        <v>-7.9355840124175403E-2</v>
      </c>
    </row>
    <row r="49" spans="2:22" x14ac:dyDescent="0.3">
      <c r="B49" t="s">
        <v>4</v>
      </c>
      <c r="E49" s="1">
        <f>'Statements Summary 2023'!V48</f>
        <v>23725</v>
      </c>
      <c r="F49" s="1">
        <f>'Statements Summary 2024'!V49</f>
        <v>25941</v>
      </c>
      <c r="G49" s="1">
        <f>'Statements Summary 2025'!V49</f>
        <v>23725</v>
      </c>
      <c r="H49" s="1">
        <f t="shared" si="1"/>
        <v>23725</v>
      </c>
      <c r="I49" s="1">
        <f>'Statements Summary 2027'!V49</f>
        <v>23725</v>
      </c>
      <c r="K49" s="1">
        <f>'IS 2026'!F33</f>
        <v>24828</v>
      </c>
      <c r="L49" s="1">
        <f>'IS 2026'!G33</f>
        <v>25539</v>
      </c>
      <c r="M49" s="1">
        <f>'IS 2026'!H33</f>
        <v>26752</v>
      </c>
      <c r="N49" s="1">
        <f>'IS 2026'!I33</f>
        <v>27291</v>
      </c>
      <c r="O49" s="1">
        <f>'IS 2026'!J33</f>
        <v>30254</v>
      </c>
      <c r="P49" s="1">
        <f>'IS 2026'!K33</f>
        <v>31738</v>
      </c>
      <c r="Q49" s="1">
        <f>'IS 2026'!L33</f>
        <v>32376</v>
      </c>
      <c r="R49" s="1">
        <f>'IS 2026'!M33</f>
        <v>32640</v>
      </c>
      <c r="S49" s="1">
        <f>'IS 2026'!N33</f>
        <v>28653</v>
      </c>
      <c r="T49" s="1">
        <f>'IS 2026'!O33</f>
        <v>25865</v>
      </c>
      <c r="U49" s="1">
        <f>'IS 2026'!P33</f>
        <v>26416</v>
      </c>
      <c r="V49" s="1">
        <f>'IS 2026'!Q33</f>
        <v>23725</v>
      </c>
    </row>
    <row r="50" spans="2:22" x14ac:dyDescent="0.3">
      <c r="B50" t="s">
        <v>23</v>
      </c>
      <c r="E50" s="2">
        <f>'Statements Summary 2023'!V49</f>
        <v>0.9206441598758246</v>
      </c>
      <c r="F50" s="2">
        <f>'Statements Summary 2024'!V50</f>
        <v>0.92692774958908031</v>
      </c>
      <c r="G50" s="2">
        <f>'Statements Summary 2025'!V50</f>
        <v>0.9206441598758246</v>
      </c>
      <c r="H50" s="2">
        <f t="shared" si="1"/>
        <v>0.9206441598758246</v>
      </c>
      <c r="I50" s="2">
        <f>'Statements Summary 2027'!V50</f>
        <v>0.9206441598758246</v>
      </c>
      <c r="K50" s="2">
        <f>K49/K45</f>
        <v>0.92390131358612737</v>
      </c>
      <c r="L50" s="2">
        <f t="shared" ref="L50:V50" si="6">L49/L45</f>
        <v>0.92586281902552203</v>
      </c>
      <c r="M50" s="2">
        <f t="shared" si="6"/>
        <v>0.92898565822828771</v>
      </c>
      <c r="N50" s="2">
        <f t="shared" si="6"/>
        <v>0.93029042814289609</v>
      </c>
      <c r="O50" s="2">
        <f t="shared" si="6"/>
        <v>0.93668534629555089</v>
      </c>
      <c r="P50" s="2">
        <f t="shared" si="6"/>
        <v>0.93946659562501855</v>
      </c>
      <c r="Q50" s="2">
        <f t="shared" si="6"/>
        <v>0.94058859417216234</v>
      </c>
      <c r="R50" s="2">
        <f t="shared" si="6"/>
        <v>0.94104079573302579</v>
      </c>
      <c r="S50" s="2">
        <f t="shared" si="6"/>
        <v>0.93338328229852108</v>
      </c>
      <c r="T50" s="2">
        <f t="shared" si="6"/>
        <v>0.92672877104980289</v>
      </c>
      <c r="U50" s="2">
        <f t="shared" si="6"/>
        <v>0.92814728927304035</v>
      </c>
      <c r="V50" s="2">
        <f t="shared" si="6"/>
        <v>0.9206441598758246</v>
      </c>
    </row>
    <row r="51" spans="2:22" x14ac:dyDescent="0.3">
      <c r="B51" t="s">
        <v>5</v>
      </c>
      <c r="E51" s="1">
        <f>'Statements Summary 2023'!V50</f>
        <v>-3031</v>
      </c>
      <c r="F51" s="1">
        <f>'Statements Summary 2024'!V51</f>
        <v>-3031</v>
      </c>
      <c r="G51" s="1">
        <f>'Statements Summary 2025'!V51</f>
        <v>-3031</v>
      </c>
      <c r="H51" s="1">
        <f t="shared" si="1"/>
        <v>-3031</v>
      </c>
      <c r="I51" s="1">
        <f>'Statements Summary 2027'!V51</f>
        <v>-3031</v>
      </c>
      <c r="K51" s="1">
        <f>'IS 2026'!F44</f>
        <v>-3031</v>
      </c>
      <c r="L51" s="1">
        <f>'IS 2026'!G44</f>
        <v>-3031</v>
      </c>
      <c r="M51" s="1">
        <f>'IS 2026'!H44</f>
        <v>-3031</v>
      </c>
      <c r="N51" s="1">
        <f>'IS 2026'!I44</f>
        <v>-3031</v>
      </c>
      <c r="O51" s="1">
        <f>'IS 2026'!J44</f>
        <v>-3031</v>
      </c>
      <c r="P51" s="1">
        <f>'IS 2026'!K44</f>
        <v>-3031</v>
      </c>
      <c r="Q51" s="1">
        <f>'IS 2026'!L44</f>
        <v>-3031</v>
      </c>
      <c r="R51" s="1">
        <f>'IS 2026'!M44</f>
        <v>-3031</v>
      </c>
      <c r="S51" s="1">
        <f>'IS 2026'!N44</f>
        <v>-3031</v>
      </c>
      <c r="T51" s="1">
        <f>'IS 2026'!O44</f>
        <v>-3031</v>
      </c>
      <c r="U51" s="1">
        <f>'IS 2026'!P44</f>
        <v>-3031</v>
      </c>
      <c r="V51" s="1">
        <f>'IS 2026'!Q44</f>
        <v>-3031</v>
      </c>
    </row>
    <row r="52" spans="2:22" x14ac:dyDescent="0.3">
      <c r="B52" t="s">
        <v>22</v>
      </c>
      <c r="E52" s="2">
        <f>'Statements Summary 2023'!V51</f>
        <v>-0.11761738455568491</v>
      </c>
      <c r="F52" s="2">
        <f>'Statements Summary 2024'!V52</f>
        <v>-0.10830415207603802</v>
      </c>
      <c r="G52" s="2">
        <f>'Statements Summary 2025'!V52</f>
        <v>-0.11761738455568491</v>
      </c>
      <c r="H52" s="2">
        <f t="shared" si="1"/>
        <v>-0.11761738455568491</v>
      </c>
      <c r="I52" s="2">
        <f>'Statements Summary 2027'!V52</f>
        <v>-0.11761738455568491</v>
      </c>
      <c r="K52" s="2">
        <f>K51/K45</f>
        <v>-0.11278978900755406</v>
      </c>
      <c r="L52" s="2">
        <f t="shared" ref="L52:V52" si="7">L51/L45</f>
        <v>-0.10988254060324826</v>
      </c>
      <c r="M52" s="2">
        <f t="shared" si="7"/>
        <v>-0.1052540195159218</v>
      </c>
      <c r="N52" s="2">
        <f t="shared" si="7"/>
        <v>-0.10332015271338969</v>
      </c>
      <c r="O52" s="2">
        <f t="shared" si="7"/>
        <v>-9.3841914610359456E-2</v>
      </c>
      <c r="P52" s="2">
        <f t="shared" si="7"/>
        <v>-8.971968149661072E-2</v>
      </c>
      <c r="Q52" s="2">
        <f t="shared" si="7"/>
        <v>-8.8056709566834201E-2</v>
      </c>
      <c r="R52" s="2">
        <f t="shared" si="7"/>
        <v>-8.7386478304742679E-2</v>
      </c>
      <c r="S52" s="2">
        <f t="shared" si="7"/>
        <v>-9.8736074011336245E-2</v>
      </c>
      <c r="T52" s="2">
        <f t="shared" si="7"/>
        <v>-0.10859906843425296</v>
      </c>
      <c r="U52" s="2">
        <f t="shared" si="7"/>
        <v>-0.10649660939531289</v>
      </c>
      <c r="V52" s="2">
        <f t="shared" si="7"/>
        <v>-0.11761738455568491</v>
      </c>
    </row>
    <row r="53" spans="2:22" x14ac:dyDescent="0.3">
      <c r="B53" t="s">
        <v>193</v>
      </c>
      <c r="E53" s="1">
        <f>'Statements Summary 2023'!V52</f>
        <v>-3000</v>
      </c>
      <c r="F53" s="1">
        <f>'Statements Summary 2024'!V53</f>
        <v>-3000</v>
      </c>
      <c r="G53" s="1">
        <f>'Statements Summary 2025'!V53</f>
        <v>-3000</v>
      </c>
      <c r="H53" s="1">
        <f t="shared" si="1"/>
        <v>-3000</v>
      </c>
      <c r="I53" s="1">
        <f>'Statements Summary 2027'!V53</f>
        <v>-3000</v>
      </c>
      <c r="K53" s="1">
        <f>'IS 2026'!F45</f>
        <v>-3000</v>
      </c>
      <c r="L53" s="1">
        <f>'IS 2026'!G45</f>
        <v>-3000</v>
      </c>
      <c r="M53" s="1">
        <f>'IS 2026'!H45</f>
        <v>-3000</v>
      </c>
      <c r="N53" s="1">
        <f>'IS 2026'!I45</f>
        <v>-3000</v>
      </c>
      <c r="O53" s="1">
        <f>'IS 2026'!J45</f>
        <v>-3000</v>
      </c>
      <c r="P53" s="1">
        <f>'IS 2026'!K45</f>
        <v>-3000</v>
      </c>
      <c r="Q53" s="1">
        <f>'IS 2026'!L45</f>
        <v>-3000</v>
      </c>
      <c r="R53" s="1">
        <f>'IS 2026'!M45</f>
        <v>-3000</v>
      </c>
      <c r="S53" s="1">
        <f>'IS 2026'!N45</f>
        <v>-3000</v>
      </c>
      <c r="T53" s="1">
        <f>'IS 2026'!O45</f>
        <v>-3000</v>
      </c>
      <c r="U53" s="1">
        <f>'IS 2026'!P45</f>
        <v>-3000</v>
      </c>
      <c r="V53" s="1">
        <f>'IS 2026'!Q45</f>
        <v>-3000</v>
      </c>
    </row>
    <row r="54" spans="2:22" x14ac:dyDescent="0.3">
      <c r="B54" t="s">
        <v>22</v>
      </c>
      <c r="E54" s="2">
        <f>'Statements Summary 2023'!V53</f>
        <v>-0.11641443538998836</v>
      </c>
      <c r="F54" s="2">
        <f>'Statements Summary 2024'!V54</f>
        <v>-0.10719645537054241</v>
      </c>
      <c r="G54" s="2">
        <f>'Statements Summary 2025'!V54</f>
        <v>-0.11641443538998836</v>
      </c>
      <c r="H54" s="2">
        <f t="shared" si="1"/>
        <v>-0.11641443538998836</v>
      </c>
      <c r="I54" s="2">
        <f>'Statements Summary 2027'!V54</f>
        <v>-0.11641443538998836</v>
      </c>
      <c r="K54" s="2">
        <f>K53/K45</f>
        <v>-0.11163621478807725</v>
      </c>
      <c r="L54" s="2">
        <f t="shared" ref="L54:V54" si="8">L53/L45</f>
        <v>-0.10875870069605569</v>
      </c>
      <c r="M54" s="2">
        <f t="shared" si="8"/>
        <v>-0.10417751849150954</v>
      </c>
      <c r="N54" s="2">
        <f t="shared" si="8"/>
        <v>-0.10226343059721843</v>
      </c>
      <c r="O54" s="2">
        <f t="shared" si="8"/>
        <v>-9.288213257376389E-2</v>
      </c>
      <c r="P54" s="2">
        <f t="shared" si="8"/>
        <v>-8.8802060207796824E-2</v>
      </c>
      <c r="Q54" s="2">
        <f t="shared" si="8"/>
        <v>-8.7156096568954997E-2</v>
      </c>
      <c r="R54" s="2">
        <f t="shared" si="8"/>
        <v>-8.6492720196050171E-2</v>
      </c>
      <c r="S54" s="2">
        <f t="shared" si="8"/>
        <v>-9.7726236236888392E-2</v>
      </c>
      <c r="T54" s="2">
        <f t="shared" si="8"/>
        <v>-0.10748835542816194</v>
      </c>
      <c r="U54" s="2">
        <f t="shared" si="8"/>
        <v>-0.10540739959945188</v>
      </c>
      <c r="V54" s="2">
        <f t="shared" si="8"/>
        <v>-0.11641443538998836</v>
      </c>
    </row>
    <row r="55" spans="2:22" x14ac:dyDescent="0.3">
      <c r="B55" t="s">
        <v>24</v>
      </c>
      <c r="E55" s="1">
        <f>'Statements Summary 2023'!V54</f>
        <v>-3050</v>
      </c>
      <c r="F55" s="1">
        <f>'Statements Summary 2024'!V55</f>
        <v>-3050</v>
      </c>
      <c r="G55" s="1">
        <f>'Statements Summary 2025'!V55</f>
        <v>-3050</v>
      </c>
      <c r="H55" s="1">
        <f t="shared" si="1"/>
        <v>-3050</v>
      </c>
      <c r="I55" s="1">
        <f>'Statements Summary 2027'!V55</f>
        <v>-3050</v>
      </c>
      <c r="K55" s="1">
        <f>'IS 2026'!F63</f>
        <v>-3050</v>
      </c>
      <c r="L55" s="1">
        <f>'IS 2026'!G63</f>
        <v>-3050</v>
      </c>
      <c r="M55" s="1">
        <f>'IS 2026'!H63</f>
        <v>-3050</v>
      </c>
      <c r="N55" s="1">
        <f>'IS 2026'!I63</f>
        <v>-3050</v>
      </c>
      <c r="O55" s="1">
        <f>'IS 2026'!J63</f>
        <v>-3050</v>
      </c>
      <c r="P55" s="1">
        <f>'IS 2026'!K63</f>
        <v>-3050</v>
      </c>
      <c r="Q55" s="1">
        <f>'IS 2026'!L63</f>
        <v>-3050</v>
      </c>
      <c r="R55" s="1">
        <f>'IS 2026'!M63</f>
        <v>-3050</v>
      </c>
      <c r="S55" s="1">
        <f>'IS 2026'!N63</f>
        <v>-3050</v>
      </c>
      <c r="T55" s="1">
        <f>'IS 2026'!O63</f>
        <v>-3050</v>
      </c>
      <c r="U55" s="1">
        <f>'IS 2026'!P63</f>
        <v>-3050</v>
      </c>
      <c r="V55" s="1">
        <f>'IS 2026'!Q63</f>
        <v>-3050</v>
      </c>
    </row>
    <row r="56" spans="2:22" x14ac:dyDescent="0.3">
      <c r="B56" t="s">
        <v>22</v>
      </c>
      <c r="E56" s="2">
        <f>'Statements Summary 2023'!V55</f>
        <v>-0.11835467597982149</v>
      </c>
      <c r="F56" s="2">
        <f>'Statements Summary 2024'!V56</f>
        <v>-0.10898306296005146</v>
      </c>
      <c r="G56" s="2">
        <f>'Statements Summary 2025'!V56</f>
        <v>-0.11835467597982149</v>
      </c>
      <c r="H56" s="2">
        <f t="shared" si="1"/>
        <v>-0.11835467597982149</v>
      </c>
      <c r="I56" s="2">
        <f>'Statements Summary 2027'!V56</f>
        <v>-0.11835467597982149</v>
      </c>
      <c r="K56" s="2">
        <f>K55/K45</f>
        <v>-0.11349681836787855</v>
      </c>
      <c r="L56" s="2">
        <f t="shared" ref="L56:V56" si="9">L55/L45</f>
        <v>-0.11057134570765662</v>
      </c>
      <c r="M56" s="2">
        <f t="shared" si="9"/>
        <v>-0.10591381046636802</v>
      </c>
      <c r="N56" s="2">
        <f t="shared" si="9"/>
        <v>-0.10396782110717208</v>
      </c>
      <c r="O56" s="2">
        <f t="shared" si="9"/>
        <v>-9.4430168116659954E-2</v>
      </c>
      <c r="P56" s="2">
        <f t="shared" si="9"/>
        <v>-9.0282094544593433E-2</v>
      </c>
      <c r="Q56" s="2">
        <f t="shared" si="9"/>
        <v>-8.8608698178437584E-2</v>
      </c>
      <c r="R56" s="2">
        <f t="shared" si="9"/>
        <v>-8.7934265532651004E-2</v>
      </c>
      <c r="S56" s="2">
        <f t="shared" si="9"/>
        <v>-9.9355006840836535E-2</v>
      </c>
      <c r="T56" s="2">
        <f t="shared" si="9"/>
        <v>-0.10927982801863131</v>
      </c>
      <c r="U56" s="2">
        <f t="shared" si="9"/>
        <v>-0.10716418959277609</v>
      </c>
      <c r="V56" s="2">
        <f t="shared" si="9"/>
        <v>-0.11835467597982149</v>
      </c>
    </row>
    <row r="57" spans="2:22" x14ac:dyDescent="0.3">
      <c r="B57" s="14" t="s">
        <v>6</v>
      </c>
      <c r="C57" s="14"/>
      <c r="D57" s="14"/>
      <c r="E57" s="192">
        <f>'Statements Summary 2023'!V56</f>
        <v>17644</v>
      </c>
      <c r="F57" s="192">
        <f>'Statements Summary 2024'!V57</f>
        <v>19860</v>
      </c>
      <c r="G57" s="192">
        <f>'Statements Summary 2025'!V57</f>
        <v>17644</v>
      </c>
      <c r="H57" s="192">
        <f t="shared" si="1"/>
        <v>17644</v>
      </c>
      <c r="I57" s="192">
        <f>'Statements Summary 2027'!V57</f>
        <v>17644</v>
      </c>
      <c r="K57" s="192">
        <f>'IS 2026'!F64</f>
        <v>18747</v>
      </c>
      <c r="L57" s="192">
        <f>'IS 2026'!G64</f>
        <v>19458</v>
      </c>
      <c r="M57" s="192">
        <f>'IS 2026'!H64</f>
        <v>20671</v>
      </c>
      <c r="N57" s="192">
        <f>'IS 2026'!I64</f>
        <v>21210</v>
      </c>
      <c r="O57" s="192">
        <f>'IS 2026'!J64</f>
        <v>24173</v>
      </c>
      <c r="P57" s="192">
        <f>'IS 2026'!K64</f>
        <v>25657</v>
      </c>
      <c r="Q57" s="192">
        <f>'IS 2026'!L64</f>
        <v>26295</v>
      </c>
      <c r="R57" s="192">
        <f>'IS 2026'!M64</f>
        <v>26559</v>
      </c>
      <c r="S57" s="192">
        <f>'IS 2026'!N64</f>
        <v>22572</v>
      </c>
      <c r="T57" s="192">
        <f>'IS 2026'!O64</f>
        <v>19784</v>
      </c>
      <c r="U57" s="192">
        <f>'IS 2026'!P64</f>
        <v>20335</v>
      </c>
      <c r="V57" s="192">
        <f>'IS 2026'!Q64</f>
        <v>17644</v>
      </c>
    </row>
    <row r="58" spans="2:22" x14ac:dyDescent="0.3">
      <c r="B58" t="s">
        <v>15</v>
      </c>
      <c r="E58" s="2">
        <f>'Statements Summary 2023'!V57</f>
        <v>0.68467209934031825</v>
      </c>
      <c r="F58" s="2">
        <f>'Statements Summary 2024'!V58</f>
        <v>0.70964053455299081</v>
      </c>
      <c r="G58" s="2">
        <f>'Statements Summary 2025'!V58</f>
        <v>0.68467209934031825</v>
      </c>
      <c r="H58" s="2">
        <f t="shared" si="1"/>
        <v>0.68467209934031825</v>
      </c>
      <c r="I58" s="2">
        <f>'Statements Summary 2027'!V58</f>
        <v>0.68467209934031825</v>
      </c>
      <c r="K58" s="2">
        <f>K57/K45</f>
        <v>0.69761470621069477</v>
      </c>
      <c r="L58" s="2">
        <f t="shared" ref="L58:V58" si="10">L57/L45</f>
        <v>0.70540893271461713</v>
      </c>
      <c r="M58" s="2">
        <f t="shared" si="10"/>
        <v>0.71781782824599782</v>
      </c>
      <c r="N58" s="2">
        <f t="shared" si="10"/>
        <v>0.72300245432233434</v>
      </c>
      <c r="O58" s="2">
        <f t="shared" si="10"/>
        <v>0.74841326356853155</v>
      </c>
      <c r="P58" s="2">
        <f t="shared" si="10"/>
        <v>0.7594648195838144</v>
      </c>
      <c r="Q58" s="2">
        <f t="shared" si="10"/>
        <v>0.76392318642689061</v>
      </c>
      <c r="R58" s="2">
        <f t="shared" si="10"/>
        <v>0.76572005189563208</v>
      </c>
      <c r="S58" s="2">
        <f t="shared" si="10"/>
        <v>0.73529220144634833</v>
      </c>
      <c r="T58" s="2">
        <f t="shared" si="10"/>
        <v>0.70884987459691862</v>
      </c>
      <c r="U58" s="2">
        <f t="shared" si="10"/>
        <v>0.71448649028495137</v>
      </c>
      <c r="V58" s="2">
        <f t="shared" si="10"/>
        <v>0.68467209934031825</v>
      </c>
    </row>
    <row r="59" spans="2:22" x14ac:dyDescent="0.3">
      <c r="B59" t="s">
        <v>7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 t="shared" si="1"/>
        <v>-1756</v>
      </c>
      <c r="I59" s="1">
        <f>'Statements Summary 2027'!V59</f>
        <v>-1800</v>
      </c>
      <c r="K59">
        <f>'IS 2026'!F65</f>
        <v>-1911</v>
      </c>
      <c r="L59">
        <f>'IS 2026'!G65</f>
        <v>-1911</v>
      </c>
      <c r="M59">
        <f>'IS 2026'!H65</f>
        <v>-1911</v>
      </c>
      <c r="N59">
        <f>'IS 2026'!I65</f>
        <v>-1756</v>
      </c>
      <c r="O59">
        <f>'IS 2026'!J65</f>
        <v>-1756</v>
      </c>
      <c r="P59">
        <f>'IS 2026'!K65</f>
        <v>-1756</v>
      </c>
      <c r="Q59">
        <f>'IS 2026'!L65</f>
        <v>-1756</v>
      </c>
      <c r="R59">
        <f>'IS 2026'!M65</f>
        <v>-1756</v>
      </c>
      <c r="S59">
        <f>'IS 2026'!N65</f>
        <v>-1756</v>
      </c>
      <c r="T59">
        <f>'IS 2026'!O65</f>
        <v>-1756</v>
      </c>
      <c r="U59">
        <f>'IS 2026'!P65</f>
        <v>-1756</v>
      </c>
      <c r="V59">
        <f>'IS 2026'!Q65</f>
        <v>-1756</v>
      </c>
    </row>
    <row r="60" spans="2:22" x14ac:dyDescent="0.3">
      <c r="B60" t="s">
        <v>8</v>
      </c>
      <c r="E60" s="1">
        <f>'Statements Summary 2023'!V59</f>
        <v>15933</v>
      </c>
      <c r="F60" s="1">
        <f>'Statements Summary 2024'!V60</f>
        <v>18010</v>
      </c>
      <c r="G60" s="1">
        <f>'Statements Summary 2025'!V60</f>
        <v>19555</v>
      </c>
      <c r="H60" s="1">
        <f t="shared" si="1"/>
        <v>15888</v>
      </c>
      <c r="I60" s="1">
        <f>'Statements Summary 2027'!V60</f>
        <v>15844</v>
      </c>
      <c r="K60" s="1">
        <f>'IS 2026'!F66</f>
        <v>16836</v>
      </c>
      <c r="L60" s="1">
        <f>'IS 2026'!G66</f>
        <v>17547</v>
      </c>
      <c r="M60" s="1">
        <f>'IS 2026'!H66</f>
        <v>18760</v>
      </c>
      <c r="N60" s="1">
        <f>'IS 2026'!I66</f>
        <v>19454</v>
      </c>
      <c r="O60" s="1">
        <f>'IS 2026'!J66</f>
        <v>22417</v>
      </c>
      <c r="P60" s="1">
        <f>'IS 2026'!K66</f>
        <v>23901</v>
      </c>
      <c r="Q60" s="1">
        <f>'IS 2026'!L66</f>
        <v>24539</v>
      </c>
      <c r="R60" s="1">
        <f>'IS 2026'!M66</f>
        <v>24803</v>
      </c>
      <c r="S60" s="1">
        <f>'IS 2026'!N66</f>
        <v>20816</v>
      </c>
      <c r="T60" s="1">
        <f>'IS 2026'!O66</f>
        <v>18028</v>
      </c>
      <c r="U60" s="1">
        <f>'IS 2026'!P66</f>
        <v>18579</v>
      </c>
      <c r="V60" s="1">
        <f>'IS 2026'!Q66</f>
        <v>15888</v>
      </c>
    </row>
    <row r="61" spans="2:22" x14ac:dyDescent="0.3">
      <c r="B61" t="s">
        <v>9</v>
      </c>
      <c r="E61" s="1">
        <f>'Statements Summary 2023'!V60</f>
        <v>-9475</v>
      </c>
      <c r="F61" s="1">
        <f>'Statements Summary 2024'!V61</f>
        <v>-6175</v>
      </c>
      <c r="G61" s="1">
        <f>'Statements Summary 2025'!V61</f>
        <v>-2875</v>
      </c>
      <c r="H61" s="1">
        <f t="shared" si="1"/>
        <v>0</v>
      </c>
      <c r="I61" s="1">
        <f>'Statements Summary 2027'!V61</f>
        <v>0</v>
      </c>
      <c r="K61" s="1">
        <f>'IS 2026'!F67</f>
        <v>-2600</v>
      </c>
      <c r="L61" s="1">
        <f>'IS 2026'!G67</f>
        <v>-2325</v>
      </c>
      <c r="M61" s="1">
        <f>'IS 2026'!H67</f>
        <v>-2050</v>
      </c>
      <c r="N61" s="1">
        <f>'IS 2026'!I67</f>
        <v>-1775</v>
      </c>
      <c r="O61" s="1">
        <f>'IS 2026'!J67</f>
        <v>-1500</v>
      </c>
      <c r="P61" s="1">
        <f>'IS 2026'!K67</f>
        <v>-1225</v>
      </c>
      <c r="Q61" s="1">
        <f>'IS 2026'!L67</f>
        <v>-950</v>
      </c>
      <c r="R61" s="1">
        <f>'IS 2026'!M67</f>
        <v>-675</v>
      </c>
      <c r="S61" s="1">
        <f>'IS 2026'!N67</f>
        <v>-400</v>
      </c>
      <c r="T61" s="1">
        <f>'IS 2026'!O67</f>
        <v>0</v>
      </c>
      <c r="U61" s="1">
        <f>'IS 2026'!P67</f>
        <v>0</v>
      </c>
      <c r="V61" s="1">
        <f>'IS 2026'!Q67</f>
        <v>0</v>
      </c>
    </row>
    <row r="62" spans="2:22" x14ac:dyDescent="0.3">
      <c r="B62" t="s">
        <v>10</v>
      </c>
      <c r="E62" s="1">
        <f>'Statements Summary 2023'!V61</f>
        <v>17644</v>
      </c>
      <c r="F62" s="1">
        <f>'Statements Summary 2024'!V62</f>
        <v>19860</v>
      </c>
      <c r="G62" s="1">
        <f>'Statements Summary 2025'!V62</f>
        <v>17644</v>
      </c>
      <c r="H62" s="1">
        <f t="shared" si="1"/>
        <v>17644</v>
      </c>
      <c r="I62" s="1">
        <f>'Statements Summary 2027'!V62</f>
        <v>17644</v>
      </c>
      <c r="K62" s="1">
        <f>'IS 2026'!F68</f>
        <v>18747</v>
      </c>
      <c r="L62" s="1">
        <f>'IS 2026'!G68</f>
        <v>19458</v>
      </c>
      <c r="M62" s="1">
        <f>'IS 2026'!H68</f>
        <v>20671</v>
      </c>
      <c r="N62" s="1">
        <f>'IS 2026'!I68</f>
        <v>21210</v>
      </c>
      <c r="O62" s="1">
        <f>'IS 2026'!J68</f>
        <v>24173</v>
      </c>
      <c r="P62" s="1">
        <f>'IS 2026'!K68</f>
        <v>25657</v>
      </c>
      <c r="Q62" s="1">
        <f>'IS 2026'!L68</f>
        <v>26295</v>
      </c>
      <c r="R62" s="1">
        <f>'IS 2026'!M68</f>
        <v>26559</v>
      </c>
      <c r="S62" s="1">
        <f>'IS 2026'!N68</f>
        <v>22572</v>
      </c>
      <c r="T62" s="1">
        <f>'IS 2026'!O68</f>
        <v>19784</v>
      </c>
      <c r="U62" s="1">
        <f>'IS 2026'!P68</f>
        <v>20335</v>
      </c>
      <c r="V62" s="1">
        <f>'IS 2026'!Q68</f>
        <v>17644</v>
      </c>
    </row>
    <row r="63" spans="2:22" x14ac:dyDescent="0.3">
      <c r="B63" t="s">
        <v>11</v>
      </c>
      <c r="E63" s="1">
        <f>'Statements Summary 2023'!V62</f>
        <v>-3186.6000000000004</v>
      </c>
      <c r="F63" s="1">
        <f>'Statements Summary 2024'!V63</f>
        <v>-3602</v>
      </c>
      <c r="G63" s="1">
        <f>'Statements Summary 2025'!V63</f>
        <v>-3910</v>
      </c>
      <c r="H63" s="1">
        <f t="shared" si="1"/>
        <v>-3177.6000000000004</v>
      </c>
      <c r="I63" s="1">
        <f>'Statements Summary 2027'!V63</f>
        <v>-3168.8</v>
      </c>
      <c r="K63" s="1">
        <f>'IS 2026'!F69</f>
        <v>-3367.2000000000003</v>
      </c>
      <c r="L63" s="1">
        <f>'IS 2026'!G69</f>
        <v>-3509.4</v>
      </c>
      <c r="M63" s="1">
        <f>'IS 2026'!H69</f>
        <v>-3752</v>
      </c>
      <c r="N63" s="1">
        <f>'IS 2026'!I69</f>
        <v>-3890.8</v>
      </c>
      <c r="O63" s="1">
        <f>'IS 2026'!J69</f>
        <v>-4483.4000000000005</v>
      </c>
      <c r="P63" s="1">
        <f>'IS 2026'!K69</f>
        <v>-4780.2</v>
      </c>
      <c r="Q63" s="1">
        <f>'IS 2026'!L69</f>
        <v>-4907.8</v>
      </c>
      <c r="R63" s="1">
        <f>'IS 2026'!M69</f>
        <v>-4960.6000000000004</v>
      </c>
      <c r="S63" s="1">
        <f>'IS 2026'!N69</f>
        <v>-4163.2</v>
      </c>
      <c r="T63" s="1">
        <f>'IS 2026'!O69</f>
        <v>-3605.6000000000004</v>
      </c>
      <c r="U63" s="1">
        <f>'IS 2026'!P69</f>
        <v>-3715.8</v>
      </c>
      <c r="V63" s="1">
        <f>'IS 2026'!Q69</f>
        <v>-3177.6000000000004</v>
      </c>
    </row>
    <row r="64" spans="2:22" x14ac:dyDescent="0.3">
      <c r="B64" s="14" t="s">
        <v>12</v>
      </c>
      <c r="C64" s="14"/>
      <c r="D64" s="14"/>
      <c r="E64" s="192">
        <f>'Statements Summary 2023'!V63</f>
        <v>14457.4</v>
      </c>
      <c r="F64" s="192">
        <f>'Statements Summary 2024'!V64</f>
        <v>16258</v>
      </c>
      <c r="G64" s="192">
        <f>'Statements Summary 2025'!V64</f>
        <v>13734</v>
      </c>
      <c r="H64" s="192">
        <f t="shared" si="1"/>
        <v>14466.4</v>
      </c>
      <c r="I64" s="192">
        <f>'Statements Summary 2027'!V64</f>
        <v>14475.2</v>
      </c>
      <c r="K64" s="192">
        <f>'IS 2026'!F70</f>
        <v>15379.8</v>
      </c>
      <c r="L64" s="192">
        <f>'IS 2026'!G70</f>
        <v>15948.6</v>
      </c>
      <c r="M64" s="192">
        <f>'IS 2026'!H70</f>
        <v>16919</v>
      </c>
      <c r="N64" s="192">
        <f>'IS 2026'!I70</f>
        <v>17319.2</v>
      </c>
      <c r="O64" s="192">
        <f>'IS 2026'!J70</f>
        <v>19689.599999999999</v>
      </c>
      <c r="P64" s="192">
        <f>'IS 2026'!K70</f>
        <v>20876.8</v>
      </c>
      <c r="Q64" s="192">
        <f>'IS 2026'!L70</f>
        <v>21387.200000000001</v>
      </c>
      <c r="R64" s="192">
        <f>'IS 2026'!M70</f>
        <v>21598.400000000001</v>
      </c>
      <c r="S64" s="192">
        <f>'IS 2026'!N70</f>
        <v>18408.8</v>
      </c>
      <c r="T64" s="192">
        <f>'IS 2026'!O70</f>
        <v>16178.4</v>
      </c>
      <c r="U64" s="192">
        <f>'IS 2026'!P70</f>
        <v>16619.2</v>
      </c>
      <c r="V64" s="192">
        <f>'IS 2026'!Q70</f>
        <v>14466.4</v>
      </c>
    </row>
    <row r="65" spans="2:22" x14ac:dyDescent="0.3">
      <c r="B65" t="s">
        <v>13</v>
      </c>
      <c r="E65" s="2">
        <f>'Statements Summary 2023'!V64</f>
        <v>0.56101668606907251</v>
      </c>
      <c r="F65" s="2">
        <f>'Statements Summary 2024'!V65</f>
        <v>0.58093332380475948</v>
      </c>
      <c r="G65" s="2">
        <f>'Statements Summary 2025'!V65</f>
        <v>0.53294528521536666</v>
      </c>
      <c r="H65" s="2">
        <f t="shared" si="1"/>
        <v>0.56136592937524254</v>
      </c>
      <c r="I65" s="2">
        <f>'Statements Summary 2027'!V65</f>
        <v>0.56170741171905314</v>
      </c>
      <c r="K65" s="2">
        <f>K64/K45</f>
        <v>0.57231421873255683</v>
      </c>
      <c r="L65" s="2">
        <f t="shared" ref="L65:V65" si="11">L64/L45</f>
        <v>0.5781830046403712</v>
      </c>
      <c r="M65" s="2">
        <f t="shared" si="11"/>
        <v>0.58752647845261663</v>
      </c>
      <c r="N65" s="2">
        <f t="shared" si="11"/>
        <v>0.59037360239978187</v>
      </c>
      <c r="O65" s="2">
        <f t="shared" si="11"/>
        <v>0.60960401250812712</v>
      </c>
      <c r="P65" s="2">
        <f t="shared" si="11"/>
        <v>0.61796761684871082</v>
      </c>
      <c r="Q65" s="2">
        <f t="shared" si="11"/>
        <v>0.62134162284651817</v>
      </c>
      <c r="R65" s="2">
        <f t="shared" si="11"/>
        <v>0.62270145596078996</v>
      </c>
      <c r="S65" s="2">
        <f t="shared" si="11"/>
        <v>0.59967424587921037</v>
      </c>
      <c r="T65" s="2">
        <f t="shared" si="11"/>
        <v>0.5796632031529918</v>
      </c>
      <c r="U65" s="2">
        <f t="shared" si="11"/>
        <v>0.58392888514107022</v>
      </c>
      <c r="V65" s="2">
        <f t="shared" si="11"/>
        <v>0.56136592937524254</v>
      </c>
    </row>
    <row r="67" spans="2:22" x14ac:dyDescent="0.3">
      <c r="B67" s="177" t="s">
        <v>225</v>
      </c>
      <c r="C67" s="151"/>
      <c r="D67" s="151"/>
      <c r="E67" s="151"/>
      <c r="F67" s="151"/>
      <c r="G67" s="151"/>
      <c r="H67" s="151"/>
      <c r="I67" s="151"/>
      <c r="K67" s="349" t="s">
        <v>233</v>
      </c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</row>
    <row r="85" spans="2:22" x14ac:dyDescent="0.3">
      <c r="B85" s="177" t="s">
        <v>226</v>
      </c>
      <c r="C85" s="177"/>
      <c r="D85" s="177"/>
      <c r="E85" s="177"/>
      <c r="F85" s="151"/>
      <c r="G85" s="151"/>
      <c r="H85" s="151"/>
      <c r="I85" s="151"/>
      <c r="J85" s="151"/>
      <c r="K85" s="349" t="s">
        <v>234</v>
      </c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</row>
    <row r="87" spans="2:22" x14ac:dyDescent="0.3">
      <c r="B87" s="190" t="s">
        <v>20</v>
      </c>
      <c r="C87" s="190"/>
      <c r="D87" s="190"/>
      <c r="E87" s="191">
        <v>2023</v>
      </c>
      <c r="F87" s="191">
        <v>2024</v>
      </c>
      <c r="G87" s="191">
        <v>2025</v>
      </c>
      <c r="H87" s="191">
        <v>2026</v>
      </c>
      <c r="I87" s="191">
        <v>2027</v>
      </c>
      <c r="J87" s="190"/>
      <c r="K87" s="191" t="s">
        <v>25</v>
      </c>
      <c r="L87" s="191" t="s">
        <v>26</v>
      </c>
      <c r="M87" s="191" t="s">
        <v>27</v>
      </c>
      <c r="N87" s="191" t="s">
        <v>28</v>
      </c>
      <c r="O87" s="191" t="s">
        <v>29</v>
      </c>
      <c r="P87" s="191" t="s">
        <v>30</v>
      </c>
      <c r="Q87" s="191" t="s">
        <v>31</v>
      </c>
      <c r="R87" s="191" t="s">
        <v>32</v>
      </c>
      <c r="S87" s="191" t="s">
        <v>33</v>
      </c>
      <c r="T87" s="191" t="s">
        <v>34</v>
      </c>
      <c r="U87" s="191" t="s">
        <v>35</v>
      </c>
      <c r="V87" s="191" t="s">
        <v>36</v>
      </c>
    </row>
    <row r="88" spans="2:22" x14ac:dyDescent="0.3">
      <c r="B88" t="s">
        <v>48</v>
      </c>
      <c r="E88" s="203">
        <f>'Statements Summary 2023'!V86</f>
        <v>132558.79999999999</v>
      </c>
      <c r="F88" s="203">
        <f>'Statements Summary 2024'!V88</f>
        <v>405541.71787996864</v>
      </c>
      <c r="G88" s="203">
        <f>'Statements Summary 2025'!V88</f>
        <v>711191.8304843161</v>
      </c>
      <c r="H88" s="203">
        <f t="shared" ref="H88:H99" si="12">V88</f>
        <v>1023265.343088664</v>
      </c>
      <c r="I88" s="203">
        <f>'Statements Summary 2027'!V88</f>
        <v>1399460.2556930115</v>
      </c>
      <c r="K88" s="203">
        <f>'BS 2026'!F14</f>
        <v>722389.23048431613</v>
      </c>
      <c r="L88" s="203">
        <f>'BS 2026'!G14</f>
        <v>744764.24706446403</v>
      </c>
      <c r="M88" s="203">
        <f>'BS 2026'!H14</f>
        <v>767697.66722165316</v>
      </c>
      <c r="N88" s="203">
        <f>'BS 2026'!I14</f>
        <v>791406.28519850574</v>
      </c>
      <c r="O88" s="203">
        <f>'BS 2026'!J14</f>
        <v>815619.32377539494</v>
      </c>
      <c r="P88" s="203">
        <f>'BS 2026'!K14</f>
        <v>840888.55336866283</v>
      </c>
      <c r="Q88" s="203">
        <f>'BS 2026'!L14</f>
        <v>867059.16886981262</v>
      </c>
      <c r="R88" s="203">
        <f>'BS 2026'!M14</f>
        <v>894133.99492792599</v>
      </c>
      <c r="S88" s="203">
        <f>'BS 2026'!N14</f>
        <v>923179.2211936675</v>
      </c>
      <c r="T88" s="203">
        <f>'BS 2026'!O14</f>
        <v>951805.06715609133</v>
      </c>
      <c r="U88" s="203">
        <f>'BS 2026'!P14</f>
        <v>989849.68654660787</v>
      </c>
      <c r="V88" s="203">
        <f>'BS 2026'!Q14</f>
        <v>1023265.343088664</v>
      </c>
    </row>
    <row r="89" spans="2:22" x14ac:dyDescent="0.3">
      <c r="B89" t="s">
        <v>49</v>
      </c>
      <c r="E89" s="203">
        <f>'Statements Summary 2023'!V87</f>
        <v>270532</v>
      </c>
      <c r="F89" s="203">
        <f>'Statements Summary 2024'!V89</f>
        <v>288332</v>
      </c>
      <c r="G89" s="203">
        <f>'Statements Summary 2025'!V89</f>
        <v>309481</v>
      </c>
      <c r="H89" s="203">
        <f t="shared" si="12"/>
        <v>331018</v>
      </c>
      <c r="I89" s="203">
        <f>'Statements Summary 2027'!V89</f>
        <v>352400</v>
      </c>
      <c r="K89" s="203">
        <f>'BS 2026'!F19</f>
        <v>311392</v>
      </c>
      <c r="L89" s="203">
        <f>'BS 2026'!G19</f>
        <v>313303</v>
      </c>
      <c r="M89" s="203">
        <f>'BS 2026'!H19</f>
        <v>315214</v>
      </c>
      <c r="N89" s="203">
        <f>'BS 2026'!I19</f>
        <v>316970</v>
      </c>
      <c r="O89" s="203">
        <f>'BS 2026'!J19</f>
        <v>318726</v>
      </c>
      <c r="P89" s="203">
        <f>'BS 2026'!K19</f>
        <v>320482</v>
      </c>
      <c r="Q89" s="203">
        <f>'BS 2026'!L19</f>
        <v>322238</v>
      </c>
      <c r="R89" s="203">
        <f>'BS 2026'!M19</f>
        <v>323994</v>
      </c>
      <c r="S89" s="203">
        <f>'BS 2026'!N19</f>
        <v>325750</v>
      </c>
      <c r="T89" s="203">
        <f>'BS 2026'!O19</f>
        <v>327506</v>
      </c>
      <c r="U89" s="203">
        <f>'BS 2026'!P19</f>
        <v>329262</v>
      </c>
      <c r="V89" s="203">
        <f>'BS 2026'!Q19</f>
        <v>331018</v>
      </c>
    </row>
    <row r="90" spans="2:22" x14ac:dyDescent="0.3">
      <c r="B90" t="s">
        <v>50</v>
      </c>
      <c r="E90" s="203">
        <f>'Statements Summary 2023'!V88</f>
        <v>403090.8</v>
      </c>
      <c r="F90" s="203">
        <f>'Statements Summary 2024'!V90</f>
        <v>693873.7178799687</v>
      </c>
      <c r="G90" s="203">
        <f>'Statements Summary 2025'!V90</f>
        <v>1020672.8304843161</v>
      </c>
      <c r="H90" s="203">
        <f t="shared" si="12"/>
        <v>1354283.3430886641</v>
      </c>
      <c r="I90" s="203">
        <f>'Statements Summary 2027'!V90</f>
        <v>1751860.2556930115</v>
      </c>
      <c r="K90" s="203">
        <f>'BS 2026'!F20</f>
        <v>1033781.2304843161</v>
      </c>
      <c r="L90" s="203">
        <f>'BS 2026'!G20</f>
        <v>1058067.247064464</v>
      </c>
      <c r="M90" s="203">
        <f>'BS 2026'!H20</f>
        <v>1082911.6672216533</v>
      </c>
      <c r="N90" s="203">
        <f>'BS 2026'!I20</f>
        <v>1108376.2851985057</v>
      </c>
      <c r="O90" s="203">
        <f>'BS 2026'!J20</f>
        <v>1134345.3237753948</v>
      </c>
      <c r="P90" s="203">
        <f>'BS 2026'!K20</f>
        <v>1161370.5533686629</v>
      </c>
      <c r="Q90" s="203">
        <f>'BS 2026'!L20</f>
        <v>1189297.1688698125</v>
      </c>
      <c r="R90" s="203">
        <f>'BS 2026'!M20</f>
        <v>1218127.994927926</v>
      </c>
      <c r="S90" s="203">
        <f>'BS 2026'!N20</f>
        <v>1248929.2211936675</v>
      </c>
      <c r="T90" s="203">
        <f>'BS 2026'!O20</f>
        <v>1279311.0671560913</v>
      </c>
      <c r="U90" s="203">
        <f>'BS 2026'!P20</f>
        <v>1319111.6865466079</v>
      </c>
      <c r="V90" s="203">
        <f>'BS 2026'!Q20</f>
        <v>1354283.3430886641</v>
      </c>
    </row>
    <row r="91" spans="2:22" x14ac:dyDescent="0.3">
      <c r="B91" t="s">
        <v>51</v>
      </c>
      <c r="E91" s="203">
        <f>'Statements Summary 2023'!V89</f>
        <v>-3186.6000000000004</v>
      </c>
      <c r="F91" s="203">
        <f>'Statements Summary 2024'!V91</f>
        <v>-3602</v>
      </c>
      <c r="G91" s="203">
        <f>'Statements Summary 2025'!V91</f>
        <v>-3910</v>
      </c>
      <c r="H91" s="203">
        <f t="shared" si="12"/>
        <v>-3177.6000000000004</v>
      </c>
      <c r="I91" s="203">
        <f>'Statements Summary 2027'!V91</f>
        <v>-3168.8</v>
      </c>
      <c r="K91" s="203">
        <f>'BS 2026'!F25</f>
        <v>-3367.2000000000003</v>
      </c>
      <c r="L91" s="203">
        <f>'BS 2026'!G25</f>
        <v>-3509.4</v>
      </c>
      <c r="M91" s="203">
        <f>'BS 2026'!H25</f>
        <v>-3752</v>
      </c>
      <c r="N91" s="203">
        <f>'BS 2026'!I25</f>
        <v>-3890.8</v>
      </c>
      <c r="O91" s="203">
        <f>'BS 2026'!J25</f>
        <v>-4483.4000000000005</v>
      </c>
      <c r="P91" s="203">
        <f>'BS 2026'!K25</f>
        <v>-4780.2</v>
      </c>
      <c r="Q91" s="203">
        <f>'BS 2026'!L25</f>
        <v>-4907.8</v>
      </c>
      <c r="R91" s="203">
        <f>'BS 2026'!M25</f>
        <v>-4960.6000000000004</v>
      </c>
      <c r="S91" s="203">
        <f>'BS 2026'!N25</f>
        <v>-4163.2</v>
      </c>
      <c r="T91" s="203">
        <f>'BS 2026'!O25</f>
        <v>-3605.6000000000004</v>
      </c>
      <c r="U91" s="203">
        <f>'BS 2026'!P25</f>
        <v>-3715.8</v>
      </c>
      <c r="V91" s="203">
        <f>'BS 2026'!Q25</f>
        <v>-3177.6000000000004</v>
      </c>
    </row>
    <row r="92" spans="2:22" x14ac:dyDescent="0.3">
      <c r="B92" t="s">
        <v>198</v>
      </c>
      <c r="E92" s="203">
        <f>'Statements Summary 2023'!V90</f>
        <v>-189500</v>
      </c>
      <c r="F92" s="203">
        <f>'Statements Summary 2024'!V92</f>
        <v>-123500</v>
      </c>
      <c r="G92" s="203">
        <f>'Statements Summary 2025'!V92</f>
        <v>-57500</v>
      </c>
      <c r="H92" s="203">
        <f t="shared" si="12"/>
        <v>0</v>
      </c>
      <c r="I92" s="203">
        <f>'Statements Summary 2027'!V92</f>
        <v>0</v>
      </c>
      <c r="K92" s="203">
        <f>'BS 2026'!F27</f>
        <v>-52000</v>
      </c>
      <c r="L92" s="203">
        <f>'BS 2026'!G27</f>
        <v>-46500</v>
      </c>
      <c r="M92" s="203">
        <f>'BS 2026'!H27</f>
        <v>-41000</v>
      </c>
      <c r="N92" s="203">
        <f>'BS 2026'!I27</f>
        <v>-35500</v>
      </c>
      <c r="O92" s="203">
        <f>'BS 2026'!J27</f>
        <v>-30000</v>
      </c>
      <c r="P92" s="203">
        <f>'BS 2026'!K27</f>
        <v>-24500</v>
      </c>
      <c r="Q92" s="203">
        <f>'BS 2026'!L27</f>
        <v>-19000</v>
      </c>
      <c r="R92" s="203">
        <f>'BS 2026'!M27</f>
        <v>-13500</v>
      </c>
      <c r="S92" s="203">
        <f>'BS 2026'!N27</f>
        <v>-8000</v>
      </c>
      <c r="T92" s="203">
        <f>'BS 2026'!O27</f>
        <v>0</v>
      </c>
      <c r="U92" s="203">
        <f>'BS 2026'!P27</f>
        <v>0</v>
      </c>
      <c r="V92" s="203">
        <f>'BS 2026'!Q27</f>
        <v>0</v>
      </c>
    </row>
    <row r="93" spans="2:22" x14ac:dyDescent="0.3">
      <c r="B93" t="s">
        <v>53</v>
      </c>
      <c r="E93" s="203">
        <f>'Statements Summary 2023'!V91</f>
        <v>-192686.6</v>
      </c>
      <c r="F93" s="203">
        <f>'Statements Summary 2024'!V93</f>
        <v>-127102</v>
      </c>
      <c r="G93" s="203">
        <f>'Statements Summary 2025'!V93</f>
        <v>-61410</v>
      </c>
      <c r="H93" s="203">
        <f t="shared" si="12"/>
        <v>-3177.6000000000004</v>
      </c>
      <c r="I93" s="203">
        <f>'Statements Summary 2027'!V93</f>
        <v>-3168.8</v>
      </c>
      <c r="K93" s="203">
        <f>'BS 2026'!F32</f>
        <v>-55367.199999999997</v>
      </c>
      <c r="L93" s="203">
        <f>'BS 2026'!G32</f>
        <v>-50009.4</v>
      </c>
      <c r="M93" s="203">
        <f>'BS 2026'!H32</f>
        <v>-44752</v>
      </c>
      <c r="N93" s="203">
        <f>'BS 2026'!I32</f>
        <v>-39390.800000000003</v>
      </c>
      <c r="O93" s="203">
        <f>'BS 2026'!J32</f>
        <v>-34483.4</v>
      </c>
      <c r="P93" s="203">
        <f>'BS 2026'!K32</f>
        <v>-29280.2</v>
      </c>
      <c r="Q93" s="203">
        <f>'BS 2026'!L32</f>
        <v>-23907.8</v>
      </c>
      <c r="R93" s="203">
        <f>'BS 2026'!M32</f>
        <v>-18460.599999999999</v>
      </c>
      <c r="S93" s="203">
        <f>'BS 2026'!N32</f>
        <v>-12163.2</v>
      </c>
      <c r="T93" s="203">
        <f>'BS 2026'!O32</f>
        <v>-3605.6000000000004</v>
      </c>
      <c r="U93" s="203">
        <f>'BS 2026'!P32</f>
        <v>-3715.8</v>
      </c>
      <c r="V93" s="203">
        <f>'BS 2026'!Q32</f>
        <v>-3177.6000000000004</v>
      </c>
    </row>
    <row r="94" spans="2:22" x14ac:dyDescent="0.3">
      <c r="B94" t="s">
        <v>54</v>
      </c>
      <c r="E94" s="203">
        <f>'Statements Summary 2023'!V92</f>
        <v>210404.19999999998</v>
      </c>
      <c r="F94" s="203">
        <f>'Statements Summary 2024'!V94</f>
        <v>566771.7178799687</v>
      </c>
      <c r="G94" s="203">
        <f>'Statements Summary 2025'!V94</f>
        <v>901762.8304843161</v>
      </c>
      <c r="H94" s="203">
        <f t="shared" si="12"/>
        <v>1351105.743088664</v>
      </c>
      <c r="I94" s="203">
        <f>'Statements Summary 2027'!V94</f>
        <v>1748691.4556930114</v>
      </c>
      <c r="K94" s="203">
        <f>'BS 2026'!F33</f>
        <v>978414.03048431617</v>
      </c>
      <c r="L94" s="203">
        <f>'BS 2026'!G33</f>
        <v>1008057.847064464</v>
      </c>
      <c r="M94" s="203">
        <f>'BS 2026'!H33</f>
        <v>1038159.6672216533</v>
      </c>
      <c r="N94" s="203">
        <f>'BS 2026'!I33</f>
        <v>1068985.4851985057</v>
      </c>
      <c r="O94" s="203">
        <f>'BS 2026'!J33</f>
        <v>1099861.9237753949</v>
      </c>
      <c r="P94" s="203">
        <f>'BS 2026'!K33</f>
        <v>1132090.353368663</v>
      </c>
      <c r="Q94" s="203">
        <f>'BS 2026'!L33</f>
        <v>1165389.3688698125</v>
      </c>
      <c r="R94" s="203">
        <f>'BS 2026'!M33</f>
        <v>1199667.3949279259</v>
      </c>
      <c r="S94" s="203">
        <f>'BS 2026'!N33</f>
        <v>1236766.0211936675</v>
      </c>
      <c r="T94" s="203">
        <f>'BS 2026'!O33</f>
        <v>1275705.4671560912</v>
      </c>
      <c r="U94" s="203">
        <f>'BS 2026'!P33</f>
        <v>1315395.8865466078</v>
      </c>
      <c r="V94" s="203">
        <f>'BS 2026'!Q33</f>
        <v>1351105.743088664</v>
      </c>
    </row>
    <row r="95" spans="2:22" x14ac:dyDescent="0.3">
      <c r="B95" t="s">
        <v>55</v>
      </c>
      <c r="E95" s="203">
        <f>'Statements Summary 2023'!V93</f>
        <v>132558.79999999999</v>
      </c>
      <c r="F95" s="203">
        <f>'Statements Summary 2024'!V95</f>
        <v>405541.71787996864</v>
      </c>
      <c r="G95" s="203">
        <f>'Statements Summary 2025'!V95</f>
        <v>711191.8304843161</v>
      </c>
      <c r="H95" s="203">
        <f t="shared" si="12"/>
        <v>1023265.343088664</v>
      </c>
      <c r="I95" s="203">
        <f>'Statements Summary 2027'!V95</f>
        <v>1399460.2556930115</v>
      </c>
      <c r="K95" s="203">
        <f>'BS 2026'!F14</f>
        <v>722389.23048431613</v>
      </c>
      <c r="L95" s="203">
        <f>'BS 2026'!G14</f>
        <v>744764.24706446403</v>
      </c>
      <c r="M95" s="203">
        <f>'BS 2026'!H14</f>
        <v>767697.66722165316</v>
      </c>
      <c r="N95" s="203">
        <f>'BS 2026'!I14</f>
        <v>791406.28519850574</v>
      </c>
      <c r="O95" s="203">
        <f>'BS 2026'!J14</f>
        <v>815619.32377539494</v>
      </c>
      <c r="P95" s="203">
        <f>'BS 2026'!K14</f>
        <v>840888.55336866283</v>
      </c>
      <c r="Q95" s="203">
        <f>'BS 2026'!L14</f>
        <v>867059.16886981262</v>
      </c>
      <c r="R95" s="203">
        <f>'BS 2026'!M14</f>
        <v>894133.99492792599</v>
      </c>
      <c r="S95" s="203">
        <f>'BS 2026'!N14</f>
        <v>923179.2211936675</v>
      </c>
      <c r="T95" s="203">
        <f>'BS 2026'!O14</f>
        <v>951805.06715609133</v>
      </c>
      <c r="U95" s="203">
        <f>'BS 2026'!P14</f>
        <v>989849.68654660787</v>
      </c>
      <c r="V95" s="203">
        <f>'BS 2026'!Q14</f>
        <v>1023265.343088664</v>
      </c>
    </row>
    <row r="96" spans="2:22" x14ac:dyDescent="0.3">
      <c r="B96" t="s">
        <v>56</v>
      </c>
      <c r="E96" s="203" t="str">
        <f>'Statements Summary 2023'!V94</f>
        <v>-</v>
      </c>
      <c r="F96" s="203" t="str">
        <f>'Statements Summary 2024'!V96</f>
        <v>-</v>
      </c>
      <c r="G96" s="203" t="str">
        <f>'Statements Summary 2025'!V96</f>
        <v>-</v>
      </c>
      <c r="H96" s="203" t="str">
        <f t="shared" si="12"/>
        <v>-</v>
      </c>
      <c r="I96" s="203" t="str">
        <f>'Statements Summary 2027'!V96</f>
        <v>-</v>
      </c>
      <c r="K96" s="203" t="s">
        <v>192</v>
      </c>
      <c r="L96" s="203" t="s">
        <v>192</v>
      </c>
      <c r="M96" s="203" t="s">
        <v>192</v>
      </c>
      <c r="N96" s="203" t="s">
        <v>192</v>
      </c>
      <c r="O96" s="203" t="s">
        <v>192</v>
      </c>
      <c r="P96" s="203" t="s">
        <v>192</v>
      </c>
      <c r="Q96" s="203" t="s">
        <v>192</v>
      </c>
      <c r="R96" s="203" t="s">
        <v>192</v>
      </c>
      <c r="S96" s="203" t="s">
        <v>192</v>
      </c>
      <c r="T96" s="203" t="s">
        <v>192</v>
      </c>
      <c r="U96" s="203" t="s">
        <v>192</v>
      </c>
      <c r="V96" s="203" t="s">
        <v>192</v>
      </c>
    </row>
    <row r="97" spans="2:22" x14ac:dyDescent="0.3">
      <c r="B97" t="s">
        <v>57</v>
      </c>
      <c r="E97" s="203">
        <f>'Statements Summary 2023'!V95</f>
        <v>0</v>
      </c>
      <c r="F97" s="203">
        <f>'Statements Summary 2024'!V97</f>
        <v>0</v>
      </c>
      <c r="G97" s="203">
        <f>'Statements Summary 2025'!V97</f>
        <v>0</v>
      </c>
      <c r="H97" s="203">
        <f t="shared" si="12"/>
        <v>0</v>
      </c>
      <c r="I97" s="203">
        <f>'Statements Summary 2027'!V97</f>
        <v>0</v>
      </c>
      <c r="K97" s="203" t="s">
        <v>192</v>
      </c>
      <c r="L97" s="203" t="s">
        <v>192</v>
      </c>
      <c r="M97" s="203" t="s">
        <v>192</v>
      </c>
      <c r="N97" s="203" t="s">
        <v>192</v>
      </c>
      <c r="O97" s="203" t="s">
        <v>192</v>
      </c>
      <c r="P97" s="203" t="s">
        <v>192</v>
      </c>
      <c r="Q97" s="203" t="s">
        <v>192</v>
      </c>
      <c r="R97" s="203" t="s">
        <v>192</v>
      </c>
      <c r="S97" s="203" t="s">
        <v>192</v>
      </c>
      <c r="T97" s="203" t="s">
        <v>192</v>
      </c>
      <c r="U97" s="203" t="s">
        <v>192</v>
      </c>
      <c r="V97" s="203"/>
    </row>
    <row r="98" spans="2:22" x14ac:dyDescent="0.3">
      <c r="B98" t="s">
        <v>58</v>
      </c>
      <c r="E98" s="203">
        <f>'Statements Summary 2023'!V96</f>
        <v>210404.19999999998</v>
      </c>
      <c r="F98" s="203">
        <f>'Statements Summary 2024'!V98</f>
        <v>566771.7178799687</v>
      </c>
      <c r="G98" s="203">
        <f>'Statements Summary 2025'!V98</f>
        <v>901762.8304843161</v>
      </c>
      <c r="H98" s="203">
        <f t="shared" si="12"/>
        <v>1351105.743088664</v>
      </c>
      <c r="I98" s="203">
        <f>'Statements Summary 2027'!V98</f>
        <v>1748691.4556930114</v>
      </c>
      <c r="K98" s="203">
        <f>K94</f>
        <v>978414.03048431617</v>
      </c>
      <c r="L98" s="203">
        <f t="shared" ref="L98:V98" si="13">L94</f>
        <v>1008057.847064464</v>
      </c>
      <c r="M98" s="203">
        <f t="shared" si="13"/>
        <v>1038159.6672216533</v>
      </c>
      <c r="N98" s="203">
        <f t="shared" si="13"/>
        <v>1068985.4851985057</v>
      </c>
      <c r="O98" s="203">
        <f t="shared" si="13"/>
        <v>1099861.9237753949</v>
      </c>
      <c r="P98" s="203">
        <f t="shared" si="13"/>
        <v>1132090.353368663</v>
      </c>
      <c r="Q98" s="203">
        <f t="shared" si="13"/>
        <v>1165389.3688698125</v>
      </c>
      <c r="R98" s="203">
        <f t="shared" si="13"/>
        <v>1199667.3949279259</v>
      </c>
      <c r="S98" s="203">
        <f t="shared" si="13"/>
        <v>1236766.0211936675</v>
      </c>
      <c r="T98" s="203">
        <f t="shared" si="13"/>
        <v>1275705.4671560912</v>
      </c>
      <c r="U98" s="203">
        <f t="shared" si="13"/>
        <v>1315395.8865466078</v>
      </c>
      <c r="V98" s="203">
        <f t="shared" si="13"/>
        <v>1351105.743088664</v>
      </c>
    </row>
    <row r="99" spans="2:22" x14ac:dyDescent="0.3">
      <c r="B99" t="s">
        <v>59</v>
      </c>
      <c r="E99" s="203">
        <f>'Statements Summary 2023'!V97</f>
        <v>210404.19999999998</v>
      </c>
      <c r="F99" s="203">
        <f>'Statements Summary 2024'!V99</f>
        <v>566771.7178799687</v>
      </c>
      <c r="G99" s="203">
        <f>'Statements Summary 2025'!V99</f>
        <v>901762.8304843161</v>
      </c>
      <c r="H99" s="203">
        <f t="shared" si="12"/>
        <v>1351105.743088664</v>
      </c>
      <c r="I99" s="203">
        <f>'Statements Summary 2027'!V99</f>
        <v>1748691.4556930114</v>
      </c>
      <c r="K99" s="203">
        <f>K98</f>
        <v>978414.03048431617</v>
      </c>
      <c r="L99" s="203">
        <f t="shared" ref="L99:V99" si="14">L98</f>
        <v>1008057.847064464</v>
      </c>
      <c r="M99" s="203">
        <f t="shared" si="14"/>
        <v>1038159.6672216533</v>
      </c>
      <c r="N99" s="203">
        <f t="shared" si="14"/>
        <v>1068985.4851985057</v>
      </c>
      <c r="O99" s="203">
        <f t="shared" si="14"/>
        <v>1099861.9237753949</v>
      </c>
      <c r="P99" s="203">
        <f t="shared" si="14"/>
        <v>1132090.353368663</v>
      </c>
      <c r="Q99" s="203">
        <f t="shared" si="14"/>
        <v>1165389.3688698125</v>
      </c>
      <c r="R99" s="203">
        <f t="shared" si="14"/>
        <v>1199667.3949279259</v>
      </c>
      <c r="S99" s="203">
        <f t="shared" si="14"/>
        <v>1236766.0211936675</v>
      </c>
      <c r="T99" s="203">
        <f t="shared" si="14"/>
        <v>1275705.4671560912</v>
      </c>
      <c r="U99" s="203">
        <f t="shared" si="14"/>
        <v>1315395.8865466078</v>
      </c>
      <c r="V99" s="203">
        <f t="shared" si="14"/>
        <v>1351105.743088664</v>
      </c>
    </row>
    <row r="101" spans="2:22" x14ac:dyDescent="0.3">
      <c r="B101" s="177" t="s">
        <v>226</v>
      </c>
      <c r="C101" s="151"/>
      <c r="D101" s="151"/>
      <c r="E101" s="151"/>
      <c r="F101" s="151"/>
      <c r="G101" s="151"/>
      <c r="H101" s="151"/>
      <c r="I101" s="151"/>
      <c r="K101" s="349" t="s">
        <v>234</v>
      </c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88"/>
  <sheetViews>
    <sheetView showGridLines="0" topLeftCell="A37" workbookViewId="0">
      <selection activeCell="S72" sqref="S72"/>
    </sheetView>
  </sheetViews>
  <sheetFormatPr defaultRowHeight="14.4" x14ac:dyDescent="0.3"/>
  <cols>
    <col min="1" max="1" width="5" customWidth="1"/>
    <col min="2" max="2" width="3.88671875" customWidth="1"/>
    <col min="5" max="5" width="14" customWidth="1"/>
    <col min="6" max="6" width="10" style="127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7" t="s">
        <v>140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30"/>
    </row>
    <row r="5" spans="1:42" x14ac:dyDescent="0.3">
      <c r="A5" s="147"/>
      <c r="B5" s="150" t="s">
        <v>172</v>
      </c>
      <c r="C5" s="147"/>
      <c r="D5" s="147"/>
      <c r="E5" s="147"/>
      <c r="F5" s="200">
        <v>2027</v>
      </c>
      <c r="G5" s="200">
        <v>2027</v>
      </c>
      <c r="H5" s="200">
        <v>2027</v>
      </c>
      <c r="I5" s="200">
        <v>2027</v>
      </c>
      <c r="J5" s="200">
        <v>2027</v>
      </c>
      <c r="K5" s="200">
        <v>2027</v>
      </c>
      <c r="L5" s="200">
        <v>2027</v>
      </c>
      <c r="M5" s="200">
        <v>2027</v>
      </c>
      <c r="N5" s="200">
        <v>2027</v>
      </c>
      <c r="O5" s="200">
        <v>2027</v>
      </c>
      <c r="P5" s="200">
        <v>2027</v>
      </c>
      <c r="Q5" s="200">
        <v>2027</v>
      </c>
      <c r="R5" s="200">
        <v>2028</v>
      </c>
      <c r="S5" s="200">
        <v>2028</v>
      </c>
      <c r="T5" s="200">
        <v>2028</v>
      </c>
      <c r="U5" s="177" t="s">
        <v>72</v>
      </c>
    </row>
    <row r="6" spans="1:42" ht="15" thickBot="1" x14ac:dyDescent="0.35">
      <c r="A6" s="149"/>
      <c r="B6" s="156" t="s">
        <v>64</v>
      </c>
      <c r="C6" s="149"/>
      <c r="D6" s="149"/>
      <c r="E6" s="149"/>
      <c r="F6" s="199" t="s">
        <v>25</v>
      </c>
      <c r="G6" s="199" t="s">
        <v>26</v>
      </c>
      <c r="H6" s="199" t="s">
        <v>27</v>
      </c>
      <c r="I6" s="199" t="s">
        <v>28</v>
      </c>
      <c r="J6" s="199" t="s">
        <v>29</v>
      </c>
      <c r="K6" s="199" t="s">
        <v>30</v>
      </c>
      <c r="L6" s="199" t="s">
        <v>31</v>
      </c>
      <c r="M6" s="199" t="s">
        <v>32</v>
      </c>
      <c r="N6" s="199" t="s">
        <v>33</v>
      </c>
      <c r="O6" s="199" t="s">
        <v>34</v>
      </c>
      <c r="P6" s="199" t="s">
        <v>35</v>
      </c>
      <c r="Q6" s="199" t="s">
        <v>36</v>
      </c>
      <c r="R6" s="199" t="s">
        <v>25</v>
      </c>
      <c r="S6" s="199" t="s">
        <v>26</v>
      </c>
      <c r="T6" s="199" t="s">
        <v>27</v>
      </c>
      <c r="U6" s="163"/>
    </row>
    <row r="7" spans="1:42" s="126" customFormat="1" ht="11.4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30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9" t="s">
        <v>141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39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0.199999999999999" customHeight="1" x14ac:dyDescent="0.3">
      <c r="A10" s="9"/>
      <c r="B10" s="9"/>
      <c r="C10" s="139" t="s">
        <v>281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x14ac:dyDescent="0.3">
      <c r="A11" s="9"/>
      <c r="B11" s="9"/>
      <c r="C11" s="140" t="s">
        <v>273</v>
      </c>
      <c r="D11" s="9"/>
      <c r="E11" s="9"/>
      <c r="F11" s="328">
        <v>5186</v>
      </c>
      <c r="G11" s="328">
        <v>5291</v>
      </c>
      <c r="H11" s="328">
        <v>5322</v>
      </c>
      <c r="I11" s="328">
        <v>5442</v>
      </c>
      <c r="J11" s="328">
        <v>5704</v>
      </c>
      <c r="K11" s="328">
        <v>6544</v>
      </c>
      <c r="L11" s="328">
        <v>6544</v>
      </c>
      <c r="M11" s="328">
        <v>6226</v>
      </c>
      <c r="N11" s="328">
        <v>6430</v>
      </c>
      <c r="O11" s="328">
        <v>6799</v>
      </c>
      <c r="P11" s="328">
        <v>6964</v>
      </c>
      <c r="Q11" s="328">
        <v>5058</v>
      </c>
      <c r="R11" s="328"/>
      <c r="S11" s="328"/>
      <c r="T11" s="328"/>
      <c r="U11" s="9"/>
    </row>
    <row r="12" spans="1:42" x14ac:dyDescent="0.3">
      <c r="A12" s="9"/>
      <c r="B12" s="9"/>
      <c r="C12" s="140" t="s">
        <v>274</v>
      </c>
      <c r="D12" s="9"/>
      <c r="E12" s="9"/>
      <c r="F12" s="328">
        <v>6357</v>
      </c>
      <c r="G12" s="328">
        <v>6357</v>
      </c>
      <c r="H12" s="328">
        <v>6989</v>
      </c>
      <c r="I12" s="328">
        <v>7566</v>
      </c>
      <c r="J12" s="328">
        <v>10998</v>
      </c>
      <c r="K12" s="328">
        <v>8456</v>
      </c>
      <c r="L12" s="328">
        <v>8456</v>
      </c>
      <c r="M12" s="328">
        <v>7537</v>
      </c>
      <c r="N12" s="328">
        <v>7782</v>
      </c>
      <c r="O12" s="328">
        <v>8037</v>
      </c>
      <c r="P12" s="328">
        <v>8499</v>
      </c>
      <c r="Q12" s="328">
        <v>7704</v>
      </c>
      <c r="R12" s="328"/>
      <c r="S12" s="328"/>
      <c r="T12" s="328"/>
      <c r="U12" s="9"/>
    </row>
    <row r="13" spans="1:42" x14ac:dyDescent="0.3">
      <c r="A13" s="9"/>
      <c r="B13" s="9"/>
      <c r="C13" s="140" t="s">
        <v>276</v>
      </c>
      <c r="D13" s="9"/>
      <c r="E13" s="9"/>
      <c r="F13" s="328">
        <f>SUM(F11:F12)</f>
        <v>11543</v>
      </c>
      <c r="G13" s="328">
        <f t="shared" ref="G13:P13" si="0">SUM(G11:G12)</f>
        <v>11648</v>
      </c>
      <c r="H13" s="328">
        <f t="shared" si="0"/>
        <v>12311</v>
      </c>
      <c r="I13" s="328">
        <f t="shared" si="0"/>
        <v>13008</v>
      </c>
      <c r="J13" s="328">
        <f t="shared" si="0"/>
        <v>16702</v>
      </c>
      <c r="K13" s="328">
        <f t="shared" si="0"/>
        <v>15000</v>
      </c>
      <c r="L13" s="328">
        <f t="shared" si="0"/>
        <v>15000</v>
      </c>
      <c r="M13" s="328">
        <f t="shared" si="0"/>
        <v>13763</v>
      </c>
      <c r="N13" s="328">
        <f t="shared" si="0"/>
        <v>14212</v>
      </c>
      <c r="O13" s="328">
        <f t="shared" si="0"/>
        <v>14836</v>
      </c>
      <c r="P13" s="328">
        <f t="shared" si="0"/>
        <v>15463</v>
      </c>
      <c r="Q13" s="328">
        <f>SUM(Q11:Q12)</f>
        <v>12762</v>
      </c>
      <c r="R13" s="328"/>
      <c r="S13" s="328"/>
      <c r="T13" s="328"/>
      <c r="U13" s="9"/>
    </row>
    <row r="14" spans="1:42" x14ac:dyDescent="0.3">
      <c r="A14" s="9"/>
      <c r="B14" s="9"/>
      <c r="C14" s="140" t="s">
        <v>277</v>
      </c>
      <c r="D14" s="9"/>
      <c r="E14" s="9"/>
      <c r="F14" s="330">
        <v>15000</v>
      </c>
      <c r="G14" s="330">
        <v>15000</v>
      </c>
      <c r="H14" s="330">
        <v>15000</v>
      </c>
      <c r="I14" s="330">
        <v>15000</v>
      </c>
      <c r="J14" s="330">
        <v>15000</v>
      </c>
      <c r="K14" s="330">
        <v>15000</v>
      </c>
      <c r="L14" s="330">
        <v>15000</v>
      </c>
      <c r="M14" s="330">
        <v>15000</v>
      </c>
      <c r="N14" s="330">
        <v>15000</v>
      </c>
      <c r="O14" s="330">
        <v>15000</v>
      </c>
      <c r="P14" s="330">
        <v>15000</v>
      </c>
      <c r="Q14" s="330">
        <v>15000</v>
      </c>
      <c r="R14" s="330"/>
      <c r="S14" s="330"/>
      <c r="T14" s="330"/>
      <c r="U14" s="9"/>
    </row>
    <row r="15" spans="1:42" x14ac:dyDescent="0.3">
      <c r="A15" s="9"/>
      <c r="B15" s="9"/>
      <c r="C15" s="140" t="s">
        <v>275</v>
      </c>
      <c r="D15" s="9"/>
      <c r="E15" s="9"/>
      <c r="F15" s="329">
        <f>F13/F$14</f>
        <v>0.76953333333333329</v>
      </c>
      <c r="G15" s="329">
        <f t="shared" ref="G15:Q15" si="1">G13/G$14</f>
        <v>0.7765333333333333</v>
      </c>
      <c r="H15" s="329">
        <f t="shared" si="1"/>
        <v>0.82073333333333331</v>
      </c>
      <c r="I15" s="329">
        <f t="shared" si="1"/>
        <v>0.86719999999999997</v>
      </c>
      <c r="J15" s="329">
        <f t="shared" si="1"/>
        <v>1.1134666666666666</v>
      </c>
      <c r="K15" s="329">
        <f t="shared" si="1"/>
        <v>1</v>
      </c>
      <c r="L15" s="329">
        <f t="shared" si="1"/>
        <v>1</v>
      </c>
      <c r="M15" s="329">
        <f t="shared" si="1"/>
        <v>0.91753333333333331</v>
      </c>
      <c r="N15" s="329">
        <f t="shared" si="1"/>
        <v>0.94746666666666668</v>
      </c>
      <c r="O15" s="329">
        <f t="shared" si="1"/>
        <v>0.98906666666666665</v>
      </c>
      <c r="P15" s="329">
        <f t="shared" si="1"/>
        <v>1.0308666666666666</v>
      </c>
      <c r="Q15" s="329">
        <f t="shared" si="1"/>
        <v>0.8508</v>
      </c>
      <c r="R15" s="329"/>
      <c r="S15" s="329"/>
      <c r="T15" s="329"/>
      <c r="U15" s="9"/>
    </row>
    <row r="16" spans="1:42" x14ac:dyDescent="0.3">
      <c r="A16" s="9"/>
      <c r="B16" s="9"/>
      <c r="C16" s="140"/>
      <c r="D16" s="9"/>
      <c r="E16" s="9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9"/>
    </row>
    <row r="17" spans="1:21" x14ac:dyDescent="0.3">
      <c r="A17" s="9"/>
      <c r="B17" s="9"/>
      <c r="C17" s="139" t="s">
        <v>280</v>
      </c>
      <c r="D17" s="9"/>
      <c r="E17" s="9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9"/>
    </row>
    <row r="18" spans="1:21" x14ac:dyDescent="0.3">
      <c r="A18" s="9"/>
      <c r="B18" s="9"/>
      <c r="C18" s="140" t="s">
        <v>278</v>
      </c>
      <c r="D18" s="9"/>
      <c r="E18" s="9"/>
      <c r="F18" s="328">
        <v>7393</v>
      </c>
      <c r="G18" s="328">
        <v>7537</v>
      </c>
      <c r="H18" s="328">
        <v>7782</v>
      </c>
      <c r="I18" s="328">
        <v>8037</v>
      </c>
      <c r="J18" s="328">
        <v>8499</v>
      </c>
      <c r="K18" s="328">
        <v>8704</v>
      </c>
      <c r="L18" s="328">
        <v>8872</v>
      </c>
      <c r="M18" s="328">
        <v>8800</v>
      </c>
      <c r="N18" s="328">
        <v>7782</v>
      </c>
      <c r="O18" s="328">
        <v>6037</v>
      </c>
      <c r="P18" s="328">
        <v>5499</v>
      </c>
      <c r="Q18" s="328">
        <v>5704</v>
      </c>
      <c r="R18" s="328"/>
      <c r="S18" s="328"/>
      <c r="T18" s="328"/>
      <c r="U18" s="9"/>
    </row>
    <row r="19" spans="1:21" x14ac:dyDescent="0.3">
      <c r="A19" s="9"/>
      <c r="B19" s="9"/>
      <c r="C19" s="140" t="s">
        <v>279</v>
      </c>
      <c r="D19" s="9"/>
      <c r="E19" s="9"/>
      <c r="F19" s="328">
        <v>8037</v>
      </c>
      <c r="G19" s="328">
        <v>8499</v>
      </c>
      <c r="H19" s="328">
        <v>9204</v>
      </c>
      <c r="I19" s="328">
        <v>9204</v>
      </c>
      <c r="J19" s="328">
        <v>11294</v>
      </c>
      <c r="K19" s="328">
        <v>12134</v>
      </c>
      <c r="L19" s="328">
        <v>12130</v>
      </c>
      <c r="M19" s="328">
        <v>12134</v>
      </c>
      <c r="N19" s="328">
        <v>8704</v>
      </c>
      <c r="O19" s="328">
        <v>7037</v>
      </c>
      <c r="P19" s="328">
        <v>7499</v>
      </c>
      <c r="Q19" s="328">
        <v>7304</v>
      </c>
      <c r="R19" s="328"/>
      <c r="S19" s="328"/>
      <c r="T19" s="328"/>
      <c r="U19" s="9"/>
    </row>
    <row r="20" spans="1:21" x14ac:dyDescent="0.3">
      <c r="A20" s="9"/>
      <c r="B20" s="9"/>
      <c r="C20" s="140" t="s">
        <v>276</v>
      </c>
      <c r="D20" s="9"/>
      <c r="E20" s="9"/>
      <c r="F20" s="328">
        <f>SUM(F18:F19)</f>
        <v>15430</v>
      </c>
      <c r="G20" s="328">
        <f t="shared" ref="G20:Q20" si="2">SUM(G18:G19)</f>
        <v>16036</v>
      </c>
      <c r="H20" s="328">
        <f t="shared" si="2"/>
        <v>16986</v>
      </c>
      <c r="I20" s="328">
        <f t="shared" si="2"/>
        <v>17241</v>
      </c>
      <c r="J20" s="328">
        <f t="shared" si="2"/>
        <v>19793</v>
      </c>
      <c r="K20" s="328">
        <f t="shared" si="2"/>
        <v>20838</v>
      </c>
      <c r="L20" s="328">
        <f t="shared" si="2"/>
        <v>21002</v>
      </c>
      <c r="M20" s="328">
        <f t="shared" si="2"/>
        <v>20934</v>
      </c>
      <c r="N20" s="328">
        <f t="shared" si="2"/>
        <v>16486</v>
      </c>
      <c r="O20" s="328">
        <f t="shared" si="2"/>
        <v>13074</v>
      </c>
      <c r="P20" s="328">
        <f t="shared" si="2"/>
        <v>12998</v>
      </c>
      <c r="Q20" s="328">
        <f t="shared" si="2"/>
        <v>13008</v>
      </c>
      <c r="R20" s="328"/>
      <c r="S20" s="328"/>
      <c r="T20" s="328"/>
      <c r="U20" s="9"/>
    </row>
    <row r="21" spans="1:21" x14ac:dyDescent="0.3">
      <c r="A21" s="9"/>
      <c r="B21" s="9"/>
      <c r="C21" s="140" t="s">
        <v>277</v>
      </c>
      <c r="D21" s="9"/>
      <c r="E21" s="9"/>
      <c r="F21" s="327">
        <v>21000</v>
      </c>
      <c r="G21" s="327">
        <v>21000</v>
      </c>
      <c r="H21" s="327">
        <v>21000</v>
      </c>
      <c r="I21" s="327">
        <v>21000</v>
      </c>
      <c r="J21" s="327">
        <v>21000</v>
      </c>
      <c r="K21" s="327">
        <v>21000</v>
      </c>
      <c r="L21" s="327">
        <v>21000</v>
      </c>
      <c r="M21" s="327">
        <v>21000</v>
      </c>
      <c r="N21" s="327">
        <v>21000</v>
      </c>
      <c r="O21" s="327">
        <v>21000</v>
      </c>
      <c r="P21" s="327">
        <v>21000</v>
      </c>
      <c r="Q21" s="327">
        <v>21000</v>
      </c>
      <c r="R21" s="327"/>
      <c r="S21" s="327"/>
      <c r="T21" s="327"/>
      <c r="U21" s="9"/>
    </row>
    <row r="22" spans="1:21" x14ac:dyDescent="0.3">
      <c r="A22" s="9"/>
      <c r="B22" s="9"/>
      <c r="C22" s="140" t="s">
        <v>275</v>
      </c>
      <c r="D22" s="9"/>
      <c r="E22" s="9"/>
      <c r="F22" s="329">
        <f>F20/F$21</f>
        <v>0.73476190476190473</v>
      </c>
      <c r="G22" s="329">
        <f t="shared" ref="G22:Q22" si="3">G20/G$21</f>
        <v>0.76361904761904764</v>
      </c>
      <c r="H22" s="329">
        <f t="shared" si="3"/>
        <v>0.80885714285714283</v>
      </c>
      <c r="I22" s="329">
        <f t="shared" si="3"/>
        <v>0.82099999999999995</v>
      </c>
      <c r="J22" s="329">
        <f t="shared" si="3"/>
        <v>0.94252380952380954</v>
      </c>
      <c r="K22" s="329">
        <f t="shared" si="3"/>
        <v>0.99228571428571433</v>
      </c>
      <c r="L22" s="329">
        <f t="shared" si="3"/>
        <v>1.0000952380952381</v>
      </c>
      <c r="M22" s="329">
        <f t="shared" si="3"/>
        <v>0.99685714285714289</v>
      </c>
      <c r="N22" s="329">
        <f t="shared" si="3"/>
        <v>0.78504761904761899</v>
      </c>
      <c r="O22" s="329">
        <f t="shared" si="3"/>
        <v>0.62257142857142855</v>
      </c>
      <c r="P22" s="329">
        <f t="shared" si="3"/>
        <v>0.61895238095238092</v>
      </c>
      <c r="Q22" s="329">
        <f t="shared" si="3"/>
        <v>0.61942857142857144</v>
      </c>
      <c r="R22" s="329"/>
      <c r="S22" s="329"/>
      <c r="T22" s="329"/>
      <c r="U22" s="9"/>
    </row>
    <row r="23" spans="1:21" x14ac:dyDescent="0.3">
      <c r="A23" s="9"/>
      <c r="B23" s="9"/>
      <c r="C23" s="140"/>
      <c r="D23" s="9"/>
      <c r="E23" s="9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9"/>
    </row>
    <row r="24" spans="1:21" x14ac:dyDescent="0.3">
      <c r="A24" s="147"/>
      <c r="B24" s="147"/>
      <c r="C24" s="150" t="s">
        <v>115</v>
      </c>
      <c r="D24" s="147"/>
      <c r="E24" s="147"/>
      <c r="F24" s="148">
        <f>F13+F20</f>
        <v>26973</v>
      </c>
      <c r="G24" s="148">
        <f t="shared" ref="G24:Q24" si="4">G13+G20</f>
        <v>27684</v>
      </c>
      <c r="H24" s="148">
        <f t="shared" si="4"/>
        <v>29297</v>
      </c>
      <c r="I24" s="148">
        <f t="shared" si="4"/>
        <v>30249</v>
      </c>
      <c r="J24" s="148">
        <f t="shared" si="4"/>
        <v>36495</v>
      </c>
      <c r="K24" s="148">
        <f t="shared" si="4"/>
        <v>35838</v>
      </c>
      <c r="L24" s="148">
        <f t="shared" si="4"/>
        <v>36002</v>
      </c>
      <c r="M24" s="148">
        <f t="shared" si="4"/>
        <v>34697</v>
      </c>
      <c r="N24" s="148">
        <f t="shared" si="4"/>
        <v>30698</v>
      </c>
      <c r="O24" s="148">
        <f t="shared" si="4"/>
        <v>27910</v>
      </c>
      <c r="P24" s="148">
        <f t="shared" si="4"/>
        <v>28461</v>
      </c>
      <c r="Q24" s="148">
        <f t="shared" si="4"/>
        <v>25770</v>
      </c>
      <c r="R24" s="148"/>
      <c r="S24" s="148"/>
      <c r="T24" s="158"/>
      <c r="U24" s="158">
        <f>SUM(F24:Q24)</f>
        <v>370074</v>
      </c>
    </row>
    <row r="25" spans="1:21" x14ac:dyDescent="0.3">
      <c r="A25" s="149"/>
      <c r="B25" s="149"/>
      <c r="C25" s="156" t="s">
        <v>116</v>
      </c>
      <c r="D25" s="149"/>
      <c r="E25" s="149"/>
      <c r="F25" s="157">
        <f>SUM(F26:F31)</f>
        <v>-2045</v>
      </c>
      <c r="G25" s="157">
        <f t="shared" ref="G25:Q25" si="5">SUM(G26:G31)</f>
        <v>-2045</v>
      </c>
      <c r="H25" s="157">
        <f t="shared" si="5"/>
        <v>-2045</v>
      </c>
      <c r="I25" s="157">
        <f t="shared" si="5"/>
        <v>-2045</v>
      </c>
      <c r="J25" s="157">
        <f t="shared" si="5"/>
        <v>-2045</v>
      </c>
      <c r="K25" s="157">
        <f t="shared" si="5"/>
        <v>-2045</v>
      </c>
      <c r="L25" s="157">
        <f t="shared" si="5"/>
        <v>-2045</v>
      </c>
      <c r="M25" s="157">
        <f t="shared" si="5"/>
        <v>-2045</v>
      </c>
      <c r="N25" s="157">
        <f t="shared" si="5"/>
        <v>-2045</v>
      </c>
      <c r="O25" s="157">
        <f t="shared" si="5"/>
        <v>-2045</v>
      </c>
      <c r="P25" s="157">
        <f t="shared" si="5"/>
        <v>-2045</v>
      </c>
      <c r="Q25" s="157">
        <f t="shared" si="5"/>
        <v>-2045</v>
      </c>
      <c r="R25" s="157"/>
      <c r="S25" s="157"/>
      <c r="T25" s="153"/>
      <c r="U25" s="153">
        <f>SUM(F25:Q25)</f>
        <v>-24540</v>
      </c>
    </row>
    <row r="26" spans="1:21" x14ac:dyDescent="0.3">
      <c r="A26" s="9"/>
      <c r="B26" s="9"/>
      <c r="C26" s="140" t="s">
        <v>203</v>
      </c>
      <c r="D26" s="9"/>
      <c r="E26" s="9"/>
      <c r="F26" s="432">
        <v>-1655</v>
      </c>
      <c r="G26" s="432">
        <v>-1655</v>
      </c>
      <c r="H26" s="432">
        <v>-1655</v>
      </c>
      <c r="I26" s="432">
        <v>-1655</v>
      </c>
      <c r="J26" s="432">
        <v>-1655</v>
      </c>
      <c r="K26" s="432">
        <v>-1655</v>
      </c>
      <c r="L26" s="432">
        <v>-1655</v>
      </c>
      <c r="M26" s="432">
        <v>-1655</v>
      </c>
      <c r="N26" s="432">
        <v>-1655</v>
      </c>
      <c r="O26" s="432">
        <v>-1655</v>
      </c>
      <c r="P26" s="432">
        <v>-1655</v>
      </c>
      <c r="Q26" s="432">
        <v>-1655</v>
      </c>
      <c r="R26" s="432"/>
      <c r="S26" s="432"/>
      <c r="T26" s="432"/>
      <c r="U26" s="432">
        <f>SUM(F26:Q26)</f>
        <v>-19860</v>
      </c>
    </row>
    <row r="27" spans="1:21" x14ac:dyDescent="0.3">
      <c r="A27" s="9"/>
      <c r="B27" s="9"/>
      <c r="C27" s="140" t="s">
        <v>271</v>
      </c>
      <c r="D27" s="9"/>
      <c r="E27" s="9"/>
      <c r="F27" s="434">
        <v>-200</v>
      </c>
      <c r="G27" s="434">
        <v>-200</v>
      </c>
      <c r="H27" s="434">
        <v>-200</v>
      </c>
      <c r="I27" s="434">
        <v>-200</v>
      </c>
      <c r="J27" s="434">
        <v>-200</v>
      </c>
      <c r="K27" s="434">
        <v>-200</v>
      </c>
      <c r="L27" s="434">
        <v>-200</v>
      </c>
      <c r="M27" s="434">
        <v>-200</v>
      </c>
      <c r="N27" s="434">
        <v>-200</v>
      </c>
      <c r="O27" s="434">
        <v>-200</v>
      </c>
      <c r="P27" s="434">
        <v>-200</v>
      </c>
      <c r="Q27" s="434">
        <v>-200</v>
      </c>
      <c r="R27" s="434"/>
      <c r="S27" s="434"/>
      <c r="T27" s="434"/>
      <c r="U27" s="432">
        <f t="shared" ref="U27:U29" si="6">SUM(F27:Q27)</f>
        <v>-2400</v>
      </c>
    </row>
    <row r="28" spans="1:21" x14ac:dyDescent="0.3">
      <c r="A28" s="9"/>
      <c r="B28" s="9"/>
      <c r="C28" s="140" t="s">
        <v>126</v>
      </c>
      <c r="D28" s="9"/>
      <c r="E28" s="9"/>
      <c r="F28" s="434">
        <v>-125</v>
      </c>
      <c r="G28" s="434">
        <v>-125</v>
      </c>
      <c r="H28" s="434">
        <v>-125</v>
      </c>
      <c r="I28" s="434">
        <v>-125</v>
      </c>
      <c r="J28" s="434">
        <v>-125</v>
      </c>
      <c r="K28" s="434">
        <v>-125</v>
      </c>
      <c r="L28" s="434">
        <v>-125</v>
      </c>
      <c r="M28" s="434">
        <v>-125</v>
      </c>
      <c r="N28" s="434">
        <v>-125</v>
      </c>
      <c r="O28" s="434">
        <v>-125</v>
      </c>
      <c r="P28" s="434">
        <v>-125</v>
      </c>
      <c r="Q28" s="434">
        <v>-125</v>
      </c>
      <c r="R28" s="434"/>
      <c r="S28" s="434"/>
      <c r="T28" s="434"/>
      <c r="U28" s="432">
        <f t="shared" si="6"/>
        <v>-1500</v>
      </c>
    </row>
    <row r="29" spans="1:21" x14ac:dyDescent="0.3">
      <c r="A29" s="9"/>
      <c r="B29" s="9"/>
      <c r="C29" s="140" t="s">
        <v>270</v>
      </c>
      <c r="D29" s="9"/>
      <c r="E29" s="9"/>
      <c r="F29" s="434">
        <v>-65</v>
      </c>
      <c r="G29" s="434">
        <v>-65</v>
      </c>
      <c r="H29" s="434">
        <v>-65</v>
      </c>
      <c r="I29" s="434">
        <v>-65</v>
      </c>
      <c r="J29" s="434">
        <v>-65</v>
      </c>
      <c r="K29" s="434">
        <v>-65</v>
      </c>
      <c r="L29" s="434">
        <v>-65</v>
      </c>
      <c r="M29" s="434">
        <v>-65</v>
      </c>
      <c r="N29" s="434">
        <v>-65</v>
      </c>
      <c r="O29" s="434">
        <v>-65</v>
      </c>
      <c r="P29" s="434">
        <v>-65</v>
      </c>
      <c r="Q29" s="434">
        <v>-65</v>
      </c>
      <c r="R29" s="434"/>
      <c r="S29" s="434"/>
      <c r="T29" s="434"/>
      <c r="U29" s="432">
        <f t="shared" si="6"/>
        <v>-780</v>
      </c>
    </row>
    <row r="30" spans="1:21" x14ac:dyDescent="0.3">
      <c r="A30" s="9"/>
      <c r="B30" s="9"/>
      <c r="C30" s="140" t="s">
        <v>61</v>
      </c>
      <c r="D30" s="9"/>
      <c r="E30" s="9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2"/>
    </row>
    <row r="31" spans="1:21" x14ac:dyDescent="0.3">
      <c r="A31" s="9"/>
      <c r="B31" s="9"/>
      <c r="C31" s="140" t="s">
        <v>208</v>
      </c>
      <c r="D31" s="9"/>
      <c r="E31" s="9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2"/>
    </row>
    <row r="32" spans="1:21" x14ac:dyDescent="0.3">
      <c r="A32" s="9"/>
      <c r="B32" s="9"/>
      <c r="C32" s="138"/>
      <c r="D32" s="9"/>
      <c r="E32" s="9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2"/>
    </row>
    <row r="33" spans="1:21" x14ac:dyDescent="0.3">
      <c r="A33" s="159"/>
      <c r="B33" s="159"/>
      <c r="C33" s="160" t="s">
        <v>4</v>
      </c>
      <c r="D33" s="159"/>
      <c r="E33" s="159"/>
      <c r="F33" s="335">
        <f>SUM(F24+F25)</f>
        <v>24928</v>
      </c>
      <c r="G33" s="335">
        <f t="shared" ref="G33:Q33" si="7">SUM(G24+G25)</f>
        <v>25639</v>
      </c>
      <c r="H33" s="335">
        <f t="shared" si="7"/>
        <v>27252</v>
      </c>
      <c r="I33" s="335">
        <f t="shared" si="7"/>
        <v>28204</v>
      </c>
      <c r="J33" s="335">
        <f t="shared" si="7"/>
        <v>34450</v>
      </c>
      <c r="K33" s="335">
        <f t="shared" si="7"/>
        <v>33793</v>
      </c>
      <c r="L33" s="335">
        <f t="shared" si="7"/>
        <v>33957</v>
      </c>
      <c r="M33" s="335">
        <f t="shared" si="7"/>
        <v>32652</v>
      </c>
      <c r="N33" s="335">
        <f t="shared" si="7"/>
        <v>28653</v>
      </c>
      <c r="O33" s="335">
        <f t="shared" si="7"/>
        <v>25865</v>
      </c>
      <c r="P33" s="335">
        <f t="shared" si="7"/>
        <v>26416</v>
      </c>
      <c r="Q33" s="335">
        <f t="shared" si="7"/>
        <v>23725</v>
      </c>
      <c r="R33" s="161"/>
      <c r="S33" s="161"/>
      <c r="T33" s="161"/>
      <c r="U33" s="220">
        <f>SUM(F33:Q33)</f>
        <v>345534</v>
      </c>
    </row>
    <row r="34" spans="1:21" x14ac:dyDescent="0.3">
      <c r="A34" s="9"/>
      <c r="B34" s="9"/>
      <c r="C34" s="138"/>
      <c r="D34" s="9"/>
      <c r="E34" s="9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2"/>
    </row>
    <row r="35" spans="1:21" x14ac:dyDescent="0.3">
      <c r="A35" s="9"/>
      <c r="B35" s="9"/>
      <c r="C35" s="139" t="s">
        <v>5</v>
      </c>
      <c r="D35" s="9"/>
      <c r="E35" s="9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2"/>
    </row>
    <row r="36" spans="1:21" x14ac:dyDescent="0.3">
      <c r="A36" s="9"/>
      <c r="B36" s="9"/>
      <c r="C36" s="140" t="s">
        <v>269</v>
      </c>
      <c r="D36" s="9"/>
      <c r="E36" s="9"/>
      <c r="F36" s="432">
        <v>-975</v>
      </c>
      <c r="G36" s="432">
        <v>-975</v>
      </c>
      <c r="H36" s="432">
        <v>-975</v>
      </c>
      <c r="I36" s="432">
        <v>-975</v>
      </c>
      <c r="J36" s="432">
        <v>-975</v>
      </c>
      <c r="K36" s="432">
        <v>-975</v>
      </c>
      <c r="L36" s="432">
        <v>-975</v>
      </c>
      <c r="M36" s="432">
        <v>-975</v>
      </c>
      <c r="N36" s="432">
        <v>-975</v>
      </c>
      <c r="O36" s="432">
        <v>-975</v>
      </c>
      <c r="P36" s="432">
        <v>-975</v>
      </c>
      <c r="Q36" s="432">
        <v>-975</v>
      </c>
      <c r="R36" s="432"/>
      <c r="S36" s="432"/>
      <c r="T36" s="432"/>
      <c r="U36" s="432">
        <f>SUM(F36:Q36)</f>
        <v>-11700</v>
      </c>
    </row>
    <row r="37" spans="1:21" x14ac:dyDescent="0.3">
      <c r="A37" s="9"/>
      <c r="B37" s="9"/>
      <c r="C37" s="140" t="s">
        <v>268</v>
      </c>
      <c r="D37" s="9"/>
      <c r="E37" s="9"/>
      <c r="F37" s="432">
        <v>-493</v>
      </c>
      <c r="G37" s="432">
        <v>-493</v>
      </c>
      <c r="H37" s="432">
        <v>-493</v>
      </c>
      <c r="I37" s="432">
        <v>-493</v>
      </c>
      <c r="J37" s="432">
        <v>-493</v>
      </c>
      <c r="K37" s="432">
        <v>-493</v>
      </c>
      <c r="L37" s="432">
        <v>-493</v>
      </c>
      <c r="M37" s="432">
        <v>-493</v>
      </c>
      <c r="N37" s="432">
        <v>-493</v>
      </c>
      <c r="O37" s="432">
        <v>-493</v>
      </c>
      <c r="P37" s="432">
        <v>-493</v>
      </c>
      <c r="Q37" s="432">
        <v>-493</v>
      </c>
      <c r="R37" s="432"/>
      <c r="S37" s="432"/>
      <c r="T37" s="432"/>
      <c r="U37" s="432">
        <f t="shared" ref="U37:U39" si="8">SUM(F37:Q37)</f>
        <v>-5916</v>
      </c>
    </row>
    <row r="38" spans="1:21" x14ac:dyDescent="0.3">
      <c r="A38" s="9"/>
      <c r="B38" s="9"/>
      <c r="C38" s="140" t="s">
        <v>283</v>
      </c>
      <c r="D38" s="9"/>
      <c r="E38" s="9"/>
      <c r="F38" s="432">
        <v>-493</v>
      </c>
      <c r="G38" s="432">
        <v>-493</v>
      </c>
      <c r="H38" s="432">
        <v>-493</v>
      </c>
      <c r="I38" s="432">
        <v>-493</v>
      </c>
      <c r="J38" s="432">
        <v>-493</v>
      </c>
      <c r="K38" s="432">
        <v>-493</v>
      </c>
      <c r="L38" s="432">
        <v>-493</v>
      </c>
      <c r="M38" s="432">
        <v>-493</v>
      </c>
      <c r="N38" s="432">
        <v>-493</v>
      </c>
      <c r="O38" s="432">
        <v>-493</v>
      </c>
      <c r="P38" s="432">
        <v>-493</v>
      </c>
      <c r="Q38" s="432">
        <v>-493</v>
      </c>
      <c r="R38" s="432"/>
      <c r="S38" s="432"/>
      <c r="T38" s="432"/>
      <c r="U38" s="432">
        <f t="shared" si="8"/>
        <v>-5916</v>
      </c>
    </row>
    <row r="39" spans="1:21" x14ac:dyDescent="0.3">
      <c r="A39" s="9"/>
      <c r="B39" s="9"/>
      <c r="C39" s="140" t="s">
        <v>282</v>
      </c>
      <c r="D39" s="9"/>
      <c r="E39" s="9"/>
      <c r="F39" s="433">
        <v>-1070</v>
      </c>
      <c r="G39" s="433">
        <v>-1070</v>
      </c>
      <c r="H39" s="433">
        <v>-1070</v>
      </c>
      <c r="I39" s="433">
        <v>-1070</v>
      </c>
      <c r="J39" s="433">
        <v>-1070</v>
      </c>
      <c r="K39" s="433">
        <v>-1070</v>
      </c>
      <c r="L39" s="433">
        <v>-1070</v>
      </c>
      <c r="M39" s="433">
        <v>-1070</v>
      </c>
      <c r="N39" s="433">
        <v>-1070</v>
      </c>
      <c r="O39" s="433">
        <v>-1070</v>
      </c>
      <c r="P39" s="433">
        <v>-1070</v>
      </c>
      <c r="Q39" s="433">
        <v>-1070</v>
      </c>
      <c r="R39" s="433"/>
      <c r="S39" s="433"/>
      <c r="T39" s="433"/>
      <c r="U39" s="432">
        <f t="shared" si="8"/>
        <v>-12840</v>
      </c>
    </row>
    <row r="40" spans="1:21" x14ac:dyDescent="0.3">
      <c r="A40" s="9"/>
      <c r="B40" s="9"/>
      <c r="C40" s="140" t="s">
        <v>120</v>
      </c>
      <c r="D40" s="9"/>
      <c r="E40" s="9"/>
      <c r="F40" s="155" t="s">
        <v>143</v>
      </c>
      <c r="G40" s="155" t="s">
        <v>143</v>
      </c>
      <c r="H40" s="155" t="s">
        <v>143</v>
      </c>
      <c r="I40" s="155" t="s">
        <v>143</v>
      </c>
      <c r="J40" s="155" t="s">
        <v>143</v>
      </c>
      <c r="K40" s="155" t="s">
        <v>143</v>
      </c>
      <c r="L40" s="155" t="s">
        <v>143</v>
      </c>
      <c r="M40" s="155" t="s">
        <v>143</v>
      </c>
      <c r="N40" s="155" t="s">
        <v>143</v>
      </c>
      <c r="O40" s="155" t="s">
        <v>143</v>
      </c>
      <c r="P40" s="155" t="s">
        <v>143</v>
      </c>
      <c r="Q40" s="155" t="s">
        <v>143</v>
      </c>
      <c r="R40" s="155" t="s">
        <v>143</v>
      </c>
      <c r="S40" s="155" t="s">
        <v>143</v>
      </c>
      <c r="T40" s="155" t="s">
        <v>143</v>
      </c>
      <c r="U40" s="132"/>
    </row>
    <row r="41" spans="1:21" x14ac:dyDescent="0.3">
      <c r="A41" s="9"/>
      <c r="B41" s="9"/>
      <c r="C41" s="140" t="s">
        <v>121</v>
      </c>
      <c r="D41" s="9"/>
      <c r="E41" s="9"/>
      <c r="F41" s="155" t="s">
        <v>143</v>
      </c>
      <c r="G41" s="155" t="s">
        <v>143</v>
      </c>
      <c r="H41" s="155" t="s">
        <v>143</v>
      </c>
      <c r="I41" s="155" t="s">
        <v>143</v>
      </c>
      <c r="J41" s="155" t="s">
        <v>143</v>
      </c>
      <c r="K41" s="155" t="s">
        <v>143</v>
      </c>
      <c r="L41" s="155" t="s">
        <v>143</v>
      </c>
      <c r="M41" s="155" t="s">
        <v>143</v>
      </c>
      <c r="N41" s="155" t="s">
        <v>143</v>
      </c>
      <c r="O41" s="155" t="s">
        <v>143</v>
      </c>
      <c r="P41" s="155" t="s">
        <v>143</v>
      </c>
      <c r="Q41" s="155" t="s">
        <v>143</v>
      </c>
      <c r="R41" s="155"/>
      <c r="S41" s="155"/>
      <c r="T41" s="155"/>
      <c r="U41" s="132"/>
    </row>
    <row r="42" spans="1:21" x14ac:dyDescent="0.3">
      <c r="A42" s="9"/>
      <c r="B42" s="9"/>
      <c r="C42" s="140" t="s">
        <v>122</v>
      </c>
      <c r="D42" s="9"/>
      <c r="E42" s="9"/>
      <c r="F42" s="155" t="s">
        <v>143</v>
      </c>
      <c r="G42" s="155" t="s">
        <v>143</v>
      </c>
      <c r="H42" s="155" t="s">
        <v>143</v>
      </c>
      <c r="I42" s="155" t="s">
        <v>143</v>
      </c>
      <c r="J42" s="155" t="s">
        <v>143</v>
      </c>
      <c r="K42" s="155" t="s">
        <v>143</v>
      </c>
      <c r="L42" s="155" t="s">
        <v>143</v>
      </c>
      <c r="M42" s="155" t="s">
        <v>143</v>
      </c>
      <c r="N42" s="155" t="s">
        <v>143</v>
      </c>
      <c r="O42" s="155" t="s">
        <v>143</v>
      </c>
      <c r="P42" s="155" t="s">
        <v>143</v>
      </c>
      <c r="Q42" s="155" t="s">
        <v>143</v>
      </c>
      <c r="R42" s="155"/>
      <c r="S42" s="155"/>
      <c r="T42" s="155"/>
      <c r="U42" s="132"/>
    </row>
    <row r="43" spans="1:21" x14ac:dyDescent="0.3">
      <c r="A43" s="9"/>
      <c r="B43" s="9"/>
      <c r="C43" s="140" t="s">
        <v>123</v>
      </c>
      <c r="D43" s="9"/>
      <c r="E43" s="9"/>
      <c r="F43" s="155" t="s">
        <v>143</v>
      </c>
      <c r="G43" s="155" t="s">
        <v>143</v>
      </c>
      <c r="H43" s="155" t="s">
        <v>143</v>
      </c>
      <c r="I43" s="155" t="s">
        <v>143</v>
      </c>
      <c r="J43" s="155" t="s">
        <v>143</v>
      </c>
      <c r="K43" s="155" t="s">
        <v>143</v>
      </c>
      <c r="L43" s="155" t="s">
        <v>143</v>
      </c>
      <c r="M43" s="155" t="s">
        <v>143</v>
      </c>
      <c r="N43" s="155" t="s">
        <v>143</v>
      </c>
      <c r="O43" s="155" t="s">
        <v>143</v>
      </c>
      <c r="P43" s="155" t="s">
        <v>143</v>
      </c>
      <c r="Q43" s="155" t="s">
        <v>143</v>
      </c>
      <c r="R43" s="155"/>
      <c r="S43" s="155"/>
      <c r="T43" s="155"/>
      <c r="U43" s="132"/>
    </row>
    <row r="44" spans="1:21" x14ac:dyDescent="0.3">
      <c r="A44" s="151"/>
      <c r="B44" s="151"/>
      <c r="C44" s="177" t="s">
        <v>124</v>
      </c>
      <c r="D44" s="151"/>
      <c r="E44" s="151"/>
      <c r="F44" s="158">
        <f>SUM(F36:F43)</f>
        <v>-3031</v>
      </c>
      <c r="G44" s="158">
        <f t="shared" ref="G44:Q44" si="9">SUM(G36:G43)</f>
        <v>-3031</v>
      </c>
      <c r="H44" s="158">
        <f t="shared" si="9"/>
        <v>-3031</v>
      </c>
      <c r="I44" s="158">
        <f t="shared" si="9"/>
        <v>-3031</v>
      </c>
      <c r="J44" s="158">
        <f t="shared" si="9"/>
        <v>-3031</v>
      </c>
      <c r="K44" s="158">
        <f t="shared" si="9"/>
        <v>-3031</v>
      </c>
      <c r="L44" s="158">
        <f t="shared" si="9"/>
        <v>-3031</v>
      </c>
      <c r="M44" s="158">
        <f t="shared" si="9"/>
        <v>-3031</v>
      </c>
      <c r="N44" s="158">
        <f t="shared" si="9"/>
        <v>-3031</v>
      </c>
      <c r="O44" s="158">
        <f t="shared" si="9"/>
        <v>-3031</v>
      </c>
      <c r="P44" s="158">
        <f t="shared" si="9"/>
        <v>-3031</v>
      </c>
      <c r="Q44" s="158">
        <f t="shared" si="9"/>
        <v>-3031</v>
      </c>
      <c r="R44" s="158"/>
      <c r="S44" s="158"/>
      <c r="T44" s="158"/>
      <c r="U44" s="158">
        <f>SUM(F44:Q44)</f>
        <v>-36372</v>
      </c>
    </row>
    <row r="45" spans="1:21" x14ac:dyDescent="0.3">
      <c r="A45" s="152"/>
      <c r="B45" s="152"/>
      <c r="C45" s="188" t="s">
        <v>125</v>
      </c>
      <c r="D45" s="152"/>
      <c r="E45" s="152"/>
      <c r="F45" s="153">
        <v>-3000</v>
      </c>
      <c r="G45" s="153">
        <v>-3000</v>
      </c>
      <c r="H45" s="153">
        <v>-3000</v>
      </c>
      <c r="I45" s="153">
        <v>-3000</v>
      </c>
      <c r="J45" s="153">
        <v>-3000</v>
      </c>
      <c r="K45" s="153">
        <v>-3000</v>
      </c>
      <c r="L45" s="153">
        <v>-3000</v>
      </c>
      <c r="M45" s="153">
        <v>-3000</v>
      </c>
      <c r="N45" s="153">
        <v>-3000</v>
      </c>
      <c r="O45" s="153">
        <v>-3000</v>
      </c>
      <c r="P45" s="153">
        <v>-3000</v>
      </c>
      <c r="Q45" s="153">
        <v>-3000</v>
      </c>
      <c r="R45" s="153"/>
      <c r="S45" s="153"/>
      <c r="T45" s="153"/>
      <c r="U45" s="153">
        <f>SUM(F45:Q45)</f>
        <v>-36000</v>
      </c>
    </row>
    <row r="46" spans="1:21" x14ac:dyDescent="0.3">
      <c r="A46" s="9"/>
      <c r="B46" s="9"/>
      <c r="C46" s="138"/>
      <c r="D46" s="9"/>
      <c r="E46" s="9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2"/>
    </row>
    <row r="47" spans="1:21" x14ac:dyDescent="0.3">
      <c r="A47" s="9"/>
      <c r="B47" s="9"/>
      <c r="C47" s="139" t="s">
        <v>24</v>
      </c>
      <c r="D47" s="9"/>
      <c r="E47" s="9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2"/>
    </row>
    <row r="48" spans="1:21" x14ac:dyDescent="0.3">
      <c r="A48" s="9"/>
      <c r="B48" s="9"/>
      <c r="C48" s="138" t="s">
        <v>73</v>
      </c>
      <c r="D48" s="9"/>
      <c r="E48" s="9"/>
      <c r="F48" s="432">
        <v>-350</v>
      </c>
      <c r="G48" s="432">
        <v>-350</v>
      </c>
      <c r="H48" s="432">
        <v>-350</v>
      </c>
      <c r="I48" s="432">
        <v>-350</v>
      </c>
      <c r="J48" s="432">
        <v>-350</v>
      </c>
      <c r="K48" s="432">
        <v>-350</v>
      </c>
      <c r="L48" s="432">
        <v>-350</v>
      </c>
      <c r="M48" s="432">
        <v>-350</v>
      </c>
      <c r="N48" s="432">
        <v>-350</v>
      </c>
      <c r="O48" s="432">
        <v>-350</v>
      </c>
      <c r="P48" s="432">
        <v>-350</v>
      </c>
      <c r="Q48" s="432">
        <v>-350</v>
      </c>
      <c r="R48" s="432"/>
      <c r="S48" s="432"/>
      <c r="T48" s="432"/>
      <c r="U48" s="432">
        <f>SUM(F48:Q48)</f>
        <v>-4200</v>
      </c>
    </row>
    <row r="49" spans="1:21" x14ac:dyDescent="0.3">
      <c r="A49" s="9"/>
      <c r="B49" s="9"/>
      <c r="C49" s="138" t="s">
        <v>255</v>
      </c>
      <c r="D49" s="9"/>
      <c r="E49" s="9"/>
      <c r="F49" s="432">
        <v>-550</v>
      </c>
      <c r="G49" s="432">
        <v>-550</v>
      </c>
      <c r="H49" s="432">
        <v>-550</v>
      </c>
      <c r="I49" s="432">
        <v>-550</v>
      </c>
      <c r="J49" s="432">
        <v>-550</v>
      </c>
      <c r="K49" s="432">
        <v>-550</v>
      </c>
      <c r="L49" s="432">
        <v>-550</v>
      </c>
      <c r="M49" s="432">
        <v>-550</v>
      </c>
      <c r="N49" s="432">
        <v>-550</v>
      </c>
      <c r="O49" s="432">
        <v>-550</v>
      </c>
      <c r="P49" s="432">
        <v>-550</v>
      </c>
      <c r="Q49" s="432">
        <v>-550</v>
      </c>
      <c r="R49" s="432"/>
      <c r="S49" s="432"/>
      <c r="T49" s="432"/>
      <c r="U49" s="432">
        <f t="shared" ref="U49:U62" si="10">SUM(F49:Q49)</f>
        <v>-6600</v>
      </c>
    </row>
    <row r="50" spans="1:21" x14ac:dyDescent="0.3">
      <c r="A50" s="9"/>
      <c r="B50" s="9"/>
      <c r="C50" s="138" t="s">
        <v>126</v>
      </c>
      <c r="D50" s="9"/>
      <c r="E50" s="9"/>
      <c r="F50" s="432">
        <v>-700</v>
      </c>
      <c r="G50" s="432">
        <v>-700</v>
      </c>
      <c r="H50" s="432">
        <v>-700</v>
      </c>
      <c r="I50" s="432">
        <v>-700</v>
      </c>
      <c r="J50" s="432">
        <v>-700</v>
      </c>
      <c r="K50" s="432">
        <v>-700</v>
      </c>
      <c r="L50" s="432">
        <v>-700</v>
      </c>
      <c r="M50" s="432">
        <v>-700</v>
      </c>
      <c r="N50" s="432">
        <v>-700</v>
      </c>
      <c r="O50" s="432">
        <v>-700</v>
      </c>
      <c r="P50" s="432">
        <v>-700</v>
      </c>
      <c r="Q50" s="432">
        <v>-700</v>
      </c>
      <c r="R50" s="432"/>
      <c r="S50" s="432"/>
      <c r="T50" s="432"/>
      <c r="U50" s="432">
        <f t="shared" si="10"/>
        <v>-8400</v>
      </c>
    </row>
    <row r="51" spans="1:21" x14ac:dyDescent="0.3">
      <c r="A51" s="9"/>
      <c r="B51" s="9"/>
      <c r="C51" s="138" t="s">
        <v>223</v>
      </c>
      <c r="D51" s="9"/>
      <c r="E51" s="9"/>
      <c r="F51" s="432">
        <v>-550</v>
      </c>
      <c r="G51" s="432">
        <v>-550</v>
      </c>
      <c r="H51" s="432">
        <v>-550</v>
      </c>
      <c r="I51" s="432">
        <v>-550</v>
      </c>
      <c r="J51" s="432">
        <v>-550</v>
      </c>
      <c r="K51" s="432">
        <v>-550</v>
      </c>
      <c r="L51" s="432">
        <v>-550</v>
      </c>
      <c r="M51" s="432">
        <v>-550</v>
      </c>
      <c r="N51" s="432">
        <v>-550</v>
      </c>
      <c r="O51" s="432">
        <v>-550</v>
      </c>
      <c r="P51" s="432">
        <v>-550</v>
      </c>
      <c r="Q51" s="432">
        <v>-550</v>
      </c>
      <c r="R51" s="432"/>
      <c r="S51" s="432"/>
      <c r="T51" s="432"/>
      <c r="U51" s="432">
        <f t="shared" si="10"/>
        <v>-6600</v>
      </c>
    </row>
    <row r="52" spans="1:21" x14ac:dyDescent="0.3">
      <c r="A52" s="9"/>
      <c r="B52" s="9"/>
      <c r="C52" s="138" t="s">
        <v>256</v>
      </c>
      <c r="D52" s="9"/>
      <c r="E52" s="9"/>
      <c r="F52" s="432">
        <v>-900</v>
      </c>
      <c r="G52" s="432">
        <v>-900</v>
      </c>
      <c r="H52" s="432">
        <v>-900</v>
      </c>
      <c r="I52" s="432">
        <v>-900</v>
      </c>
      <c r="J52" s="432">
        <v>-900</v>
      </c>
      <c r="K52" s="432">
        <v>-900</v>
      </c>
      <c r="L52" s="432">
        <v>-900</v>
      </c>
      <c r="M52" s="432">
        <v>-900</v>
      </c>
      <c r="N52" s="432">
        <v>-900</v>
      </c>
      <c r="O52" s="432">
        <v>-900</v>
      </c>
      <c r="P52" s="432">
        <v>-900</v>
      </c>
      <c r="Q52" s="432">
        <v>-900</v>
      </c>
      <c r="R52" s="432"/>
      <c r="S52" s="432"/>
      <c r="T52" s="432"/>
      <c r="U52" s="432">
        <f t="shared" si="10"/>
        <v>-10800</v>
      </c>
    </row>
    <row r="53" spans="1:21" x14ac:dyDescent="0.3">
      <c r="A53" s="9"/>
      <c r="B53" s="9"/>
      <c r="C53" s="138" t="s">
        <v>127</v>
      </c>
      <c r="D53" s="9"/>
      <c r="E53" s="9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2"/>
    </row>
    <row r="54" spans="1:21" x14ac:dyDescent="0.3">
      <c r="A54" s="9"/>
      <c r="B54" s="9"/>
      <c r="C54" s="140" t="s">
        <v>128</v>
      </c>
      <c r="D54" s="9"/>
      <c r="E54" s="9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2"/>
    </row>
    <row r="55" spans="1:21" x14ac:dyDescent="0.3">
      <c r="A55" s="9"/>
      <c r="B55" s="9"/>
      <c r="C55" s="140" t="s">
        <v>129</v>
      </c>
      <c r="D55" s="9"/>
      <c r="E55" s="9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2"/>
    </row>
    <row r="56" spans="1:21" x14ac:dyDescent="0.3">
      <c r="A56" s="9"/>
      <c r="B56" s="9"/>
      <c r="C56" s="140" t="s">
        <v>130</v>
      </c>
      <c r="D56" s="9"/>
      <c r="E56" s="9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2"/>
    </row>
    <row r="57" spans="1:21" x14ac:dyDescent="0.3">
      <c r="A57" s="9"/>
      <c r="B57" s="9"/>
      <c r="C57" s="140" t="s">
        <v>131</v>
      </c>
      <c r="D57" s="9"/>
      <c r="E57" s="9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2"/>
    </row>
    <row r="58" spans="1:21" x14ac:dyDescent="0.3">
      <c r="A58" s="9"/>
      <c r="B58" s="9"/>
      <c r="C58" s="140" t="s">
        <v>132</v>
      </c>
      <c r="D58" s="9"/>
      <c r="E58" s="9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2"/>
    </row>
    <row r="59" spans="1:21" x14ac:dyDescent="0.3">
      <c r="A59" s="9"/>
      <c r="B59" s="9"/>
      <c r="C59" s="140" t="s">
        <v>133</v>
      </c>
      <c r="D59" s="9"/>
      <c r="E59" s="9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2"/>
    </row>
    <row r="60" spans="1:21" x14ac:dyDescent="0.3">
      <c r="A60" s="9"/>
      <c r="B60" s="9"/>
      <c r="C60" s="140" t="s">
        <v>134</v>
      </c>
      <c r="D60" s="9"/>
      <c r="E60" s="9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2"/>
    </row>
    <row r="61" spans="1:21" x14ac:dyDescent="0.3">
      <c r="A61" s="9"/>
      <c r="B61" s="9"/>
      <c r="C61" s="140" t="s">
        <v>135</v>
      </c>
      <c r="D61" s="9"/>
      <c r="E61" s="9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2"/>
    </row>
    <row r="62" spans="1:21" x14ac:dyDescent="0.3">
      <c r="A62" s="9"/>
      <c r="B62" s="9"/>
      <c r="C62" s="140" t="s">
        <v>136</v>
      </c>
      <c r="D62" s="9"/>
      <c r="E62" s="9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2"/>
    </row>
    <row r="63" spans="1:21" s="110" customFormat="1" ht="14.4" customHeight="1" x14ac:dyDescent="0.3">
      <c r="A63" s="164"/>
      <c r="B63" s="164"/>
      <c r="C63" s="165" t="s">
        <v>137</v>
      </c>
      <c r="D63" s="164"/>
      <c r="E63" s="164"/>
      <c r="F63" s="166">
        <f>SUM(F48:F62)</f>
        <v>-3050</v>
      </c>
      <c r="G63" s="166">
        <f>SUM(G48:G62)</f>
        <v>-3050</v>
      </c>
      <c r="H63" s="166">
        <f t="shared" ref="H63:Q63" si="11">SUM(H48:H62)</f>
        <v>-3050</v>
      </c>
      <c r="I63" s="166">
        <f t="shared" si="11"/>
        <v>-3050</v>
      </c>
      <c r="J63" s="166">
        <f t="shared" si="11"/>
        <v>-3050</v>
      </c>
      <c r="K63" s="166">
        <f t="shared" si="11"/>
        <v>-3050</v>
      </c>
      <c r="L63" s="166">
        <f t="shared" si="11"/>
        <v>-3050</v>
      </c>
      <c r="M63" s="166">
        <f t="shared" si="11"/>
        <v>-3050</v>
      </c>
      <c r="N63" s="166">
        <f t="shared" si="11"/>
        <v>-3050</v>
      </c>
      <c r="O63" s="166">
        <f t="shared" si="11"/>
        <v>-3050</v>
      </c>
      <c r="P63" s="166">
        <f t="shared" si="11"/>
        <v>-3050</v>
      </c>
      <c r="Q63" s="166">
        <f t="shared" si="11"/>
        <v>-3050</v>
      </c>
      <c r="R63" s="166"/>
      <c r="S63" s="166"/>
      <c r="T63" s="166"/>
      <c r="U63" s="158">
        <f>SUM(F63:Q63)</f>
        <v>-36600</v>
      </c>
    </row>
    <row r="64" spans="1:21" s="110" customFormat="1" ht="14.4" customHeight="1" x14ac:dyDescent="0.3">
      <c r="A64" s="167"/>
      <c r="B64" s="167"/>
      <c r="C64" s="168" t="s">
        <v>6</v>
      </c>
      <c r="D64" s="167"/>
      <c r="E64" s="167"/>
      <c r="F64" s="169">
        <f>F24+F25+F44+F63</f>
        <v>18847</v>
      </c>
      <c r="G64" s="169">
        <f>G24+G25+G44+G63</f>
        <v>19558</v>
      </c>
      <c r="H64" s="169">
        <f t="shared" ref="H64:Q64" si="12">H24+H25+H44+H63</f>
        <v>21171</v>
      </c>
      <c r="I64" s="169">
        <f t="shared" si="12"/>
        <v>22123</v>
      </c>
      <c r="J64" s="169">
        <f t="shared" si="12"/>
        <v>28369</v>
      </c>
      <c r="K64" s="169">
        <f t="shared" si="12"/>
        <v>27712</v>
      </c>
      <c r="L64" s="169">
        <f t="shared" si="12"/>
        <v>27876</v>
      </c>
      <c r="M64" s="169">
        <f t="shared" si="12"/>
        <v>26571</v>
      </c>
      <c r="N64" s="169">
        <f t="shared" si="12"/>
        <v>22572</v>
      </c>
      <c r="O64" s="169">
        <f t="shared" si="12"/>
        <v>19784</v>
      </c>
      <c r="P64" s="169">
        <f t="shared" si="12"/>
        <v>20335</v>
      </c>
      <c r="Q64" s="169">
        <f t="shared" si="12"/>
        <v>17644</v>
      </c>
      <c r="R64" s="169"/>
      <c r="S64" s="169"/>
      <c r="T64" s="169"/>
      <c r="U64" s="153">
        <f>SUM(F64:Q64)</f>
        <v>272562</v>
      </c>
    </row>
    <row r="65" spans="1:21" s="110" customFormat="1" ht="14.4" customHeight="1" x14ac:dyDescent="0.3">
      <c r="A65" s="108"/>
      <c r="B65" s="108"/>
      <c r="C65" s="141" t="s">
        <v>138</v>
      </c>
      <c r="D65" s="108"/>
      <c r="E65" s="108"/>
      <c r="F65" s="441">
        <v>-1756</v>
      </c>
      <c r="G65" s="441">
        <v>-1756</v>
      </c>
      <c r="H65" s="441">
        <v>-1756</v>
      </c>
      <c r="I65" s="441">
        <v>-1756</v>
      </c>
      <c r="J65" s="441">
        <v>-1756</v>
      </c>
      <c r="K65" s="441">
        <v>-1756</v>
      </c>
      <c r="L65" s="441">
        <v>-1756</v>
      </c>
      <c r="M65" s="441">
        <v>-1800</v>
      </c>
      <c r="N65" s="441">
        <v>-1800</v>
      </c>
      <c r="O65" s="441">
        <v>-1800</v>
      </c>
      <c r="P65" s="441">
        <v>-1800</v>
      </c>
      <c r="Q65" s="441">
        <v>-1800</v>
      </c>
      <c r="R65" s="449"/>
      <c r="S65" s="449"/>
      <c r="T65" s="449"/>
      <c r="U65" s="441">
        <f>SUM(F65:Q65)</f>
        <v>-21292</v>
      </c>
    </row>
    <row r="66" spans="1:21" s="110" customFormat="1" ht="25.05" customHeight="1" x14ac:dyDescent="0.3">
      <c r="A66" s="108"/>
      <c r="B66" s="108"/>
      <c r="C66" s="141" t="s">
        <v>8</v>
      </c>
      <c r="D66" s="108"/>
      <c r="E66" s="108"/>
      <c r="F66" s="454">
        <f>F64+F65</f>
        <v>17091</v>
      </c>
      <c r="G66" s="454">
        <f t="shared" ref="G66:Q66" si="13">G64+G65</f>
        <v>17802</v>
      </c>
      <c r="H66" s="454">
        <f t="shared" si="13"/>
        <v>19415</v>
      </c>
      <c r="I66" s="454">
        <f t="shared" si="13"/>
        <v>20367</v>
      </c>
      <c r="J66" s="454">
        <f t="shared" si="13"/>
        <v>26613</v>
      </c>
      <c r="K66" s="454">
        <f t="shared" si="13"/>
        <v>25956</v>
      </c>
      <c r="L66" s="454">
        <f t="shared" si="13"/>
        <v>26120</v>
      </c>
      <c r="M66" s="454">
        <f t="shared" si="13"/>
        <v>24771</v>
      </c>
      <c r="N66" s="454">
        <f t="shared" si="13"/>
        <v>20772</v>
      </c>
      <c r="O66" s="454">
        <f t="shared" si="13"/>
        <v>17984</v>
      </c>
      <c r="P66" s="454">
        <f t="shared" si="13"/>
        <v>18535</v>
      </c>
      <c r="Q66" s="454">
        <f t="shared" si="13"/>
        <v>15844</v>
      </c>
      <c r="R66" s="454"/>
      <c r="S66" s="454"/>
      <c r="T66" s="454"/>
      <c r="U66" s="442">
        <f t="shared" ref="U66:U69" si="14">SUM(F66:Q66)</f>
        <v>251270</v>
      </c>
    </row>
    <row r="67" spans="1:21" s="110" customFormat="1" ht="25.05" customHeight="1" x14ac:dyDescent="0.3">
      <c r="A67" s="108"/>
      <c r="B67" s="108"/>
      <c r="C67" s="144" t="s">
        <v>139</v>
      </c>
      <c r="D67" s="145"/>
      <c r="E67" s="108"/>
      <c r="F67" s="449">
        <f>('BS 2027'!F27)*0.05</f>
        <v>0</v>
      </c>
      <c r="G67" s="449">
        <f>('BS 2027'!G27)*0.05</f>
        <v>0</v>
      </c>
      <c r="H67" s="449">
        <f>('BS 2027'!H27)*0.05</f>
        <v>0</v>
      </c>
      <c r="I67" s="449">
        <f>('BS 2027'!I27)*0.05</f>
        <v>0</v>
      </c>
      <c r="J67" s="449">
        <f>('BS 2027'!J27)*0.05</f>
        <v>0</v>
      </c>
      <c r="K67" s="449">
        <f>('BS 2027'!K27)*0.05</f>
        <v>0</v>
      </c>
      <c r="L67" s="449">
        <f>('BS 2027'!L27)*0.05</f>
        <v>0</v>
      </c>
      <c r="M67" s="449">
        <f>('BS 2027'!M27)*0.05</f>
        <v>0</v>
      </c>
      <c r="N67" s="449">
        <f>('BS 2027'!N27)*0.05</f>
        <v>0</v>
      </c>
      <c r="O67" s="449">
        <f>('BS 2027'!O27)*0.05</f>
        <v>0</v>
      </c>
      <c r="P67" s="449">
        <f>('BS 2027'!P27)*0.05</f>
        <v>0</v>
      </c>
      <c r="Q67" s="449">
        <f>('BS 2027'!Q27)*0.05</f>
        <v>0</v>
      </c>
      <c r="R67" s="441"/>
      <c r="S67" s="441"/>
      <c r="T67" s="441"/>
      <c r="U67" s="441">
        <f t="shared" si="14"/>
        <v>0</v>
      </c>
    </row>
    <row r="68" spans="1:21" s="110" customFormat="1" ht="25.05" customHeight="1" x14ac:dyDescent="0.3">
      <c r="A68" s="108"/>
      <c r="B68" s="108"/>
      <c r="C68" s="141" t="s">
        <v>10</v>
      </c>
      <c r="D68" s="108"/>
      <c r="E68" s="108"/>
      <c r="F68" s="454">
        <f>F64</f>
        <v>18847</v>
      </c>
      <c r="G68" s="454">
        <f>G64</f>
        <v>19558</v>
      </c>
      <c r="H68" s="454">
        <f t="shared" ref="H68:Q68" si="15">H64</f>
        <v>21171</v>
      </c>
      <c r="I68" s="454">
        <f t="shared" si="15"/>
        <v>22123</v>
      </c>
      <c r="J68" s="454">
        <f t="shared" si="15"/>
        <v>28369</v>
      </c>
      <c r="K68" s="454">
        <f t="shared" si="15"/>
        <v>27712</v>
      </c>
      <c r="L68" s="454">
        <f t="shared" si="15"/>
        <v>27876</v>
      </c>
      <c r="M68" s="454">
        <f t="shared" si="15"/>
        <v>26571</v>
      </c>
      <c r="N68" s="454">
        <f t="shared" si="15"/>
        <v>22572</v>
      </c>
      <c r="O68" s="454">
        <f t="shared" si="15"/>
        <v>19784</v>
      </c>
      <c r="P68" s="454">
        <f t="shared" si="15"/>
        <v>20335</v>
      </c>
      <c r="Q68" s="454">
        <f t="shared" si="15"/>
        <v>17644</v>
      </c>
      <c r="R68" s="454"/>
      <c r="S68" s="454"/>
      <c r="T68" s="454"/>
      <c r="U68" s="442">
        <f t="shared" si="14"/>
        <v>272562</v>
      </c>
    </row>
    <row r="69" spans="1:21" s="110" customFormat="1" ht="25.05" customHeight="1" x14ac:dyDescent="0.3">
      <c r="A69" s="108"/>
      <c r="B69" s="108"/>
      <c r="C69" s="144" t="s">
        <v>11</v>
      </c>
      <c r="D69" s="108"/>
      <c r="E69" s="108"/>
      <c r="F69" s="441">
        <f>(F66*0.2)*-1</f>
        <v>-3418.2000000000003</v>
      </c>
      <c r="G69" s="441">
        <f t="shared" ref="G69:Q69" si="16">(G66*0.2)*-1</f>
        <v>-3560.4</v>
      </c>
      <c r="H69" s="441">
        <f t="shared" si="16"/>
        <v>-3883</v>
      </c>
      <c r="I69" s="441">
        <f t="shared" si="16"/>
        <v>-4073.4</v>
      </c>
      <c r="J69" s="441">
        <f t="shared" si="16"/>
        <v>-5322.6</v>
      </c>
      <c r="K69" s="441">
        <f t="shared" si="16"/>
        <v>-5191.2000000000007</v>
      </c>
      <c r="L69" s="441">
        <f t="shared" si="16"/>
        <v>-5224</v>
      </c>
      <c r="M69" s="441">
        <f t="shared" si="16"/>
        <v>-4954.2000000000007</v>
      </c>
      <c r="N69" s="441">
        <f t="shared" si="16"/>
        <v>-4154.4000000000005</v>
      </c>
      <c r="O69" s="441">
        <f t="shared" si="16"/>
        <v>-3596.8</v>
      </c>
      <c r="P69" s="441">
        <f t="shared" si="16"/>
        <v>-3707</v>
      </c>
      <c r="Q69" s="441">
        <f t="shared" si="16"/>
        <v>-3168.8</v>
      </c>
      <c r="R69" s="441"/>
      <c r="S69" s="441"/>
      <c r="T69" s="441"/>
      <c r="U69" s="441">
        <f t="shared" si="14"/>
        <v>-50254.000000000007</v>
      </c>
    </row>
    <row r="70" spans="1:21" s="110" customFormat="1" ht="14.4" customHeight="1" x14ac:dyDescent="0.3">
      <c r="A70" s="170"/>
      <c r="B70" s="170"/>
      <c r="C70" s="171" t="s">
        <v>12</v>
      </c>
      <c r="D70" s="170"/>
      <c r="E70" s="170"/>
      <c r="F70" s="306">
        <f>F68+F69</f>
        <v>15428.8</v>
      </c>
      <c r="G70" s="306">
        <f>G68+G69</f>
        <v>15997.6</v>
      </c>
      <c r="H70" s="306">
        <f>H68+H69</f>
        <v>17288</v>
      </c>
      <c r="I70" s="306">
        <f>I68+I69</f>
        <v>18049.599999999999</v>
      </c>
      <c r="J70" s="306">
        <f>J68+J69</f>
        <v>23046.400000000001</v>
      </c>
      <c r="K70" s="306">
        <f t="shared" ref="K70:M70" si="17">K68+K69</f>
        <v>22520.799999999999</v>
      </c>
      <c r="L70" s="306">
        <f t="shared" si="17"/>
        <v>22652</v>
      </c>
      <c r="M70" s="306">
        <f t="shared" si="17"/>
        <v>21616.799999999999</v>
      </c>
      <c r="N70" s="306">
        <f>N68+N69</f>
        <v>18417.599999999999</v>
      </c>
      <c r="O70" s="306">
        <f>O68+O69</f>
        <v>16187.2</v>
      </c>
      <c r="P70" s="306">
        <f t="shared" ref="P70" si="18">P68+P69</f>
        <v>16628</v>
      </c>
      <c r="Q70" s="306">
        <f t="shared" ref="Q70" si="19">Q68+Q69</f>
        <v>14475.2</v>
      </c>
      <c r="R70" s="306"/>
      <c r="S70" s="306"/>
      <c r="T70" s="307"/>
      <c r="U70" s="308">
        <f>SUM(F70:Q70)</f>
        <v>222308.00000000003</v>
      </c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</sheetData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67"/>
  <sheetViews>
    <sheetView showGridLines="0" topLeftCell="A31" workbookViewId="0">
      <selection activeCell="G7" sqref="G7:V7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1" t="s">
        <v>144</v>
      </c>
      <c r="C2" s="130"/>
      <c r="D2" s="9"/>
    </row>
    <row r="3" spans="1:22" x14ac:dyDescent="0.3">
      <c r="A3" s="129" t="s">
        <v>145</v>
      </c>
      <c r="C3" s="14"/>
    </row>
    <row r="4" spans="1:22" x14ac:dyDescent="0.3">
      <c r="A4" s="129" t="s">
        <v>146</v>
      </c>
      <c r="C4" s="14"/>
    </row>
    <row r="6" spans="1:22" x14ac:dyDescent="0.3">
      <c r="B6" s="14" t="s">
        <v>194</v>
      </c>
    </row>
    <row r="7" spans="1:22" x14ac:dyDescent="0.3">
      <c r="A7" s="146"/>
      <c r="B7" s="177" t="s">
        <v>64</v>
      </c>
      <c r="C7" s="151"/>
      <c r="D7" s="151"/>
      <c r="E7" s="151"/>
      <c r="F7" s="151"/>
      <c r="G7" s="466">
        <v>46388</v>
      </c>
      <c r="H7" s="466">
        <v>46419</v>
      </c>
      <c r="I7" s="466">
        <v>46447</v>
      </c>
      <c r="J7" s="466">
        <v>46478</v>
      </c>
      <c r="K7" s="466">
        <v>46508</v>
      </c>
      <c r="L7" s="466">
        <v>46539</v>
      </c>
      <c r="M7" s="466">
        <v>46569</v>
      </c>
      <c r="N7" s="466">
        <v>46600</v>
      </c>
      <c r="O7" s="466">
        <v>46631</v>
      </c>
      <c r="P7" s="466">
        <v>46661</v>
      </c>
      <c r="Q7" s="466">
        <v>46692</v>
      </c>
      <c r="R7" s="466">
        <v>46722</v>
      </c>
      <c r="S7" s="466">
        <v>46753</v>
      </c>
      <c r="T7" s="466">
        <v>46784</v>
      </c>
      <c r="U7" s="466">
        <v>46813</v>
      </c>
      <c r="V7" s="466" t="s">
        <v>72</v>
      </c>
    </row>
    <row r="9" spans="1:22" x14ac:dyDescent="0.3">
      <c r="B9" s="14" t="s">
        <v>170</v>
      </c>
    </row>
    <row r="10" spans="1:22" x14ac:dyDescent="0.3">
      <c r="A10" s="151"/>
      <c r="B10" s="177" t="s">
        <v>147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</row>
    <row r="11" spans="1:22" x14ac:dyDescent="0.3">
      <c r="B11" s="336" t="s">
        <v>37</v>
      </c>
      <c r="C11" s="337"/>
      <c r="D11" s="337"/>
      <c r="E11" s="337"/>
      <c r="F11" s="337"/>
      <c r="G11" s="338">
        <f>SUM(G15+G22)</f>
        <v>27053</v>
      </c>
      <c r="H11" s="338">
        <f t="shared" ref="H11:R11" si="0">SUM(H12:H18)</f>
        <v>38097.816580147868</v>
      </c>
      <c r="I11" s="338">
        <f t="shared" si="0"/>
        <v>38623.82015718909</v>
      </c>
      <c r="J11" s="338">
        <f t="shared" si="0"/>
        <v>39191.817976852544</v>
      </c>
      <c r="K11" s="338">
        <f t="shared" si="0"/>
        <v>40013.838576889153</v>
      </c>
      <c r="L11" s="338">
        <f t="shared" si="0"/>
        <v>41091.829593267881</v>
      </c>
      <c r="M11" s="338">
        <f t="shared" si="0"/>
        <v>41845.815501149737</v>
      </c>
      <c r="N11" s="338">
        <f t="shared" si="0"/>
        <v>42527.826058113307</v>
      </c>
      <c r="O11" s="338">
        <f t="shared" si="0"/>
        <v>43425.826265741453</v>
      </c>
      <c r="P11" s="338">
        <f t="shared" si="0"/>
        <v>44673.845962423788</v>
      </c>
      <c r="Q11" s="338">
        <f t="shared" si="0"/>
        <v>45927.819390516532</v>
      </c>
      <c r="R11" s="338">
        <f t="shared" si="0"/>
        <v>40525.656542056073</v>
      </c>
      <c r="S11" s="338"/>
      <c r="T11" s="338"/>
      <c r="U11" s="338"/>
      <c r="V11" s="338">
        <f>SUM(G11:R11)</f>
        <v>482998.9126043474</v>
      </c>
    </row>
    <row r="12" spans="1:22" x14ac:dyDescent="0.3">
      <c r="B12" s="464" t="s">
        <v>281</v>
      </c>
      <c r="C12" s="340"/>
      <c r="D12" s="337"/>
      <c r="E12" s="340"/>
      <c r="F12" s="340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0"/>
      <c r="T12" s="340"/>
      <c r="U12" s="340"/>
      <c r="V12" s="340"/>
    </row>
    <row r="13" spans="1:22" x14ac:dyDescent="0.3">
      <c r="B13" s="465" t="s">
        <v>273</v>
      </c>
      <c r="C13" s="340"/>
      <c r="D13" s="337"/>
      <c r="E13" s="340"/>
      <c r="F13" s="340"/>
      <c r="G13" s="328">
        <v>5086</v>
      </c>
      <c r="H13" s="328">
        <v>5191</v>
      </c>
      <c r="I13" s="328">
        <v>5322</v>
      </c>
      <c r="J13" s="328">
        <v>5442</v>
      </c>
      <c r="K13" s="328">
        <v>5704</v>
      </c>
      <c r="L13" s="328">
        <v>5915</v>
      </c>
      <c r="M13" s="328">
        <v>6029</v>
      </c>
      <c r="N13" s="328">
        <v>6226</v>
      </c>
      <c r="O13" s="328">
        <v>6430</v>
      </c>
      <c r="P13" s="328">
        <v>6799</v>
      </c>
      <c r="Q13" s="328">
        <v>6964</v>
      </c>
      <c r="R13" s="328">
        <v>5058</v>
      </c>
      <c r="S13" s="328"/>
      <c r="T13" s="328"/>
      <c r="U13" s="328"/>
      <c r="V13" s="340"/>
    </row>
    <row r="14" spans="1:22" x14ac:dyDescent="0.3">
      <c r="B14" s="465" t="s">
        <v>274</v>
      </c>
      <c r="C14" s="340"/>
      <c r="D14" s="337"/>
      <c r="E14" s="340"/>
      <c r="F14" s="340"/>
      <c r="G14" s="328">
        <v>6537</v>
      </c>
      <c r="H14" s="328">
        <v>6357</v>
      </c>
      <c r="I14" s="328">
        <v>6489</v>
      </c>
      <c r="J14" s="328">
        <v>6653</v>
      </c>
      <c r="K14" s="328">
        <v>6802</v>
      </c>
      <c r="L14" s="328">
        <v>7130</v>
      </c>
      <c r="M14" s="328">
        <v>7393</v>
      </c>
      <c r="N14" s="328">
        <v>7537</v>
      </c>
      <c r="O14" s="328">
        <v>7782</v>
      </c>
      <c r="P14" s="328">
        <v>8037</v>
      </c>
      <c r="Q14" s="328">
        <v>8499</v>
      </c>
      <c r="R14" s="328">
        <v>7704</v>
      </c>
      <c r="S14" s="328"/>
      <c r="T14" s="328"/>
      <c r="U14" s="328"/>
      <c r="V14" s="340"/>
    </row>
    <row r="15" spans="1:22" x14ac:dyDescent="0.3">
      <c r="B15" s="465" t="s">
        <v>276</v>
      </c>
      <c r="C15" s="340"/>
      <c r="D15" s="337"/>
      <c r="E15" s="340"/>
      <c r="F15" s="340"/>
      <c r="G15" s="328">
        <f>SUM(G13:G14)</f>
        <v>11623</v>
      </c>
      <c r="H15" s="328">
        <f t="shared" ref="H15:Q15" si="1">SUM(H13:H14)</f>
        <v>11548</v>
      </c>
      <c r="I15" s="328">
        <f t="shared" si="1"/>
        <v>11811</v>
      </c>
      <c r="J15" s="328">
        <f t="shared" si="1"/>
        <v>12095</v>
      </c>
      <c r="K15" s="328">
        <f t="shared" si="1"/>
        <v>12506</v>
      </c>
      <c r="L15" s="328">
        <f t="shared" si="1"/>
        <v>13045</v>
      </c>
      <c r="M15" s="328">
        <f t="shared" si="1"/>
        <v>13422</v>
      </c>
      <c r="N15" s="328">
        <f t="shared" si="1"/>
        <v>13763</v>
      </c>
      <c r="O15" s="328">
        <f t="shared" si="1"/>
        <v>14212</v>
      </c>
      <c r="P15" s="328">
        <f t="shared" si="1"/>
        <v>14836</v>
      </c>
      <c r="Q15" s="328">
        <f t="shared" si="1"/>
        <v>15463</v>
      </c>
      <c r="R15" s="328">
        <f>SUM(R13:R14)</f>
        <v>12762</v>
      </c>
      <c r="S15" s="328"/>
      <c r="T15" s="328"/>
      <c r="U15" s="328"/>
      <c r="V15" s="340"/>
    </row>
    <row r="16" spans="1:22" x14ac:dyDescent="0.3">
      <c r="B16" s="465" t="s">
        <v>277</v>
      </c>
      <c r="C16" s="340"/>
      <c r="D16" s="337"/>
      <c r="E16" s="340"/>
      <c r="F16" s="340"/>
      <c r="G16" s="330">
        <v>15000</v>
      </c>
      <c r="H16" s="330">
        <v>15000</v>
      </c>
      <c r="I16" s="330">
        <v>15000</v>
      </c>
      <c r="J16" s="330">
        <v>15000</v>
      </c>
      <c r="K16" s="330">
        <v>15000</v>
      </c>
      <c r="L16" s="330">
        <v>15000</v>
      </c>
      <c r="M16" s="330">
        <v>15000</v>
      </c>
      <c r="N16" s="330">
        <v>15000</v>
      </c>
      <c r="O16" s="330">
        <v>15000</v>
      </c>
      <c r="P16" s="330">
        <v>15000</v>
      </c>
      <c r="Q16" s="330">
        <v>15000</v>
      </c>
      <c r="R16" s="330">
        <v>15000</v>
      </c>
      <c r="S16" s="330"/>
      <c r="T16" s="330"/>
      <c r="U16" s="330"/>
      <c r="V16" s="340"/>
    </row>
    <row r="17" spans="1:22" x14ac:dyDescent="0.3">
      <c r="B17" s="465" t="s">
        <v>275</v>
      </c>
      <c r="C17" s="340"/>
      <c r="D17" s="337"/>
      <c r="E17" s="340"/>
      <c r="F17" s="340"/>
      <c r="G17" s="329">
        <f>G15/G$14</f>
        <v>1.7780327367293867</v>
      </c>
      <c r="H17" s="329">
        <f t="shared" ref="H17:R17" si="2">H15/H$14</f>
        <v>1.8165801478684915</v>
      </c>
      <c r="I17" s="329">
        <f t="shared" si="2"/>
        <v>1.8201571890892279</v>
      </c>
      <c r="J17" s="329">
        <f t="shared" si="2"/>
        <v>1.8179768525477229</v>
      </c>
      <c r="K17" s="329">
        <f t="shared" si="2"/>
        <v>1.8385768891502499</v>
      </c>
      <c r="L17" s="329">
        <f t="shared" si="2"/>
        <v>1.829593267882188</v>
      </c>
      <c r="M17" s="329">
        <f t="shared" si="2"/>
        <v>1.815501149736237</v>
      </c>
      <c r="N17" s="329">
        <f t="shared" si="2"/>
        <v>1.8260581133076821</v>
      </c>
      <c r="O17" s="329">
        <f t="shared" si="2"/>
        <v>1.8262657414546388</v>
      </c>
      <c r="P17" s="329">
        <f t="shared" si="2"/>
        <v>1.8459624237899714</v>
      </c>
      <c r="Q17" s="329">
        <f t="shared" si="2"/>
        <v>1.8193905165313566</v>
      </c>
      <c r="R17" s="329">
        <f t="shared" si="2"/>
        <v>1.6565420560747663</v>
      </c>
      <c r="S17" s="329"/>
      <c r="T17" s="329"/>
      <c r="U17" s="329"/>
      <c r="V17" s="340"/>
    </row>
    <row r="18" spans="1:22" x14ac:dyDescent="0.3">
      <c r="B18" s="465"/>
      <c r="C18" s="340"/>
      <c r="D18" s="337"/>
      <c r="E18" s="340"/>
      <c r="F18" s="340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40"/>
    </row>
    <row r="19" spans="1:22" x14ac:dyDescent="0.3">
      <c r="B19" s="464" t="s">
        <v>280</v>
      </c>
      <c r="C19" s="340"/>
      <c r="D19" s="337"/>
      <c r="E19" s="340"/>
      <c r="F19" s="340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40"/>
    </row>
    <row r="20" spans="1:22" x14ac:dyDescent="0.3">
      <c r="B20" s="465" t="s">
        <v>278</v>
      </c>
      <c r="C20" s="340"/>
      <c r="D20" s="337"/>
      <c r="E20" s="340"/>
      <c r="F20" s="340"/>
      <c r="G20" s="328">
        <v>7393</v>
      </c>
      <c r="H20" s="328">
        <v>7537</v>
      </c>
      <c r="I20" s="328">
        <v>7782</v>
      </c>
      <c r="J20" s="328">
        <v>8037</v>
      </c>
      <c r="K20" s="328">
        <v>8499</v>
      </c>
      <c r="L20" s="328">
        <v>8704</v>
      </c>
      <c r="M20" s="328">
        <v>8877</v>
      </c>
      <c r="N20" s="328">
        <v>8800</v>
      </c>
      <c r="O20" s="328">
        <v>7782</v>
      </c>
      <c r="P20" s="328">
        <v>6037</v>
      </c>
      <c r="Q20" s="328">
        <v>5499</v>
      </c>
      <c r="R20" s="328">
        <v>5704</v>
      </c>
      <c r="S20" s="328"/>
      <c r="T20" s="328"/>
      <c r="U20" s="328"/>
      <c r="V20" s="340"/>
    </row>
    <row r="21" spans="1:22" x14ac:dyDescent="0.3">
      <c r="B21" s="465" t="s">
        <v>279</v>
      </c>
      <c r="C21" s="340"/>
      <c r="D21" s="337"/>
      <c r="E21" s="340"/>
      <c r="F21" s="340"/>
      <c r="G21" s="328">
        <v>8037</v>
      </c>
      <c r="H21" s="328">
        <v>8499</v>
      </c>
      <c r="I21" s="328">
        <v>9204</v>
      </c>
      <c r="J21" s="328">
        <v>9204</v>
      </c>
      <c r="K21" s="328">
        <v>11294</v>
      </c>
      <c r="L21" s="328">
        <v>12034</v>
      </c>
      <c r="M21" s="328">
        <v>12122</v>
      </c>
      <c r="N21" s="328">
        <v>12122</v>
      </c>
      <c r="O21" s="328">
        <v>8704</v>
      </c>
      <c r="P21" s="328">
        <v>7037</v>
      </c>
      <c r="Q21" s="328">
        <v>7499</v>
      </c>
      <c r="R21" s="328">
        <v>7304</v>
      </c>
      <c r="S21" s="328"/>
      <c r="T21" s="328"/>
      <c r="U21" s="328"/>
      <c r="V21" s="340"/>
    </row>
    <row r="22" spans="1:22" x14ac:dyDescent="0.3">
      <c r="B22" s="465" t="s">
        <v>276</v>
      </c>
      <c r="C22" s="340"/>
      <c r="D22" s="337"/>
      <c r="E22" s="340"/>
      <c r="F22" s="340"/>
      <c r="G22" s="328">
        <f>SUM(G20:G21)</f>
        <v>15430</v>
      </c>
      <c r="H22" s="328">
        <f t="shared" ref="H22:R22" si="3">SUM(H20:H21)</f>
        <v>16036</v>
      </c>
      <c r="I22" s="328">
        <f t="shared" si="3"/>
        <v>16986</v>
      </c>
      <c r="J22" s="328">
        <f t="shared" si="3"/>
        <v>17241</v>
      </c>
      <c r="K22" s="328">
        <f t="shared" si="3"/>
        <v>19793</v>
      </c>
      <c r="L22" s="328">
        <f t="shared" si="3"/>
        <v>20738</v>
      </c>
      <c r="M22" s="328">
        <f t="shared" si="3"/>
        <v>20999</v>
      </c>
      <c r="N22" s="328">
        <f t="shared" si="3"/>
        <v>20922</v>
      </c>
      <c r="O22" s="328">
        <f t="shared" si="3"/>
        <v>16486</v>
      </c>
      <c r="P22" s="328">
        <f t="shared" si="3"/>
        <v>13074</v>
      </c>
      <c r="Q22" s="328">
        <f t="shared" si="3"/>
        <v>12998</v>
      </c>
      <c r="R22" s="328">
        <f t="shared" si="3"/>
        <v>13008</v>
      </c>
      <c r="S22" s="328"/>
      <c r="T22" s="328"/>
      <c r="U22" s="328"/>
      <c r="V22" s="340"/>
    </row>
    <row r="23" spans="1:22" x14ac:dyDescent="0.3">
      <c r="B23" s="465" t="s">
        <v>277</v>
      </c>
      <c r="C23" s="340"/>
      <c r="D23" s="337"/>
      <c r="E23" s="340"/>
      <c r="F23" s="340"/>
      <c r="G23" s="327">
        <v>21000</v>
      </c>
      <c r="H23" s="327">
        <v>21000</v>
      </c>
      <c r="I23" s="327">
        <v>21000</v>
      </c>
      <c r="J23" s="327">
        <v>21000</v>
      </c>
      <c r="K23" s="327">
        <v>21000</v>
      </c>
      <c r="L23" s="327">
        <v>21000</v>
      </c>
      <c r="M23" s="327">
        <v>21000</v>
      </c>
      <c r="N23" s="327">
        <v>21000</v>
      </c>
      <c r="O23" s="327">
        <v>21000</v>
      </c>
      <c r="P23" s="327">
        <v>21000</v>
      </c>
      <c r="Q23" s="327">
        <v>21000</v>
      </c>
      <c r="R23" s="327">
        <v>21000</v>
      </c>
      <c r="S23" s="327"/>
      <c r="T23" s="327"/>
      <c r="U23" s="327"/>
      <c r="V23" s="340"/>
    </row>
    <row r="24" spans="1:22" x14ac:dyDescent="0.3">
      <c r="B24" s="465" t="s">
        <v>275</v>
      </c>
      <c r="C24" s="340"/>
      <c r="D24" s="337"/>
      <c r="E24" s="340"/>
      <c r="F24" s="340"/>
      <c r="G24" s="329">
        <f>G22/G$21</f>
        <v>1.9198705984820206</v>
      </c>
      <c r="H24" s="329">
        <f t="shared" ref="H24:R24" si="4">H22/H$21</f>
        <v>1.8868102129662314</v>
      </c>
      <c r="I24" s="329">
        <f t="shared" si="4"/>
        <v>1.8455019556714471</v>
      </c>
      <c r="J24" s="329">
        <f t="shared" si="4"/>
        <v>1.8732073011734029</v>
      </c>
      <c r="K24" s="329">
        <f t="shared" si="4"/>
        <v>1.7525234637860811</v>
      </c>
      <c r="L24" s="329">
        <f t="shared" si="4"/>
        <v>1.7232840285856739</v>
      </c>
      <c r="M24" s="329">
        <f t="shared" si="4"/>
        <v>1.7323049001814883</v>
      </c>
      <c r="N24" s="329">
        <f t="shared" si="4"/>
        <v>1.7259528130671506</v>
      </c>
      <c r="O24" s="329">
        <f t="shared" si="4"/>
        <v>1.8940716911764706</v>
      </c>
      <c r="P24" s="329">
        <f t="shared" si="4"/>
        <v>1.8578939889157311</v>
      </c>
      <c r="Q24" s="329">
        <f t="shared" si="4"/>
        <v>1.7332977730364048</v>
      </c>
      <c r="R24" s="329">
        <f t="shared" si="4"/>
        <v>1.7809419496166483</v>
      </c>
      <c r="S24" s="329"/>
      <c r="T24" s="329"/>
      <c r="U24" s="329"/>
      <c r="V24" s="340"/>
    </row>
    <row r="25" spans="1:22" x14ac:dyDescent="0.3">
      <c r="B25" s="336" t="s">
        <v>38</v>
      </c>
      <c r="C25" s="337"/>
      <c r="D25" s="337"/>
      <c r="E25" s="337"/>
      <c r="F25" s="337"/>
      <c r="G25" s="438">
        <v>-325</v>
      </c>
      <c r="H25" s="438">
        <v>-325</v>
      </c>
      <c r="I25" s="438">
        <v>-325</v>
      </c>
      <c r="J25" s="438">
        <v>-325</v>
      </c>
      <c r="K25" s="438">
        <v>-325</v>
      </c>
      <c r="L25" s="438">
        <v>-325</v>
      </c>
      <c r="M25" s="438">
        <v>-325</v>
      </c>
      <c r="N25" s="438">
        <v>-325</v>
      </c>
      <c r="O25" s="438">
        <v>-325</v>
      </c>
      <c r="P25" s="438">
        <v>-325</v>
      </c>
      <c r="Q25" s="438">
        <v>-325</v>
      </c>
      <c r="R25" s="438">
        <v>-325</v>
      </c>
      <c r="S25" s="451"/>
      <c r="T25" s="451"/>
      <c r="U25" s="451"/>
      <c r="V25" s="451">
        <f>SUM(G25:R25)</f>
        <v>-3900</v>
      </c>
    </row>
    <row r="26" spans="1:22" x14ac:dyDescent="0.3">
      <c r="B26" s="336" t="s">
        <v>148</v>
      </c>
      <c r="C26" s="337"/>
      <c r="D26" s="337"/>
      <c r="E26" s="337"/>
      <c r="F26" s="337"/>
      <c r="G26" s="438">
        <f>'IS 2025'!F69</f>
        <v>-5900</v>
      </c>
      <c r="H26" s="438">
        <f>'IS 2025'!G69</f>
        <v>-5625</v>
      </c>
      <c r="I26" s="438">
        <f>'IS 2025'!H69</f>
        <v>-5350</v>
      </c>
      <c r="J26" s="438">
        <f>'IS 2025'!I69</f>
        <v>-5075</v>
      </c>
      <c r="K26" s="438">
        <f>'IS 2025'!J69</f>
        <v>-4800</v>
      </c>
      <c r="L26" s="438">
        <f>'IS 2025'!K69</f>
        <v>-4525</v>
      </c>
      <c r="M26" s="438">
        <f>'IS 2025'!L69</f>
        <v>-4250</v>
      </c>
      <c r="N26" s="438">
        <f>'IS 2025'!M69</f>
        <v>-3975</v>
      </c>
      <c r="O26" s="438">
        <f>'IS 2025'!N69</f>
        <v>-3700</v>
      </c>
      <c r="P26" s="438">
        <f>'IS 2025'!O69</f>
        <v>-3425</v>
      </c>
      <c r="Q26" s="438">
        <f>'IS 2025'!P69</f>
        <v>-3150</v>
      </c>
      <c r="R26" s="438">
        <f>'IS 2025'!Q69</f>
        <v>-2875</v>
      </c>
      <c r="S26" s="451"/>
      <c r="T26" s="451"/>
      <c r="U26" s="451"/>
      <c r="V26" s="437"/>
    </row>
    <row r="27" spans="1:22" x14ac:dyDescent="0.3">
      <c r="B27" s="336" t="s">
        <v>149</v>
      </c>
      <c r="C27" s="337"/>
      <c r="D27" s="337"/>
      <c r="E27" s="337"/>
      <c r="F27" s="337"/>
      <c r="G27" s="438">
        <f>'CF 2025'!S59</f>
        <v>-4130.6000000000004</v>
      </c>
      <c r="H27" s="438">
        <f>'CF 2025'!T59</f>
        <v>-4272.8</v>
      </c>
      <c r="I27" s="438">
        <f>'CF 2025'!U59</f>
        <v>-4515.4000000000005</v>
      </c>
      <c r="J27" s="438">
        <f>'IS 2025'!I71</f>
        <v>-4583.2</v>
      </c>
      <c r="K27" s="438">
        <f>'IS 2025'!J71</f>
        <v>-5175.8</v>
      </c>
      <c r="L27" s="438">
        <f>'IS 2025'!K71</f>
        <v>-5472.6</v>
      </c>
      <c r="M27" s="438">
        <f>'IS 2025'!L71</f>
        <v>-5600.2000000000007</v>
      </c>
      <c r="N27" s="438">
        <f>'IS 2025'!M71</f>
        <v>-5653</v>
      </c>
      <c r="O27" s="438">
        <f>'IS 2025'!N71</f>
        <v>-4855.6000000000004</v>
      </c>
      <c r="P27" s="438">
        <f>'IS 2025'!O71</f>
        <v>-4298</v>
      </c>
      <c r="Q27" s="438">
        <f>'IS 2025'!P71</f>
        <v>-4408.2</v>
      </c>
      <c r="R27" s="438">
        <f>'IS 2025'!Q71</f>
        <v>-3910</v>
      </c>
      <c r="S27" s="451"/>
      <c r="T27" s="451"/>
      <c r="U27" s="451"/>
      <c r="V27" s="437"/>
    </row>
    <row r="28" spans="1:22" x14ac:dyDescent="0.3">
      <c r="A28" s="151"/>
      <c r="B28" s="180" t="s">
        <v>150</v>
      </c>
      <c r="C28" s="151"/>
      <c r="D28" s="151"/>
      <c r="E28" s="151"/>
      <c r="F28" s="151"/>
      <c r="G28" s="158">
        <f>G11</f>
        <v>27053</v>
      </c>
      <c r="H28" s="158">
        <f t="shared" ref="H28:R28" si="5">H11</f>
        <v>38097.816580147868</v>
      </c>
      <c r="I28" s="158">
        <f t="shared" si="5"/>
        <v>38623.82015718909</v>
      </c>
      <c r="J28" s="158">
        <f t="shared" si="5"/>
        <v>39191.817976852544</v>
      </c>
      <c r="K28" s="158">
        <f t="shared" si="5"/>
        <v>40013.838576889153</v>
      </c>
      <c r="L28" s="158">
        <f t="shared" si="5"/>
        <v>41091.829593267881</v>
      </c>
      <c r="M28" s="158">
        <f t="shared" si="5"/>
        <v>41845.815501149737</v>
      </c>
      <c r="N28" s="158">
        <f t="shared" si="5"/>
        <v>42527.826058113307</v>
      </c>
      <c r="O28" s="158">
        <f t="shared" si="5"/>
        <v>43425.826265741453</v>
      </c>
      <c r="P28" s="158">
        <f t="shared" si="5"/>
        <v>44673.845962423788</v>
      </c>
      <c r="Q28" s="158">
        <f t="shared" si="5"/>
        <v>45927.819390516532</v>
      </c>
      <c r="R28" s="158">
        <f t="shared" si="5"/>
        <v>40525.656542056073</v>
      </c>
      <c r="S28" s="158"/>
      <c r="T28" s="158"/>
      <c r="U28" s="158"/>
      <c r="V28" s="158">
        <f>SUM(G28:R28)</f>
        <v>482998.9126043474</v>
      </c>
    </row>
    <row r="29" spans="1:22" x14ac:dyDescent="0.3">
      <c r="A29" s="152"/>
      <c r="B29" s="202" t="s">
        <v>151</v>
      </c>
      <c r="C29" s="152"/>
      <c r="D29" s="152"/>
      <c r="E29" s="152"/>
      <c r="F29" s="152"/>
      <c r="G29" s="153">
        <f>SUM(G25:G27)</f>
        <v>-10355.6</v>
      </c>
      <c r="H29" s="153">
        <f t="shared" ref="H29:R29" si="6">SUM(H25:H27)</f>
        <v>-10222.799999999999</v>
      </c>
      <c r="I29" s="153">
        <f t="shared" si="6"/>
        <v>-10190.400000000001</v>
      </c>
      <c r="J29" s="153">
        <f t="shared" si="6"/>
        <v>-9983.2000000000007</v>
      </c>
      <c r="K29" s="153">
        <f t="shared" si="6"/>
        <v>-10300.799999999999</v>
      </c>
      <c r="L29" s="153">
        <f t="shared" si="6"/>
        <v>-10322.6</v>
      </c>
      <c r="M29" s="153">
        <f t="shared" si="6"/>
        <v>-10175.200000000001</v>
      </c>
      <c r="N29" s="153">
        <f t="shared" si="6"/>
        <v>-9953</v>
      </c>
      <c r="O29" s="153">
        <f t="shared" si="6"/>
        <v>-8880.6</v>
      </c>
      <c r="P29" s="153">
        <f t="shared" si="6"/>
        <v>-8048</v>
      </c>
      <c r="Q29" s="153">
        <f t="shared" si="6"/>
        <v>-7883.2</v>
      </c>
      <c r="R29" s="153">
        <f t="shared" si="6"/>
        <v>-7110</v>
      </c>
      <c r="S29" s="153"/>
      <c r="T29" s="153"/>
      <c r="U29" s="153"/>
      <c r="V29" s="153">
        <f>SUM(G29:R29)</f>
        <v>-113425.40000000001</v>
      </c>
    </row>
    <row r="30" spans="1:22" x14ac:dyDescent="0.3">
      <c r="B30" s="340" t="s">
        <v>152</v>
      </c>
      <c r="C30" s="340"/>
      <c r="D30" s="340"/>
      <c r="E30" s="340"/>
      <c r="F30" s="340"/>
      <c r="G30" s="154">
        <f>SUM(G28:G29)</f>
        <v>16697.400000000001</v>
      </c>
      <c r="H30" s="154">
        <f t="shared" ref="H30:R30" si="7">SUM(H28:H29)</f>
        <v>27875.016580147869</v>
      </c>
      <c r="I30" s="154">
        <f t="shared" si="7"/>
        <v>28433.420157189088</v>
      </c>
      <c r="J30" s="154">
        <f t="shared" si="7"/>
        <v>29208.617976852544</v>
      </c>
      <c r="K30" s="154">
        <f t="shared" si="7"/>
        <v>29713.038576889154</v>
      </c>
      <c r="L30" s="154">
        <f t="shared" si="7"/>
        <v>30769.229593267883</v>
      </c>
      <c r="M30" s="154">
        <f t="shared" si="7"/>
        <v>31670.615501149736</v>
      </c>
      <c r="N30" s="154">
        <f t="shared" si="7"/>
        <v>32574.826058113307</v>
      </c>
      <c r="O30" s="154">
        <f t="shared" si="7"/>
        <v>34545.226265741454</v>
      </c>
      <c r="P30" s="154">
        <f t="shared" si="7"/>
        <v>36625.845962423788</v>
      </c>
      <c r="Q30" s="154">
        <f t="shared" si="7"/>
        <v>38044.619390516535</v>
      </c>
      <c r="R30" s="154">
        <f t="shared" si="7"/>
        <v>33415.656542056073</v>
      </c>
      <c r="S30" s="154"/>
      <c r="T30" s="154"/>
      <c r="U30" s="154"/>
      <c r="V30" s="154">
        <f>SUM(G30:R30)</f>
        <v>369573.51260434743</v>
      </c>
    </row>
    <row r="31" spans="1:22" x14ac:dyDescent="0.3">
      <c r="B31" s="340" t="s">
        <v>196</v>
      </c>
      <c r="C31" s="340"/>
      <c r="D31" s="340"/>
      <c r="E31" s="340"/>
      <c r="F31" s="340"/>
      <c r="G31" s="154">
        <f>'IS 2025'!F67+G30</f>
        <v>14847.400000000001</v>
      </c>
      <c r="H31" s="154">
        <f>'IS 2024'!G68+H30</f>
        <v>26425.016580147869</v>
      </c>
      <c r="I31" s="154">
        <f>'IS 2024'!H68+I30</f>
        <v>26983.420157189088</v>
      </c>
      <c r="J31" s="154">
        <f>'IS 2024'!I68+J30</f>
        <v>27758.617976852544</v>
      </c>
      <c r="K31" s="154">
        <f>'IS 2024'!J68+K30</f>
        <v>28263.038576889154</v>
      </c>
      <c r="L31" s="154">
        <f>'IS 2024'!K68+L30</f>
        <v>29319.229593267883</v>
      </c>
      <c r="M31" s="154">
        <f>'IS 2024'!L68+M30</f>
        <v>30220.615501149736</v>
      </c>
      <c r="N31" s="154">
        <f>'IS 2024'!M68+N30</f>
        <v>31124.826058113307</v>
      </c>
      <c r="O31" s="154">
        <f>'IS 2024'!N68+O30</f>
        <v>33095.226265741454</v>
      </c>
      <c r="P31" s="154">
        <f>'IS 2024'!O68+P30</f>
        <v>35175.845962423788</v>
      </c>
      <c r="Q31" s="154">
        <f>'IS 2024'!P68+Q30</f>
        <v>36594.619390516535</v>
      </c>
      <c r="R31" s="154">
        <f>'IS 2024'!Q68+R30</f>
        <v>31565.656542056073</v>
      </c>
      <c r="S31" s="154"/>
      <c r="T31" s="154"/>
      <c r="U31" s="154"/>
      <c r="V31" s="154"/>
    </row>
    <row r="32" spans="1:22" x14ac:dyDescent="0.3">
      <c r="B32" s="341" t="s">
        <v>153</v>
      </c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37"/>
    </row>
    <row r="33" spans="2:22" x14ac:dyDescent="0.3">
      <c r="B33" s="343" t="s">
        <v>154</v>
      </c>
      <c r="C33" s="340"/>
      <c r="D33" s="340"/>
      <c r="E33" s="340"/>
      <c r="F33" s="340"/>
      <c r="G33" s="154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154"/>
      <c r="T33" s="340"/>
      <c r="U33" s="340"/>
      <c r="V33" s="337"/>
    </row>
    <row r="34" spans="2:22" x14ac:dyDescent="0.3">
      <c r="B34" s="344" t="s">
        <v>117</v>
      </c>
      <c r="C34" s="340"/>
      <c r="D34" s="340"/>
      <c r="E34" s="340"/>
      <c r="F34" s="340"/>
      <c r="G34" s="154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455"/>
      <c r="T34" s="340"/>
      <c r="U34" s="340"/>
      <c r="V34" s="337"/>
    </row>
    <row r="35" spans="2:22" x14ac:dyDescent="0.3">
      <c r="B35" s="343" t="s">
        <v>155</v>
      </c>
      <c r="C35" s="340"/>
      <c r="D35" s="340"/>
      <c r="E35" s="340"/>
      <c r="F35" s="340"/>
      <c r="G35" s="154">
        <f>SUM(G33:G34)</f>
        <v>0</v>
      </c>
      <c r="H35" s="154">
        <f t="shared" ref="H35:R35" si="8">SUM(H33:H34)</f>
        <v>0</v>
      </c>
      <c r="I35" s="154">
        <f t="shared" si="8"/>
        <v>0</v>
      </c>
      <c r="J35" s="154">
        <f t="shared" si="8"/>
        <v>0</v>
      </c>
      <c r="K35" s="154">
        <f t="shared" si="8"/>
        <v>0</v>
      </c>
      <c r="L35" s="154">
        <f t="shared" si="8"/>
        <v>0</v>
      </c>
      <c r="M35" s="154">
        <f t="shared" si="8"/>
        <v>0</v>
      </c>
      <c r="N35" s="154">
        <f t="shared" si="8"/>
        <v>0</v>
      </c>
      <c r="O35" s="154">
        <f t="shared" si="8"/>
        <v>0</v>
      </c>
      <c r="P35" s="154">
        <f t="shared" si="8"/>
        <v>0</v>
      </c>
      <c r="Q35" s="154">
        <f t="shared" si="8"/>
        <v>0</v>
      </c>
      <c r="R35" s="154">
        <f t="shared" si="8"/>
        <v>0</v>
      </c>
      <c r="S35" s="154"/>
      <c r="T35" s="154"/>
      <c r="U35" s="154"/>
      <c r="V35" s="337"/>
    </row>
    <row r="36" spans="2:22" x14ac:dyDescent="0.3">
      <c r="B36" s="345" t="s">
        <v>156</v>
      </c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37"/>
    </row>
    <row r="37" spans="2:22" x14ac:dyDescent="0.3">
      <c r="B37" s="336" t="s">
        <v>157</v>
      </c>
      <c r="C37" s="337"/>
      <c r="D37" s="337"/>
      <c r="E37" s="337"/>
      <c r="F37" s="337"/>
      <c r="G37" s="219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</row>
    <row r="38" spans="2:22" x14ac:dyDescent="0.3">
      <c r="B38" s="346" t="s">
        <v>117</v>
      </c>
      <c r="C38" s="337"/>
      <c r="D38" s="337"/>
      <c r="E38" s="337"/>
      <c r="F38" s="337"/>
      <c r="G38" s="219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</row>
    <row r="39" spans="2:22" x14ac:dyDescent="0.3">
      <c r="B39" s="346" t="s">
        <v>118</v>
      </c>
      <c r="C39" s="337"/>
      <c r="D39" s="337"/>
      <c r="E39" s="337"/>
      <c r="F39" s="337"/>
      <c r="G39" s="219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</row>
    <row r="40" spans="2:22" x14ac:dyDescent="0.3">
      <c r="B40" s="346" t="s">
        <v>119</v>
      </c>
      <c r="C40" s="337"/>
      <c r="D40" s="337"/>
      <c r="E40" s="337"/>
      <c r="F40" s="337"/>
      <c r="G40" s="219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</row>
    <row r="41" spans="2:22" x14ac:dyDescent="0.3">
      <c r="B41" s="336" t="s">
        <v>158</v>
      </c>
      <c r="C41" s="337"/>
      <c r="D41" s="337"/>
      <c r="E41" s="337"/>
      <c r="F41" s="337"/>
      <c r="G41" s="219">
        <v>0</v>
      </c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19">
        <v>0</v>
      </c>
      <c r="O41" s="219">
        <v>0</v>
      </c>
      <c r="P41" s="219">
        <v>0</v>
      </c>
      <c r="Q41" s="219">
        <v>0</v>
      </c>
      <c r="R41" s="219">
        <v>0</v>
      </c>
      <c r="S41" s="219">
        <v>0</v>
      </c>
      <c r="T41" s="219">
        <v>0</v>
      </c>
      <c r="U41" s="219"/>
      <c r="V41" s="219">
        <f>SUM(G37:R41)</f>
        <v>0</v>
      </c>
    </row>
    <row r="42" spans="2:22" x14ac:dyDescent="0.3">
      <c r="B42" s="346" t="s">
        <v>117</v>
      </c>
      <c r="C42" s="337"/>
      <c r="D42" s="337"/>
      <c r="E42" s="337"/>
      <c r="F42" s="337"/>
      <c r="G42" s="337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337"/>
    </row>
    <row r="43" spans="2:22" x14ac:dyDescent="0.3">
      <c r="B43" s="336" t="s">
        <v>159</v>
      </c>
      <c r="C43" s="337"/>
      <c r="D43" s="337"/>
      <c r="E43" s="337"/>
      <c r="F43" s="337"/>
      <c r="G43" s="219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</row>
    <row r="44" spans="2:22" x14ac:dyDescent="0.3">
      <c r="B44" s="346" t="s">
        <v>117</v>
      </c>
      <c r="C44" s="337"/>
      <c r="D44" s="337"/>
      <c r="E44" s="337"/>
      <c r="F44" s="337"/>
      <c r="G44" s="219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</row>
    <row r="45" spans="2:22" x14ac:dyDescent="0.3">
      <c r="B45" s="336" t="s">
        <v>160</v>
      </c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</row>
    <row r="46" spans="2:22" x14ac:dyDescent="0.3">
      <c r="B46" s="346" t="s">
        <v>117</v>
      </c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</row>
    <row r="47" spans="2:22" x14ac:dyDescent="0.3">
      <c r="B47" s="336" t="s">
        <v>161</v>
      </c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</row>
    <row r="48" spans="2:22" x14ac:dyDescent="0.3">
      <c r="B48" s="346" t="s">
        <v>117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</row>
    <row r="49" spans="1:22" x14ac:dyDescent="0.3">
      <c r="B49" s="336" t="s">
        <v>45</v>
      </c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</row>
    <row r="50" spans="1:22" x14ac:dyDescent="0.3">
      <c r="B50" s="336" t="s">
        <v>162</v>
      </c>
      <c r="C50" s="337"/>
      <c r="D50" s="337"/>
      <c r="E50" s="337"/>
      <c r="F50" s="337"/>
      <c r="G50" s="219">
        <f>SUM(G37:G49)</f>
        <v>0</v>
      </c>
      <c r="H50" s="219">
        <f t="shared" ref="H50:R50" si="9">SUM(H37:H49)</f>
        <v>0</v>
      </c>
      <c r="I50" s="219">
        <f t="shared" si="9"/>
        <v>0</v>
      </c>
      <c r="J50" s="219">
        <f t="shared" si="9"/>
        <v>0</v>
      </c>
      <c r="K50" s="219">
        <f t="shared" si="9"/>
        <v>0</v>
      </c>
      <c r="L50" s="219">
        <f t="shared" si="9"/>
        <v>0</v>
      </c>
      <c r="M50" s="219">
        <f t="shared" si="9"/>
        <v>0</v>
      </c>
      <c r="N50" s="219">
        <f t="shared" si="9"/>
        <v>0</v>
      </c>
      <c r="O50" s="219">
        <f t="shared" si="9"/>
        <v>0</v>
      </c>
      <c r="P50" s="219">
        <f t="shared" si="9"/>
        <v>0</v>
      </c>
      <c r="Q50" s="219">
        <f t="shared" si="9"/>
        <v>0</v>
      </c>
      <c r="R50" s="219">
        <f t="shared" si="9"/>
        <v>0</v>
      </c>
      <c r="S50" s="219"/>
      <c r="T50" s="219"/>
      <c r="U50" s="219"/>
      <c r="V50" s="337"/>
    </row>
    <row r="51" spans="1:22" x14ac:dyDescent="0.3">
      <c r="B51" s="456" t="s">
        <v>163</v>
      </c>
      <c r="C51" s="457"/>
      <c r="D51" s="457"/>
      <c r="E51" s="457"/>
      <c r="F51" s="457"/>
      <c r="G51" s="459">
        <f>G60</f>
        <v>17409.8</v>
      </c>
      <c r="H51" s="459">
        <f>H30+H50</f>
        <v>27875.016580147869</v>
      </c>
      <c r="I51" s="459">
        <f>I30+I50</f>
        <v>28433.420157189088</v>
      </c>
      <c r="J51" s="459">
        <f>J30+J50</f>
        <v>29208.617976852544</v>
      </c>
      <c r="K51" s="459">
        <f t="shared" ref="K51:R51" si="10">K30+K50</f>
        <v>29713.038576889154</v>
      </c>
      <c r="L51" s="459">
        <f t="shared" si="10"/>
        <v>30769.229593267883</v>
      </c>
      <c r="M51" s="459">
        <f t="shared" si="10"/>
        <v>31670.615501149736</v>
      </c>
      <c r="N51" s="459">
        <f t="shared" si="10"/>
        <v>32574.826058113307</v>
      </c>
      <c r="O51" s="459">
        <f t="shared" si="10"/>
        <v>34545.226265741454</v>
      </c>
      <c r="P51" s="459">
        <f t="shared" si="10"/>
        <v>36625.845962423788</v>
      </c>
      <c r="Q51" s="459">
        <f t="shared" si="10"/>
        <v>38044.619390516535</v>
      </c>
      <c r="R51" s="459">
        <f t="shared" si="10"/>
        <v>33415.656542056073</v>
      </c>
      <c r="S51" s="459"/>
      <c r="T51" s="459"/>
      <c r="U51" s="459"/>
      <c r="V51" s="459">
        <f>SUM(G51:R51)</f>
        <v>370285.9126043474</v>
      </c>
    </row>
    <row r="52" spans="1:22" x14ac:dyDescent="0.3">
      <c r="A52" s="151"/>
      <c r="B52" s="177" t="s">
        <v>164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</row>
    <row r="53" spans="1:22" x14ac:dyDescent="0.3">
      <c r="B53" s="347" t="s">
        <v>155</v>
      </c>
      <c r="C53" s="347"/>
      <c r="D53" s="347"/>
      <c r="E53" s="347"/>
      <c r="F53" s="347"/>
      <c r="G53" s="460">
        <f>G35</f>
        <v>0</v>
      </c>
      <c r="H53" s="460">
        <f t="shared" ref="H53:R53" si="11">H35</f>
        <v>0</v>
      </c>
      <c r="I53" s="460">
        <f t="shared" si="11"/>
        <v>0</v>
      </c>
      <c r="J53" s="460">
        <f t="shared" si="11"/>
        <v>0</v>
      </c>
      <c r="K53" s="460">
        <f t="shared" si="11"/>
        <v>0</v>
      </c>
      <c r="L53" s="460">
        <f t="shared" si="11"/>
        <v>0</v>
      </c>
      <c r="M53" s="460">
        <f t="shared" si="11"/>
        <v>0</v>
      </c>
      <c r="N53" s="460">
        <f t="shared" si="11"/>
        <v>0</v>
      </c>
      <c r="O53" s="460">
        <f t="shared" si="11"/>
        <v>0</v>
      </c>
      <c r="P53" s="460">
        <f t="shared" si="11"/>
        <v>0</v>
      </c>
      <c r="Q53" s="460">
        <f t="shared" si="11"/>
        <v>0</v>
      </c>
      <c r="R53" s="460">
        <f t="shared" si="11"/>
        <v>0</v>
      </c>
      <c r="S53" s="196"/>
      <c r="T53" s="196"/>
      <c r="U53" s="196"/>
    </row>
    <row r="54" spans="1:22" x14ac:dyDescent="0.3">
      <c r="B54" s="340" t="s">
        <v>162</v>
      </c>
      <c r="C54" s="340"/>
      <c r="D54" s="340"/>
      <c r="E54" s="340"/>
      <c r="F54" s="340"/>
      <c r="G54" s="154">
        <f>G50</f>
        <v>0</v>
      </c>
      <c r="H54" s="154">
        <f t="shared" ref="H54:R54" si="12">H50</f>
        <v>0</v>
      </c>
      <c r="I54" s="154">
        <f t="shared" si="12"/>
        <v>0</v>
      </c>
      <c r="J54" s="154">
        <f t="shared" si="12"/>
        <v>0</v>
      </c>
      <c r="K54" s="154">
        <f t="shared" si="12"/>
        <v>0</v>
      </c>
      <c r="L54" s="154">
        <f t="shared" si="12"/>
        <v>0</v>
      </c>
      <c r="M54" s="154">
        <f t="shared" si="12"/>
        <v>0</v>
      </c>
      <c r="N54" s="154">
        <f t="shared" si="12"/>
        <v>0</v>
      </c>
      <c r="O54" s="154">
        <f t="shared" si="12"/>
        <v>0</v>
      </c>
      <c r="P54" s="154">
        <f t="shared" si="12"/>
        <v>0</v>
      </c>
      <c r="Q54" s="154">
        <f t="shared" si="12"/>
        <v>0</v>
      </c>
      <c r="R54" s="154">
        <f t="shared" si="12"/>
        <v>0</v>
      </c>
      <c r="S54" s="132"/>
      <c r="T54" s="132"/>
      <c r="U54" s="132"/>
    </row>
    <row r="55" spans="1:22" x14ac:dyDescent="0.3">
      <c r="B55" s="340" t="s">
        <v>37</v>
      </c>
      <c r="C55" s="340"/>
      <c r="D55" s="340"/>
      <c r="E55" s="340"/>
      <c r="F55" s="340"/>
      <c r="G55" s="154">
        <f>G11</f>
        <v>27053</v>
      </c>
      <c r="H55" s="154">
        <f t="shared" ref="H55:R55" si="13">H11</f>
        <v>38097.816580147868</v>
      </c>
      <c r="I55" s="154">
        <f t="shared" si="13"/>
        <v>38623.82015718909</v>
      </c>
      <c r="J55" s="154">
        <f t="shared" si="13"/>
        <v>39191.817976852544</v>
      </c>
      <c r="K55" s="154">
        <f t="shared" si="13"/>
        <v>40013.838576889153</v>
      </c>
      <c r="L55" s="154">
        <f t="shared" si="13"/>
        <v>41091.829593267881</v>
      </c>
      <c r="M55" s="154">
        <f t="shared" si="13"/>
        <v>41845.815501149737</v>
      </c>
      <c r="N55" s="154">
        <f t="shared" si="13"/>
        <v>42527.826058113307</v>
      </c>
      <c r="O55" s="154">
        <f t="shared" si="13"/>
        <v>43425.826265741453</v>
      </c>
      <c r="P55" s="154">
        <f t="shared" si="13"/>
        <v>44673.845962423788</v>
      </c>
      <c r="Q55" s="154">
        <f t="shared" si="13"/>
        <v>45927.819390516532</v>
      </c>
      <c r="R55" s="154">
        <f t="shared" si="13"/>
        <v>40525.656542056073</v>
      </c>
      <c r="S55" s="132"/>
      <c r="T55" s="132"/>
      <c r="U55" s="132"/>
    </row>
    <row r="56" spans="1:22" x14ac:dyDescent="0.3">
      <c r="B56" s="340" t="s">
        <v>38</v>
      </c>
      <c r="C56" s="340"/>
      <c r="D56" s="340"/>
      <c r="E56" s="340"/>
      <c r="F56" s="340"/>
      <c r="G56" s="432">
        <f>G25</f>
        <v>-325</v>
      </c>
      <c r="H56" s="432">
        <f t="shared" ref="H56:R56" si="14">H25</f>
        <v>-325</v>
      </c>
      <c r="I56" s="432">
        <f t="shared" si="14"/>
        <v>-325</v>
      </c>
      <c r="J56" s="432">
        <f t="shared" si="14"/>
        <v>-325</v>
      </c>
      <c r="K56" s="432">
        <f t="shared" si="14"/>
        <v>-325</v>
      </c>
      <c r="L56" s="432">
        <f t="shared" si="14"/>
        <v>-325</v>
      </c>
      <c r="M56" s="432">
        <f t="shared" si="14"/>
        <v>-325</v>
      </c>
      <c r="N56" s="432">
        <f t="shared" si="14"/>
        <v>-325</v>
      </c>
      <c r="O56" s="432">
        <f t="shared" si="14"/>
        <v>-325</v>
      </c>
      <c r="P56" s="432">
        <f t="shared" si="14"/>
        <v>-325</v>
      </c>
      <c r="Q56" s="432">
        <f t="shared" si="14"/>
        <v>-325</v>
      </c>
      <c r="R56" s="432">
        <f t="shared" si="14"/>
        <v>-325</v>
      </c>
      <c r="S56" s="132"/>
      <c r="T56" s="132"/>
      <c r="U56" s="132"/>
    </row>
    <row r="57" spans="1:22" x14ac:dyDescent="0.3">
      <c r="B57" s="340" t="s">
        <v>165</v>
      </c>
      <c r="C57" s="340"/>
      <c r="D57" s="340"/>
      <c r="E57" s="340"/>
      <c r="F57" s="340"/>
      <c r="G57" s="154">
        <f>SUM(G53:G56)</f>
        <v>26728</v>
      </c>
      <c r="H57" s="154">
        <f t="shared" ref="H57:R57" si="15">SUM(H53:H56)</f>
        <v>37772.816580147868</v>
      </c>
      <c r="I57" s="154">
        <f t="shared" si="15"/>
        <v>38298.82015718909</v>
      </c>
      <c r="J57" s="154">
        <f t="shared" si="15"/>
        <v>38866.817976852544</v>
      </c>
      <c r="K57" s="154">
        <f t="shared" si="15"/>
        <v>39688.838576889153</v>
      </c>
      <c r="L57" s="154">
        <f t="shared" si="15"/>
        <v>40766.829593267881</v>
      </c>
      <c r="M57" s="154">
        <f t="shared" si="15"/>
        <v>41520.815501149737</v>
      </c>
      <c r="N57" s="154">
        <f t="shared" si="15"/>
        <v>42202.826058113307</v>
      </c>
      <c r="O57" s="154">
        <f t="shared" si="15"/>
        <v>43100.826265741453</v>
      </c>
      <c r="P57" s="154">
        <f t="shared" si="15"/>
        <v>44348.845962423788</v>
      </c>
      <c r="Q57" s="154">
        <f t="shared" si="15"/>
        <v>45602.819390516532</v>
      </c>
      <c r="R57" s="154">
        <f t="shared" si="15"/>
        <v>40200.656542056073</v>
      </c>
      <c r="S57" s="132"/>
      <c r="T57" s="132"/>
      <c r="U57" s="132"/>
    </row>
    <row r="58" spans="1:22" x14ac:dyDescent="0.3">
      <c r="B58" s="340" t="s">
        <v>148</v>
      </c>
      <c r="C58" s="340"/>
      <c r="D58" s="340"/>
      <c r="E58" s="340"/>
      <c r="F58" s="340"/>
      <c r="G58" s="432">
        <f>G26</f>
        <v>-5900</v>
      </c>
      <c r="H58" s="432">
        <f t="shared" ref="H58:R58" si="16">H26</f>
        <v>-5625</v>
      </c>
      <c r="I58" s="432">
        <f t="shared" si="16"/>
        <v>-5350</v>
      </c>
      <c r="J58" s="432">
        <f t="shared" si="16"/>
        <v>-5075</v>
      </c>
      <c r="K58" s="432">
        <f t="shared" si="16"/>
        <v>-4800</v>
      </c>
      <c r="L58" s="432">
        <f t="shared" si="16"/>
        <v>-4525</v>
      </c>
      <c r="M58" s="432">
        <f t="shared" si="16"/>
        <v>-4250</v>
      </c>
      <c r="N58" s="432">
        <f t="shared" si="16"/>
        <v>-3975</v>
      </c>
      <c r="O58" s="432">
        <f t="shared" si="16"/>
        <v>-3700</v>
      </c>
      <c r="P58" s="432">
        <f t="shared" si="16"/>
        <v>-3425</v>
      </c>
      <c r="Q58" s="432">
        <f t="shared" si="16"/>
        <v>-3150</v>
      </c>
      <c r="R58" s="432">
        <f t="shared" si="16"/>
        <v>-2875</v>
      </c>
      <c r="S58" s="132"/>
      <c r="T58" s="132"/>
      <c r="U58" s="132"/>
    </row>
    <row r="59" spans="1:22" x14ac:dyDescent="0.3">
      <c r="B59" s="340" t="s">
        <v>149</v>
      </c>
      <c r="C59" s="340"/>
      <c r="D59" s="340"/>
      <c r="E59" s="340"/>
      <c r="F59" s="340"/>
      <c r="G59" s="463">
        <f>'IS 2027'!F69</f>
        <v>-3418.2000000000003</v>
      </c>
      <c r="H59" s="463">
        <f>'IS 2027'!G69</f>
        <v>-3560.4</v>
      </c>
      <c r="I59" s="463">
        <f>'IS 2027'!H69</f>
        <v>-3883</v>
      </c>
      <c r="J59" s="463">
        <f>'IS 2027'!I69</f>
        <v>-4073.4</v>
      </c>
      <c r="K59" s="463">
        <f>'IS 2027'!J69</f>
        <v>-5322.6</v>
      </c>
      <c r="L59" s="463">
        <f>'IS 2027'!K69</f>
        <v>-5191.2000000000007</v>
      </c>
      <c r="M59" s="463">
        <f>'IS 2027'!L69</f>
        <v>-5224</v>
      </c>
      <c r="N59" s="463">
        <f>'IS 2027'!M69</f>
        <v>-4954.2000000000007</v>
      </c>
      <c r="O59" s="463">
        <f>'IS 2027'!N69</f>
        <v>-4154.4000000000005</v>
      </c>
      <c r="P59" s="463">
        <f>'IS 2027'!O69</f>
        <v>-3596.8</v>
      </c>
      <c r="Q59" s="463">
        <f>'IS 2027'!P69</f>
        <v>-3707</v>
      </c>
      <c r="R59" s="463">
        <f>'IS 2027'!Q69</f>
        <v>-3168.8</v>
      </c>
      <c r="S59" s="193"/>
      <c r="T59" s="193"/>
      <c r="U59" s="193"/>
    </row>
    <row r="60" spans="1:22" x14ac:dyDescent="0.3">
      <c r="B60" s="340" t="s">
        <v>163</v>
      </c>
      <c r="C60" s="340"/>
      <c r="D60" s="340"/>
      <c r="E60" s="340"/>
      <c r="F60" s="340"/>
      <c r="G60" s="154">
        <f>SUM(G57:G59)</f>
        <v>17409.8</v>
      </c>
      <c r="H60" s="154">
        <f>SUM(H57:H59)</f>
        <v>28587.416580147867</v>
      </c>
      <c r="I60" s="154">
        <f t="shared" ref="I60:R60" si="17">SUM(I57:I59)</f>
        <v>29065.82015718909</v>
      </c>
      <c r="J60" s="154">
        <f t="shared" si="17"/>
        <v>29718.417976852543</v>
      </c>
      <c r="K60" s="154">
        <f t="shared" si="17"/>
        <v>29566.238576889155</v>
      </c>
      <c r="L60" s="154">
        <f t="shared" si="17"/>
        <v>31050.62959326788</v>
      </c>
      <c r="M60" s="154">
        <f t="shared" si="17"/>
        <v>32046.815501149737</v>
      </c>
      <c r="N60" s="154">
        <f t="shared" si="17"/>
        <v>33273.62605811331</v>
      </c>
      <c r="O60" s="154">
        <f t="shared" si="17"/>
        <v>35246.426265741451</v>
      </c>
      <c r="P60" s="154">
        <f t="shared" si="17"/>
        <v>37327.045962423785</v>
      </c>
      <c r="Q60" s="154">
        <f t="shared" si="17"/>
        <v>38745.819390516532</v>
      </c>
      <c r="R60" s="154">
        <f t="shared" si="17"/>
        <v>34156.85654205607</v>
      </c>
      <c r="S60" s="132"/>
      <c r="T60" s="132"/>
      <c r="U60" s="132"/>
    </row>
    <row r="61" spans="1:22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2" x14ac:dyDescent="0.3">
      <c r="A62" s="151"/>
      <c r="B62" s="177" t="s">
        <v>166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</row>
    <row r="63" spans="1:22" x14ac:dyDescent="0.3">
      <c r="B63" s="337" t="s">
        <v>167</v>
      </c>
      <c r="C63" s="337"/>
      <c r="D63" s="337"/>
      <c r="E63" s="337"/>
      <c r="F63" s="337"/>
      <c r="G63" s="219">
        <f>SUM(G30+G35)</f>
        <v>16697.400000000001</v>
      </c>
      <c r="H63" s="219">
        <f t="shared" ref="H63:R63" si="18">SUM(H30+H35)</f>
        <v>27875.016580147869</v>
      </c>
      <c r="I63" s="219">
        <f t="shared" si="18"/>
        <v>28433.420157189088</v>
      </c>
      <c r="J63" s="219">
        <f t="shared" si="18"/>
        <v>29208.617976852544</v>
      </c>
      <c r="K63" s="219">
        <f t="shared" si="18"/>
        <v>29713.038576889154</v>
      </c>
      <c r="L63" s="219">
        <f t="shared" si="18"/>
        <v>30769.229593267883</v>
      </c>
      <c r="M63" s="219">
        <f t="shared" si="18"/>
        <v>31670.615501149736</v>
      </c>
      <c r="N63" s="219">
        <f t="shared" si="18"/>
        <v>32574.826058113307</v>
      </c>
      <c r="O63" s="219">
        <f t="shared" si="18"/>
        <v>34545.226265741454</v>
      </c>
      <c r="P63" s="219">
        <f t="shared" si="18"/>
        <v>36625.845962423788</v>
      </c>
      <c r="Q63" s="219">
        <f t="shared" si="18"/>
        <v>38044.619390516535</v>
      </c>
      <c r="R63" s="219">
        <f t="shared" si="18"/>
        <v>33415.656542056073</v>
      </c>
      <c r="S63" s="1"/>
      <c r="T63" s="1"/>
      <c r="U63" s="1"/>
    </row>
    <row r="64" spans="1:22" x14ac:dyDescent="0.3">
      <c r="B64" s="337" t="s">
        <v>168</v>
      </c>
      <c r="C64" s="337"/>
      <c r="D64" s="337"/>
      <c r="E64" s="337"/>
      <c r="F64" s="337"/>
      <c r="G64" s="219">
        <f>G60</f>
        <v>17409.8</v>
      </c>
      <c r="H64" s="219">
        <f t="shared" ref="H64:R64" si="19">H60</f>
        <v>28587.416580147867</v>
      </c>
      <c r="I64" s="219">
        <f t="shared" si="19"/>
        <v>29065.82015718909</v>
      </c>
      <c r="J64" s="219">
        <f t="shared" si="19"/>
        <v>29718.417976852543</v>
      </c>
      <c r="K64" s="219">
        <f t="shared" si="19"/>
        <v>29566.238576889155</v>
      </c>
      <c r="L64" s="219">
        <f t="shared" si="19"/>
        <v>31050.62959326788</v>
      </c>
      <c r="M64" s="219">
        <f t="shared" si="19"/>
        <v>32046.815501149737</v>
      </c>
      <c r="N64" s="219">
        <f t="shared" si="19"/>
        <v>33273.62605811331</v>
      </c>
      <c r="O64" s="219">
        <f t="shared" si="19"/>
        <v>35246.426265741451</v>
      </c>
      <c r="P64" s="219">
        <f t="shared" si="19"/>
        <v>37327.045962423785</v>
      </c>
      <c r="Q64" s="219">
        <f t="shared" si="19"/>
        <v>38745.819390516532</v>
      </c>
      <c r="R64" s="219">
        <f t="shared" si="19"/>
        <v>34156.85654205607</v>
      </c>
      <c r="S64" s="1"/>
      <c r="T64" s="451"/>
      <c r="U64" s="1"/>
    </row>
    <row r="65" spans="2:21" x14ac:dyDescent="0.3">
      <c r="B65" s="337" t="s">
        <v>169</v>
      </c>
      <c r="C65" s="337"/>
      <c r="D65" s="337"/>
      <c r="E65" s="337"/>
      <c r="F65" s="337"/>
      <c r="G65" s="219">
        <f>G60</f>
        <v>17409.8</v>
      </c>
      <c r="H65" s="219">
        <f t="shared" ref="H65:R65" si="20">H60</f>
        <v>28587.416580147867</v>
      </c>
      <c r="I65" s="219">
        <f t="shared" si="20"/>
        <v>29065.82015718909</v>
      </c>
      <c r="J65" s="219">
        <f t="shared" si="20"/>
        <v>29718.417976852543</v>
      </c>
      <c r="K65" s="219">
        <f t="shared" si="20"/>
        <v>29566.238576889155</v>
      </c>
      <c r="L65" s="219">
        <f t="shared" si="20"/>
        <v>31050.62959326788</v>
      </c>
      <c r="M65" s="219">
        <f t="shared" si="20"/>
        <v>32046.815501149737</v>
      </c>
      <c r="N65" s="219">
        <f t="shared" si="20"/>
        <v>33273.62605811331</v>
      </c>
      <c r="O65" s="219">
        <f t="shared" si="20"/>
        <v>35246.426265741451</v>
      </c>
      <c r="P65" s="219">
        <f t="shared" si="20"/>
        <v>37327.045962423785</v>
      </c>
      <c r="Q65" s="219">
        <f t="shared" si="20"/>
        <v>38745.819390516532</v>
      </c>
      <c r="R65" s="219">
        <f t="shared" si="20"/>
        <v>34156.85654205607</v>
      </c>
      <c r="S65" s="1"/>
      <c r="T65" s="1"/>
      <c r="U65" s="1"/>
    </row>
    <row r="66" spans="2:21" x14ac:dyDescent="0.3">
      <c r="B66" s="337" t="s">
        <v>161</v>
      </c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</row>
    <row r="67" spans="2:21" x14ac:dyDescent="0.3">
      <c r="B67" s="337" t="s">
        <v>163</v>
      </c>
      <c r="C67" s="337"/>
      <c r="D67" s="337"/>
      <c r="E67" s="337"/>
      <c r="F67" s="337"/>
      <c r="G67" s="219">
        <f>G60</f>
        <v>17409.8</v>
      </c>
      <c r="H67" s="219">
        <f t="shared" ref="H67:R67" si="21">H60</f>
        <v>28587.416580147867</v>
      </c>
      <c r="I67" s="219">
        <f t="shared" si="21"/>
        <v>29065.82015718909</v>
      </c>
      <c r="J67" s="219">
        <f t="shared" si="21"/>
        <v>29718.417976852543</v>
      </c>
      <c r="K67" s="219">
        <f t="shared" si="21"/>
        <v>29566.238576889155</v>
      </c>
      <c r="L67" s="219">
        <f t="shared" si="21"/>
        <v>31050.62959326788</v>
      </c>
      <c r="M67" s="219">
        <f t="shared" si="21"/>
        <v>32046.815501149737</v>
      </c>
      <c r="N67" s="219">
        <f t="shared" si="21"/>
        <v>33273.62605811331</v>
      </c>
      <c r="O67" s="219">
        <f t="shared" si="21"/>
        <v>35246.426265741451</v>
      </c>
      <c r="P67" s="219">
        <f t="shared" si="21"/>
        <v>37327.045962423785</v>
      </c>
      <c r="Q67" s="219">
        <f t="shared" si="21"/>
        <v>38745.819390516532</v>
      </c>
      <c r="R67" s="219">
        <f t="shared" si="21"/>
        <v>34156.85654205607</v>
      </c>
      <c r="S67" s="1"/>
      <c r="T67" s="1"/>
      <c r="U67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topLeftCell="A13" workbookViewId="0">
      <selection activeCell="U33" sqref="U33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7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171</v>
      </c>
      <c r="F2"/>
    </row>
    <row r="3" spans="1:25" x14ac:dyDescent="0.3">
      <c r="B3" t="s">
        <v>142</v>
      </c>
      <c r="F3"/>
    </row>
    <row r="4" spans="1:25" x14ac:dyDescent="0.3">
      <c r="F4"/>
    </row>
    <row r="5" spans="1:25" x14ac:dyDescent="0.3">
      <c r="A5" s="151"/>
      <c r="B5" s="177" t="s">
        <v>172</v>
      </c>
      <c r="C5" s="151"/>
      <c r="D5" s="151"/>
      <c r="E5" s="151"/>
      <c r="F5" s="205">
        <v>2027</v>
      </c>
      <c r="G5" s="205">
        <v>2027</v>
      </c>
      <c r="H5" s="205">
        <v>2027</v>
      </c>
      <c r="I5" s="205">
        <v>2027</v>
      </c>
      <c r="J5" s="205">
        <v>2027</v>
      </c>
      <c r="K5" s="205">
        <v>2027</v>
      </c>
      <c r="L5" s="205">
        <v>2027</v>
      </c>
      <c r="M5" s="205">
        <v>2027</v>
      </c>
      <c r="N5" s="205">
        <v>2027</v>
      </c>
      <c r="O5" s="205">
        <v>2027</v>
      </c>
      <c r="P5" s="205">
        <v>2027</v>
      </c>
      <c r="Q5" s="205">
        <v>2027</v>
      </c>
      <c r="R5" s="205">
        <v>2028</v>
      </c>
      <c r="S5" s="205">
        <v>2028</v>
      </c>
      <c r="T5" s="205">
        <v>2028</v>
      </c>
      <c r="U5" s="151"/>
    </row>
    <row r="6" spans="1:25" ht="15" thickBot="1" x14ac:dyDescent="0.35">
      <c r="A6" s="162"/>
      <c r="B6" s="163" t="s">
        <v>64</v>
      </c>
      <c r="C6" s="152"/>
      <c r="D6" s="152"/>
      <c r="E6" s="152"/>
      <c r="F6" s="204" t="s">
        <v>25</v>
      </c>
      <c r="G6" s="204" t="s">
        <v>26</v>
      </c>
      <c r="H6" s="204" t="s">
        <v>27</v>
      </c>
      <c r="I6" s="204" t="s">
        <v>28</v>
      </c>
      <c r="J6" s="204" t="s">
        <v>29</v>
      </c>
      <c r="K6" s="204" t="s">
        <v>30</v>
      </c>
      <c r="L6" s="204" t="s">
        <v>31</v>
      </c>
      <c r="M6" s="204" t="s">
        <v>32</v>
      </c>
      <c r="N6" s="204" t="s">
        <v>33</v>
      </c>
      <c r="O6" s="204" t="s">
        <v>34</v>
      </c>
      <c r="P6" s="204" t="s">
        <v>35</v>
      </c>
      <c r="Q6" s="204" t="s">
        <v>36</v>
      </c>
      <c r="R6" s="204" t="s">
        <v>25</v>
      </c>
      <c r="S6" s="204" t="s">
        <v>26</v>
      </c>
      <c r="T6" s="204" t="s">
        <v>27</v>
      </c>
      <c r="U6" s="201" t="s">
        <v>72</v>
      </c>
    </row>
    <row r="7" spans="1:25" s="12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2" t="s">
        <v>173</v>
      </c>
      <c r="F8"/>
    </row>
    <row r="9" spans="1:25" x14ac:dyDescent="0.3">
      <c r="C9" s="173"/>
      <c r="F9"/>
    </row>
    <row r="10" spans="1:25" x14ac:dyDescent="0.3">
      <c r="C10" s="172" t="s">
        <v>48</v>
      </c>
      <c r="F10"/>
      <c r="G10" s="174"/>
      <c r="H10" s="174"/>
      <c r="I10" s="174"/>
      <c r="J10" s="174"/>
      <c r="K10" s="174"/>
      <c r="L10" s="173"/>
      <c r="M10" s="174"/>
      <c r="N10" s="174"/>
      <c r="O10" s="174"/>
      <c r="P10" s="174"/>
      <c r="Q10" s="174"/>
      <c r="R10" s="174"/>
      <c r="S10" s="174"/>
      <c r="T10" s="174"/>
      <c r="V10" s="1"/>
    </row>
    <row r="11" spans="1:25" x14ac:dyDescent="0.3">
      <c r="C11" s="173" t="s">
        <v>174</v>
      </c>
      <c r="F11" s="174">
        <f>'BS 2026'!Q14+'CF 2027'!G60</f>
        <v>1040675.143088664</v>
      </c>
      <c r="G11" s="174">
        <f>F14+'CF 2027'!H60</f>
        <v>1069262.559668812</v>
      </c>
      <c r="H11" s="174">
        <f>G14+'CF 2027'!I60</f>
        <v>1098328.3798260011</v>
      </c>
      <c r="I11" s="174">
        <f>H14+'CF 2027'!J60</f>
        <v>1128046.7978028536</v>
      </c>
      <c r="J11" s="174">
        <f>I14+'CF 2027'!K60</f>
        <v>1157613.0363797429</v>
      </c>
      <c r="K11" s="174">
        <f>J14+'CF 2027'!L60</f>
        <v>1188663.6659730107</v>
      </c>
      <c r="L11" s="174">
        <f>K14+'CF 2027'!M60</f>
        <v>1220710.4814741604</v>
      </c>
      <c r="M11" s="174">
        <f>L14+'CF 2027'!N60</f>
        <v>1253984.1075322737</v>
      </c>
      <c r="N11" s="174">
        <f>M14+'CF 2027'!O60</f>
        <v>1289230.5337980152</v>
      </c>
      <c r="O11" s="174">
        <f>N14+'CF 2027'!P60</f>
        <v>1326557.579760439</v>
      </c>
      <c r="P11" s="174">
        <f>O14+'CF 2027'!Q60</f>
        <v>1365303.3991509555</v>
      </c>
      <c r="Q11" s="174">
        <f>P14+'CF 2027'!R60</f>
        <v>1399460.2556930115</v>
      </c>
      <c r="R11" s="174"/>
      <c r="S11" s="174"/>
      <c r="T11" s="174"/>
      <c r="V11" s="1"/>
    </row>
    <row r="12" spans="1:25" x14ac:dyDescent="0.3">
      <c r="C12" s="173" t="s">
        <v>175</v>
      </c>
      <c r="F12" s="174"/>
      <c r="G12" s="173"/>
      <c r="H12" s="173"/>
      <c r="I12" s="173" t="s">
        <v>192</v>
      </c>
      <c r="J12" s="173"/>
      <c r="K12" s="173" t="s">
        <v>192</v>
      </c>
      <c r="L12" s="173"/>
      <c r="M12" s="173"/>
      <c r="N12" s="173"/>
      <c r="O12" s="173"/>
      <c r="P12" s="173"/>
      <c r="Q12" s="173"/>
      <c r="R12" s="173"/>
      <c r="S12" s="173"/>
      <c r="T12" s="173"/>
      <c r="V12" s="1"/>
    </row>
    <row r="13" spans="1:25" x14ac:dyDescent="0.3">
      <c r="C13" s="173" t="s">
        <v>176</v>
      </c>
      <c r="F13"/>
      <c r="I13" s="174"/>
      <c r="K13" s="174"/>
      <c r="S13" s="174"/>
      <c r="T13" s="174"/>
      <c r="V13" s="1"/>
    </row>
    <row r="14" spans="1:25" x14ac:dyDescent="0.3">
      <c r="C14" s="173" t="s">
        <v>177</v>
      </c>
      <c r="F14" s="174">
        <f>SUM(F11:F13)</f>
        <v>1040675.143088664</v>
      </c>
      <c r="G14" s="174">
        <f t="shared" ref="G14:Q14" si="0">SUM(G11:G13)</f>
        <v>1069262.559668812</v>
      </c>
      <c r="H14" s="174">
        <f t="shared" si="0"/>
        <v>1098328.3798260011</v>
      </c>
      <c r="I14" s="174">
        <f t="shared" si="0"/>
        <v>1128046.7978028536</v>
      </c>
      <c r="J14" s="174">
        <f t="shared" si="0"/>
        <v>1157613.0363797429</v>
      </c>
      <c r="K14" s="174">
        <f t="shared" si="0"/>
        <v>1188663.6659730107</v>
      </c>
      <c r="L14" s="174">
        <f t="shared" si="0"/>
        <v>1220710.4814741604</v>
      </c>
      <c r="M14" s="174">
        <f t="shared" si="0"/>
        <v>1253984.1075322737</v>
      </c>
      <c r="N14" s="174">
        <f t="shared" si="0"/>
        <v>1289230.5337980152</v>
      </c>
      <c r="O14" s="174">
        <f t="shared" si="0"/>
        <v>1326557.579760439</v>
      </c>
      <c r="P14" s="174">
        <f t="shared" si="0"/>
        <v>1365303.3991509555</v>
      </c>
      <c r="Q14" s="174">
        <f t="shared" si="0"/>
        <v>1399460.2556930115</v>
      </c>
      <c r="R14" s="174"/>
      <c r="S14" s="174"/>
      <c r="T14" s="174"/>
      <c r="U14" s="219">
        <f>SUM(F14:Q14)</f>
        <v>14537835.94014794</v>
      </c>
      <c r="V14" s="1"/>
    </row>
    <row r="15" spans="1:25" x14ac:dyDescent="0.3">
      <c r="C15" s="172" t="s">
        <v>49</v>
      </c>
      <c r="F15"/>
      <c r="G15" s="173"/>
      <c r="H15" s="173"/>
      <c r="I15" s="173"/>
      <c r="J15" s="176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V15" s="1"/>
    </row>
    <row r="16" spans="1:25" x14ac:dyDescent="0.3">
      <c r="C16" s="175" t="s">
        <v>178</v>
      </c>
      <c r="F16" s="174">
        <f>'BS 2026'!Q16-'IS 2027'!F65</f>
        <v>332774</v>
      </c>
      <c r="G16" s="174">
        <f>F16-'IS 2026'!G65</f>
        <v>334685</v>
      </c>
      <c r="H16" s="174">
        <f>G16-'IS 2026'!H65</f>
        <v>336596</v>
      </c>
      <c r="I16" s="174">
        <f>H16-'IS 2026'!I65</f>
        <v>338352</v>
      </c>
      <c r="J16" s="174">
        <f>I16-'IS 2026'!J65</f>
        <v>340108</v>
      </c>
      <c r="K16" s="174">
        <f>J16-'IS 2026'!K65</f>
        <v>341864</v>
      </c>
      <c r="L16" s="174">
        <f>K16-'IS 2026'!L65</f>
        <v>343620</v>
      </c>
      <c r="M16" s="174">
        <f>L16-'IS 2026'!M65</f>
        <v>345376</v>
      </c>
      <c r="N16" s="174">
        <f>M16-'IS 2026'!N65</f>
        <v>347132</v>
      </c>
      <c r="O16" s="174">
        <f>N16-'IS 2026'!O65</f>
        <v>348888</v>
      </c>
      <c r="P16" s="174">
        <f>O16-'IS 2026'!P65</f>
        <v>350644</v>
      </c>
      <c r="Q16" s="174">
        <f>P16-'IS 2026'!Q65</f>
        <v>352400</v>
      </c>
      <c r="R16" s="174"/>
      <c r="S16" s="181"/>
      <c r="T16" s="181"/>
      <c r="V16" s="1"/>
    </row>
    <row r="17" spans="1:22" x14ac:dyDescent="0.3">
      <c r="C17" s="175" t="s">
        <v>179</v>
      </c>
      <c r="F17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V17" s="1"/>
    </row>
    <row r="18" spans="1:22" x14ac:dyDescent="0.3">
      <c r="C18" s="175" t="s">
        <v>180</v>
      </c>
      <c r="F18" s="181">
        <f>SUM(F16:F17)</f>
        <v>332774</v>
      </c>
      <c r="G18" s="181">
        <f t="shared" ref="G18:Q19" si="1">SUM(G16:G17)</f>
        <v>334685</v>
      </c>
      <c r="H18" s="181">
        <f t="shared" si="1"/>
        <v>336596</v>
      </c>
      <c r="I18" s="181">
        <f t="shared" si="1"/>
        <v>338352</v>
      </c>
      <c r="J18" s="181">
        <f t="shared" si="1"/>
        <v>340108</v>
      </c>
      <c r="K18" s="181">
        <f t="shared" si="1"/>
        <v>341864</v>
      </c>
      <c r="L18" s="181">
        <f t="shared" si="1"/>
        <v>343620</v>
      </c>
      <c r="M18" s="181">
        <f t="shared" si="1"/>
        <v>345376</v>
      </c>
      <c r="N18" s="181">
        <f t="shared" si="1"/>
        <v>347132</v>
      </c>
      <c r="O18" s="181">
        <f t="shared" si="1"/>
        <v>348888</v>
      </c>
      <c r="P18" s="181">
        <f t="shared" si="1"/>
        <v>350644</v>
      </c>
      <c r="Q18" s="181">
        <f t="shared" si="1"/>
        <v>352400</v>
      </c>
      <c r="R18" s="181"/>
      <c r="S18" s="181"/>
      <c r="T18" s="181"/>
      <c r="V18" s="1"/>
    </row>
    <row r="19" spans="1:22" x14ac:dyDescent="0.3">
      <c r="A19" s="146"/>
      <c r="B19" s="151"/>
      <c r="C19" s="184" t="s">
        <v>181</v>
      </c>
      <c r="D19" s="151"/>
      <c r="E19" s="151"/>
      <c r="F19" s="185">
        <f>SUM(F17:F18)</f>
        <v>332774</v>
      </c>
      <c r="G19" s="185">
        <f t="shared" si="1"/>
        <v>334685</v>
      </c>
      <c r="H19" s="185">
        <f t="shared" si="1"/>
        <v>336596</v>
      </c>
      <c r="I19" s="185">
        <f t="shared" si="1"/>
        <v>338352</v>
      </c>
      <c r="J19" s="185">
        <f t="shared" si="1"/>
        <v>340108</v>
      </c>
      <c r="K19" s="185">
        <f t="shared" si="1"/>
        <v>341864</v>
      </c>
      <c r="L19" s="185">
        <f t="shared" si="1"/>
        <v>343620</v>
      </c>
      <c r="M19" s="185">
        <f t="shared" si="1"/>
        <v>345376</v>
      </c>
      <c r="N19" s="185">
        <f t="shared" si="1"/>
        <v>347132</v>
      </c>
      <c r="O19" s="185">
        <f t="shared" si="1"/>
        <v>348888</v>
      </c>
      <c r="P19" s="185">
        <f t="shared" si="1"/>
        <v>350644</v>
      </c>
      <c r="Q19" s="185">
        <f t="shared" si="1"/>
        <v>352400</v>
      </c>
      <c r="R19" s="185"/>
      <c r="S19" s="185"/>
      <c r="T19" s="185"/>
      <c r="U19" s="158">
        <f>SUM(F19:Q19)</f>
        <v>4112439</v>
      </c>
      <c r="V19" s="1"/>
    </row>
    <row r="20" spans="1:22" x14ac:dyDescent="0.3">
      <c r="A20" s="162"/>
      <c r="B20" s="152"/>
      <c r="C20" s="186" t="s">
        <v>50</v>
      </c>
      <c r="D20" s="152"/>
      <c r="E20" s="152"/>
      <c r="F20" s="187">
        <f>F14+F19</f>
        <v>1373449.1430886639</v>
      </c>
      <c r="G20" s="187">
        <f>G14+G19</f>
        <v>1403947.559668812</v>
      </c>
      <c r="H20" s="187">
        <f t="shared" ref="H20:Q20" si="2">H14+H19</f>
        <v>1434924.3798260011</v>
      </c>
      <c r="I20" s="187">
        <f t="shared" si="2"/>
        <v>1466398.7978028536</v>
      </c>
      <c r="J20" s="187">
        <f t="shared" si="2"/>
        <v>1497721.0363797429</v>
      </c>
      <c r="K20" s="187">
        <f t="shared" si="2"/>
        <v>1530527.6659730107</v>
      </c>
      <c r="L20" s="187">
        <f t="shared" si="2"/>
        <v>1564330.4814741604</v>
      </c>
      <c r="M20" s="187">
        <f t="shared" si="2"/>
        <v>1599360.1075322737</v>
      </c>
      <c r="N20" s="187">
        <f t="shared" si="2"/>
        <v>1636362.5337980152</v>
      </c>
      <c r="O20" s="187">
        <f t="shared" si="2"/>
        <v>1675445.579760439</v>
      </c>
      <c r="P20" s="187">
        <f t="shared" si="2"/>
        <v>1715947.3991509555</v>
      </c>
      <c r="Q20" s="187">
        <f t="shared" si="2"/>
        <v>1751860.2556930115</v>
      </c>
      <c r="R20" s="187"/>
      <c r="S20" s="187"/>
      <c r="T20" s="187"/>
      <c r="U20" s="153">
        <f>SUM(F20:Q20)</f>
        <v>18650274.94014794</v>
      </c>
      <c r="V20" s="1"/>
    </row>
    <row r="21" spans="1:22" x14ac:dyDescent="0.3">
      <c r="C21" s="183" t="s">
        <v>51</v>
      </c>
      <c r="F21"/>
      <c r="I21" s="176"/>
      <c r="K21" s="176"/>
      <c r="S21" s="176"/>
      <c r="T21" s="176"/>
      <c r="V21" s="1"/>
    </row>
    <row r="22" spans="1:22" x14ac:dyDescent="0.3">
      <c r="C22" s="175" t="s">
        <v>182</v>
      </c>
      <c r="F22" s="176"/>
      <c r="G22" s="176"/>
      <c r="Q22" s="176"/>
      <c r="V22" s="1"/>
    </row>
    <row r="23" spans="1:22" x14ac:dyDescent="0.3">
      <c r="C23" s="175" t="s">
        <v>183</v>
      </c>
      <c r="F23"/>
      <c r="H23" s="176"/>
      <c r="J23" s="176"/>
      <c r="V23" s="1"/>
    </row>
    <row r="24" spans="1:22" x14ac:dyDescent="0.3">
      <c r="C24" s="173" t="s">
        <v>184</v>
      </c>
      <c r="F24" s="452">
        <f>'IS 2027'!F69</f>
        <v>-3418.2000000000003</v>
      </c>
      <c r="G24" s="452">
        <f>'IS 2027'!G69</f>
        <v>-3560.4</v>
      </c>
      <c r="H24" s="452">
        <f>'IS 2027'!H69</f>
        <v>-3883</v>
      </c>
      <c r="I24" s="452">
        <f>'IS 2027'!I69</f>
        <v>-4073.4</v>
      </c>
      <c r="J24" s="452">
        <f>'IS 2027'!J69</f>
        <v>-5322.6</v>
      </c>
      <c r="K24" s="452">
        <f>'IS 2027'!K69</f>
        <v>-5191.2000000000007</v>
      </c>
      <c r="L24" s="452">
        <f>'IS 2027'!L69</f>
        <v>-5224</v>
      </c>
      <c r="M24" s="452">
        <f>'IS 2027'!M69</f>
        <v>-4954.2000000000007</v>
      </c>
      <c r="N24" s="452">
        <f>'IS 2027'!N69</f>
        <v>-4154.4000000000005</v>
      </c>
      <c r="O24" s="452">
        <f>'IS 2027'!O69</f>
        <v>-3596.8</v>
      </c>
      <c r="P24" s="452">
        <f>'IS 2027'!P69</f>
        <v>-3707</v>
      </c>
      <c r="Q24" s="452">
        <f>'IS 2027'!Q69</f>
        <v>-3168.8</v>
      </c>
      <c r="R24" s="181"/>
      <c r="S24" s="181"/>
      <c r="T24" s="181"/>
      <c r="V24" s="1"/>
    </row>
    <row r="25" spans="1:22" x14ac:dyDescent="0.3">
      <c r="A25" s="151"/>
      <c r="B25" s="151"/>
      <c r="C25" s="177" t="s">
        <v>185</v>
      </c>
      <c r="D25" s="151"/>
      <c r="E25" s="151"/>
      <c r="F25" s="158">
        <f>SUM(F22:F24)</f>
        <v>-3418.2000000000003</v>
      </c>
      <c r="G25" s="158">
        <f t="shared" ref="G25:Q25" si="3">SUM(G22:G24)</f>
        <v>-3560.4</v>
      </c>
      <c r="H25" s="158">
        <f t="shared" si="3"/>
        <v>-3883</v>
      </c>
      <c r="I25" s="158">
        <f t="shared" si="3"/>
        <v>-4073.4</v>
      </c>
      <c r="J25" s="158">
        <f t="shared" si="3"/>
        <v>-5322.6</v>
      </c>
      <c r="K25" s="158">
        <f t="shared" si="3"/>
        <v>-5191.2000000000007</v>
      </c>
      <c r="L25" s="158">
        <f t="shared" si="3"/>
        <v>-5224</v>
      </c>
      <c r="M25" s="158">
        <f t="shared" si="3"/>
        <v>-4954.2000000000007</v>
      </c>
      <c r="N25" s="158">
        <f t="shared" si="3"/>
        <v>-4154.4000000000005</v>
      </c>
      <c r="O25" s="158">
        <f t="shared" si="3"/>
        <v>-3596.8</v>
      </c>
      <c r="P25" s="158">
        <f t="shared" si="3"/>
        <v>-3707</v>
      </c>
      <c r="Q25" s="158">
        <f t="shared" si="3"/>
        <v>-3168.8</v>
      </c>
      <c r="R25" s="158"/>
      <c r="S25" s="158"/>
      <c r="T25" s="158"/>
      <c r="U25" s="158">
        <f>SUM(F25:Q25)</f>
        <v>-50254.000000000007</v>
      </c>
      <c r="V25" s="1"/>
    </row>
    <row r="26" spans="1:22" x14ac:dyDescent="0.3">
      <c r="A26" s="152"/>
      <c r="B26" s="152"/>
      <c r="C26" s="188" t="s">
        <v>52</v>
      </c>
      <c r="D26" s="152"/>
      <c r="E26" s="152"/>
      <c r="F26" s="153"/>
      <c r="G26" s="152"/>
      <c r="H26" s="152"/>
      <c r="I26" s="153"/>
      <c r="J26" s="152"/>
      <c r="K26" s="153"/>
      <c r="L26" s="189"/>
      <c r="M26" s="189"/>
      <c r="N26" s="189"/>
      <c r="O26" s="189"/>
      <c r="P26" s="189"/>
      <c r="Q26" s="152"/>
      <c r="R26" s="189"/>
      <c r="S26" s="153"/>
      <c r="T26" s="153"/>
      <c r="U26" s="152"/>
      <c r="V26" s="1"/>
    </row>
    <row r="27" spans="1:22" x14ac:dyDescent="0.3">
      <c r="C27" s="172" t="s">
        <v>186</v>
      </c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">
        <f>SUM(F27:Q27)</f>
        <v>0</v>
      </c>
      <c r="V27" s="1"/>
    </row>
    <row r="28" spans="1:22" ht="12.6" customHeight="1" x14ac:dyDescent="0.3">
      <c r="C28" s="173"/>
      <c r="F28"/>
      <c r="J28" s="174" t="s">
        <v>192</v>
      </c>
      <c r="V28" s="1"/>
    </row>
    <row r="29" spans="1:22" x14ac:dyDescent="0.3">
      <c r="C29" s="172" t="s">
        <v>187</v>
      </c>
      <c r="F29" s="174"/>
      <c r="G29" s="174"/>
      <c r="H29" s="174"/>
      <c r="Q29" s="174"/>
      <c r="V29" s="1"/>
    </row>
    <row r="30" spans="1:22" x14ac:dyDescent="0.3">
      <c r="C30" s="175" t="s">
        <v>195</v>
      </c>
      <c r="F30" s="174"/>
      <c r="G30" s="174"/>
      <c r="H30" s="174"/>
      <c r="Q30" s="174"/>
      <c r="V30" s="1"/>
    </row>
    <row r="31" spans="1:22" x14ac:dyDescent="0.3">
      <c r="C31" s="172" t="s">
        <v>188</v>
      </c>
      <c r="F31" s="452">
        <f>SUM(F27:F29)</f>
        <v>0</v>
      </c>
      <c r="G31" s="452">
        <f t="shared" ref="G31:Q31" si="4">SUM(G27:G29)</f>
        <v>0</v>
      </c>
      <c r="H31" s="452">
        <f t="shared" si="4"/>
        <v>0</v>
      </c>
      <c r="I31" s="452">
        <f t="shared" si="4"/>
        <v>0</v>
      </c>
      <c r="J31" s="452">
        <f t="shared" si="4"/>
        <v>0</v>
      </c>
      <c r="K31" s="452">
        <f t="shared" si="4"/>
        <v>0</v>
      </c>
      <c r="L31" s="452">
        <f t="shared" si="4"/>
        <v>0</v>
      </c>
      <c r="M31" s="452">
        <f t="shared" si="4"/>
        <v>0</v>
      </c>
      <c r="N31" s="452">
        <f t="shared" si="4"/>
        <v>0</v>
      </c>
      <c r="O31" s="452">
        <f t="shared" si="4"/>
        <v>0</v>
      </c>
      <c r="P31" s="452">
        <f t="shared" si="4"/>
        <v>0</v>
      </c>
      <c r="Q31" s="452">
        <f t="shared" si="4"/>
        <v>0</v>
      </c>
      <c r="R31" s="181"/>
      <c r="S31" s="181"/>
      <c r="T31" s="181"/>
      <c r="V31" s="1"/>
    </row>
    <row r="32" spans="1:22" x14ac:dyDescent="0.3">
      <c r="C32" s="172" t="s">
        <v>53</v>
      </c>
      <c r="F32" s="452">
        <f>F31+F25</f>
        <v>-3418.2000000000003</v>
      </c>
      <c r="G32" s="452">
        <f t="shared" ref="G32:Q32" si="5">G31+G24</f>
        <v>-3560.4</v>
      </c>
      <c r="H32" s="452">
        <f t="shared" si="5"/>
        <v>-3883</v>
      </c>
      <c r="I32" s="452">
        <f t="shared" si="5"/>
        <v>-4073.4</v>
      </c>
      <c r="J32" s="452">
        <f t="shared" si="5"/>
        <v>-5322.6</v>
      </c>
      <c r="K32" s="452">
        <f t="shared" si="5"/>
        <v>-5191.2000000000007</v>
      </c>
      <c r="L32" s="452">
        <f t="shared" si="5"/>
        <v>-5224</v>
      </c>
      <c r="M32" s="452">
        <f t="shared" si="5"/>
        <v>-4954.2000000000007</v>
      </c>
      <c r="N32" s="452">
        <f t="shared" si="5"/>
        <v>-4154.4000000000005</v>
      </c>
      <c r="O32" s="452">
        <f t="shared" si="5"/>
        <v>-3596.8</v>
      </c>
      <c r="P32" s="452">
        <f t="shared" si="5"/>
        <v>-3707</v>
      </c>
      <c r="Q32" s="452">
        <f t="shared" si="5"/>
        <v>-3168.8</v>
      </c>
      <c r="R32" s="181"/>
      <c r="S32" s="181"/>
      <c r="T32" s="181"/>
      <c r="V32" s="1"/>
    </row>
    <row r="33" spans="3:22" x14ac:dyDescent="0.3">
      <c r="C33" s="172" t="s">
        <v>54</v>
      </c>
      <c r="F33" s="218">
        <f>F20+F32</f>
        <v>1370030.943088664</v>
      </c>
      <c r="G33" s="218">
        <f t="shared" ref="G33:Q33" si="6">G20+G32</f>
        <v>1400387.1596688121</v>
      </c>
      <c r="H33" s="218">
        <f t="shared" si="6"/>
        <v>1431041.3798260011</v>
      </c>
      <c r="I33" s="218">
        <f t="shared" si="6"/>
        <v>1462325.3978028537</v>
      </c>
      <c r="J33" s="218">
        <f t="shared" si="6"/>
        <v>1492398.4363797428</v>
      </c>
      <c r="K33" s="218">
        <f t="shared" si="6"/>
        <v>1525336.4659730108</v>
      </c>
      <c r="L33" s="218">
        <f t="shared" si="6"/>
        <v>1559106.4814741604</v>
      </c>
      <c r="M33" s="218">
        <f t="shared" si="6"/>
        <v>1594405.9075322738</v>
      </c>
      <c r="N33" s="218">
        <f t="shared" si="6"/>
        <v>1632208.1337980153</v>
      </c>
      <c r="O33" s="218">
        <f t="shared" si="6"/>
        <v>1671848.7797604389</v>
      </c>
      <c r="P33" s="218">
        <f t="shared" si="6"/>
        <v>1712240.3991509555</v>
      </c>
      <c r="Q33" s="218">
        <f t="shared" si="6"/>
        <v>1748691.4556930114</v>
      </c>
      <c r="R33" s="218"/>
      <c r="S33" s="218"/>
      <c r="T33" s="218"/>
      <c r="U33" s="453">
        <f>SUM(F33:Q33)</f>
        <v>18600020.94014794</v>
      </c>
      <c r="V33" s="1"/>
    </row>
    <row r="34" spans="3:22" x14ac:dyDescent="0.3">
      <c r="C34" s="175" t="s">
        <v>56</v>
      </c>
      <c r="F34" s="173"/>
      <c r="G34" s="173"/>
      <c r="H34" s="173"/>
      <c r="I34" s="173"/>
      <c r="J34" s="174"/>
      <c r="K34" s="174"/>
      <c r="L34" s="174"/>
      <c r="M34" s="174"/>
      <c r="N34" s="174"/>
      <c r="O34" s="174"/>
      <c r="P34" s="174"/>
      <c r="Q34" s="173"/>
      <c r="R34" s="174"/>
      <c r="S34" s="174"/>
      <c r="T34" s="174"/>
      <c r="V34" s="1"/>
    </row>
    <row r="35" spans="3:22" x14ac:dyDescent="0.3">
      <c r="C35" s="175" t="s">
        <v>58</v>
      </c>
      <c r="F35" s="174">
        <f>SUM(F33:F34)</f>
        <v>1370030.943088664</v>
      </c>
      <c r="G35" s="174">
        <f t="shared" ref="G35:Q35" si="7">SUM(G33:G34)</f>
        <v>1400387.1596688121</v>
      </c>
      <c r="H35" s="174">
        <f t="shared" si="7"/>
        <v>1431041.3798260011</v>
      </c>
      <c r="I35" s="174">
        <f t="shared" si="7"/>
        <v>1462325.3978028537</v>
      </c>
      <c r="J35" s="174">
        <f t="shared" si="7"/>
        <v>1492398.4363797428</v>
      </c>
      <c r="K35" s="174">
        <f t="shared" si="7"/>
        <v>1525336.4659730108</v>
      </c>
      <c r="L35" s="174">
        <f t="shared" si="7"/>
        <v>1559106.4814741604</v>
      </c>
      <c r="M35" s="174">
        <f t="shared" si="7"/>
        <v>1594405.9075322738</v>
      </c>
      <c r="N35" s="174">
        <f t="shared" si="7"/>
        <v>1632208.1337980153</v>
      </c>
      <c r="O35" s="174">
        <f t="shared" si="7"/>
        <v>1671848.7797604389</v>
      </c>
      <c r="P35" s="174">
        <f t="shared" si="7"/>
        <v>1712240.3991509555</v>
      </c>
      <c r="Q35" s="174">
        <f t="shared" si="7"/>
        <v>1748691.4556930114</v>
      </c>
      <c r="R35" s="174"/>
      <c r="S35" s="174"/>
      <c r="T35" s="174"/>
      <c r="V35" s="1"/>
    </row>
    <row r="36" spans="3:22" x14ac:dyDescent="0.3">
      <c r="C36" s="182" t="s">
        <v>59</v>
      </c>
      <c r="F36" s="174">
        <f>F34+F35</f>
        <v>1370030.943088664</v>
      </c>
      <c r="G36" s="174">
        <f t="shared" ref="G36:Q36" si="8">G34+G35</f>
        <v>1400387.1596688121</v>
      </c>
      <c r="H36" s="174">
        <f t="shared" si="8"/>
        <v>1431041.3798260011</v>
      </c>
      <c r="I36" s="174">
        <f t="shared" si="8"/>
        <v>1462325.3978028537</v>
      </c>
      <c r="J36" s="174">
        <f t="shared" si="8"/>
        <v>1492398.4363797428</v>
      </c>
      <c r="K36" s="174">
        <f t="shared" si="8"/>
        <v>1525336.4659730108</v>
      </c>
      <c r="L36" s="174">
        <f t="shared" si="8"/>
        <v>1559106.4814741604</v>
      </c>
      <c r="M36" s="174">
        <f t="shared" si="8"/>
        <v>1594405.9075322738</v>
      </c>
      <c r="N36" s="174">
        <f t="shared" si="8"/>
        <v>1632208.1337980153</v>
      </c>
      <c r="O36" s="174">
        <f t="shared" si="8"/>
        <v>1671848.7797604389</v>
      </c>
      <c r="P36" s="174">
        <f t="shared" si="8"/>
        <v>1712240.3991509555</v>
      </c>
      <c r="Q36" s="174">
        <f t="shared" si="8"/>
        <v>1748691.4556930114</v>
      </c>
      <c r="R36" s="174"/>
      <c r="S36" s="174"/>
      <c r="T36" s="174"/>
      <c r="V36" s="1"/>
    </row>
    <row r="37" spans="3:22" x14ac:dyDescent="0.3">
      <c r="C37" s="175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V37" s="1"/>
    </row>
    <row r="38" spans="3:22" x14ac:dyDescent="0.3">
      <c r="C38" s="175" t="s">
        <v>189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V38" s="1"/>
    </row>
    <row r="39" spans="3:22" x14ac:dyDescent="0.3">
      <c r="C39" s="175" t="s">
        <v>190</v>
      </c>
      <c r="F39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V39" s="1"/>
    </row>
    <row r="40" spans="3:22" x14ac:dyDescent="0.3">
      <c r="C40" s="175" t="s">
        <v>191</v>
      </c>
      <c r="F40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V40" s="1"/>
    </row>
    <row r="41" spans="3:22" x14ac:dyDescent="0.3">
      <c r="C41" s="175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B4" zoomScale="97" zoomScaleNormal="97" workbookViewId="0">
      <selection activeCell="K6" sqref="K6:V6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7" t="s">
        <v>224</v>
      </c>
      <c r="C2" s="177"/>
      <c r="D2" s="177"/>
      <c r="E2" s="177"/>
      <c r="F2" s="151"/>
      <c r="G2" s="151"/>
      <c r="H2" s="151"/>
      <c r="I2" s="151"/>
      <c r="J2" s="151"/>
      <c r="K2" s="349" t="s">
        <v>235</v>
      </c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4" spans="2:22" x14ac:dyDescent="0.3">
      <c r="B4" s="190" t="s">
        <v>20</v>
      </c>
      <c r="C4" s="190"/>
      <c r="D4" s="190"/>
      <c r="E4" s="191">
        <v>2023</v>
      </c>
      <c r="F4" s="191">
        <v>2024</v>
      </c>
      <c r="G4" s="191">
        <v>2025</v>
      </c>
      <c r="H4" s="191">
        <v>2026</v>
      </c>
      <c r="I4" s="191">
        <v>2027</v>
      </c>
      <c r="J4" s="190"/>
      <c r="K4" s="191" t="s">
        <v>25</v>
      </c>
      <c r="L4" s="191" t="s">
        <v>26</v>
      </c>
      <c r="M4" s="191" t="s">
        <v>27</v>
      </c>
      <c r="N4" s="191" t="s">
        <v>28</v>
      </c>
      <c r="O4" s="191" t="s">
        <v>29</v>
      </c>
      <c r="P4" s="191" t="s">
        <v>30</v>
      </c>
      <c r="Q4" s="191" t="s">
        <v>31</v>
      </c>
      <c r="R4" s="191" t="s">
        <v>32</v>
      </c>
      <c r="S4" s="191" t="s">
        <v>33</v>
      </c>
      <c r="T4" s="191" t="s">
        <v>34</v>
      </c>
      <c r="U4" s="191" t="s">
        <v>35</v>
      </c>
      <c r="V4" s="191" t="s">
        <v>36</v>
      </c>
    </row>
    <row r="5" spans="2:22" x14ac:dyDescent="0.3">
      <c r="B5" t="s">
        <v>37</v>
      </c>
      <c r="E5" s="203">
        <f>'Statements Summary 2023'!V5</f>
        <v>25770</v>
      </c>
      <c r="F5" s="203">
        <f>'Statements Summary 2024'!V5</f>
        <v>40525.656542056073</v>
      </c>
      <c r="G5" s="203">
        <f>'Statements Summary 2025'!V5</f>
        <v>40525.656542056073</v>
      </c>
      <c r="H5" s="203">
        <f>'Statements Summary 2026'!V5</f>
        <v>40525.656542056073</v>
      </c>
      <c r="I5" s="203">
        <f t="shared" ref="I5:I17" si="0">V5</f>
        <v>40525.656542056073</v>
      </c>
      <c r="K5" s="203">
        <f>'CF 2027'!G55</f>
        <v>27053</v>
      </c>
      <c r="L5" s="203">
        <f>'CF 2027'!H55</f>
        <v>38097.816580147868</v>
      </c>
      <c r="M5" s="203">
        <f>'CF 2027'!I55</f>
        <v>38623.82015718909</v>
      </c>
      <c r="N5" s="203">
        <f>'CF 2027'!J55</f>
        <v>39191.817976852544</v>
      </c>
      <c r="O5" s="203">
        <f>'CF 2027'!K55</f>
        <v>40013.838576889153</v>
      </c>
      <c r="P5" s="203">
        <f>'CF 2027'!L55</f>
        <v>41091.829593267881</v>
      </c>
      <c r="Q5" s="203">
        <f>'CF 2027'!M55</f>
        <v>41845.815501149737</v>
      </c>
      <c r="R5" s="203">
        <f>'CF 2027'!N55</f>
        <v>42527.826058113307</v>
      </c>
      <c r="S5" s="203">
        <f>'CF 2027'!O55</f>
        <v>43425.826265741453</v>
      </c>
      <c r="T5" s="203">
        <f>'CF 2027'!P55</f>
        <v>44673.845962423788</v>
      </c>
      <c r="U5" s="203">
        <f>'CF 2027'!Q55</f>
        <v>45927.819390516532</v>
      </c>
      <c r="V5" s="203">
        <f>'CF 2027'!R55</f>
        <v>40525.656542056073</v>
      </c>
    </row>
    <row r="6" spans="2:22" x14ac:dyDescent="0.3">
      <c r="B6" t="s">
        <v>38</v>
      </c>
      <c r="E6" s="203">
        <f>'Statements Summary 2023'!V6</f>
        <v>0</v>
      </c>
      <c r="F6" s="203">
        <f>'Statements Summary 2024'!V6</f>
        <v>-325</v>
      </c>
      <c r="G6" s="203">
        <f>'Statements Summary 2025'!V6</f>
        <v>-325</v>
      </c>
      <c r="H6" s="203">
        <f>'Statements Summary 2026'!V6</f>
        <v>-325</v>
      </c>
      <c r="I6" s="203">
        <f t="shared" si="0"/>
        <v>-325</v>
      </c>
      <c r="K6" s="203">
        <f>'CF 2027'!G56</f>
        <v>-325</v>
      </c>
      <c r="L6" s="203">
        <f>'CF 2027'!H56</f>
        <v>-325</v>
      </c>
      <c r="M6" s="203">
        <f>'CF 2027'!I56</f>
        <v>-325</v>
      </c>
      <c r="N6" s="203">
        <f>'CF 2027'!J56</f>
        <v>-325</v>
      </c>
      <c r="O6" s="203">
        <f>'CF 2027'!K56</f>
        <v>-325</v>
      </c>
      <c r="P6" s="203">
        <f>'CF 2027'!L56</f>
        <v>-325</v>
      </c>
      <c r="Q6" s="203">
        <f>'CF 2027'!M56</f>
        <v>-325</v>
      </c>
      <c r="R6" s="203">
        <f>'CF 2027'!N56</f>
        <v>-325</v>
      </c>
      <c r="S6" s="203">
        <f>'CF 2027'!O56</f>
        <v>-325</v>
      </c>
      <c r="T6" s="203">
        <f>'CF 2027'!P56</f>
        <v>-325</v>
      </c>
      <c r="U6" s="203">
        <f>'CF 2027'!Q56</f>
        <v>-325</v>
      </c>
      <c r="V6" s="203">
        <f>'CF 2027'!R56</f>
        <v>-325</v>
      </c>
    </row>
    <row r="7" spans="2:22" x14ac:dyDescent="0.3">
      <c r="B7" t="s">
        <v>39</v>
      </c>
      <c r="E7" s="203">
        <f>'Statements Summary 2023'!V7</f>
        <v>-5500</v>
      </c>
      <c r="F7" s="203">
        <f>'Statements Summary 2024'!V7</f>
        <v>-5500</v>
      </c>
      <c r="G7" s="203">
        <f>'Statements Summary 2025'!V7</f>
        <v>-5500</v>
      </c>
      <c r="H7" s="203">
        <f>'Statements Summary 2026'!V7</f>
        <v>0</v>
      </c>
      <c r="I7" s="203">
        <f t="shared" si="0"/>
        <v>0</v>
      </c>
      <c r="K7" s="203" t="s">
        <v>192</v>
      </c>
      <c r="L7" s="203">
        <f>'CF 2027'!H41</f>
        <v>0</v>
      </c>
      <c r="M7" s="203">
        <f>'CF 2027'!I41</f>
        <v>0</v>
      </c>
      <c r="N7" s="203">
        <f>'CF 2027'!J41</f>
        <v>0</v>
      </c>
      <c r="O7" s="203">
        <f>'CF 2027'!K41</f>
        <v>0</v>
      </c>
      <c r="P7" s="203">
        <f>'CF 2027'!L41</f>
        <v>0</v>
      </c>
      <c r="Q7" s="203">
        <f>'CF 2027'!M41</f>
        <v>0</v>
      </c>
      <c r="R7" s="203">
        <f>'CF 2027'!N41</f>
        <v>0</v>
      </c>
      <c r="S7" s="203">
        <f>'CF 2027'!O41</f>
        <v>0</v>
      </c>
      <c r="T7" s="203">
        <f>'CF 2027'!P41</f>
        <v>0</v>
      </c>
      <c r="U7" s="203">
        <f>'CF 2027'!Q41</f>
        <v>0</v>
      </c>
      <c r="V7" s="203">
        <f>'CF 2027'!R41</f>
        <v>0</v>
      </c>
    </row>
    <row r="8" spans="2:22" x14ac:dyDescent="0.3">
      <c r="B8" t="s">
        <v>14</v>
      </c>
      <c r="E8" s="203">
        <f>'Statements Summary 2023'!V8</f>
        <v>12762</v>
      </c>
      <c r="F8" s="203">
        <f>'Statements Summary 2024'!V8</f>
        <v>30423.656542056073</v>
      </c>
      <c r="G8" s="203">
        <f>'Statements Summary 2025'!V8</f>
        <v>47635.656542056073</v>
      </c>
      <c r="H8" s="203">
        <f>'Statements Summary 2026'!V8</f>
        <v>33415.656542056073</v>
      </c>
      <c r="I8" s="203">
        <f t="shared" si="0"/>
        <v>33415.656542056073</v>
      </c>
      <c r="K8" s="203">
        <f>'CF 2027'!G30</f>
        <v>16697.400000000001</v>
      </c>
      <c r="L8" s="203">
        <f>'CF 2027'!H30</f>
        <v>27875.016580147869</v>
      </c>
      <c r="M8" s="203">
        <f>'CF 2027'!I30</f>
        <v>28433.420157189088</v>
      </c>
      <c r="N8" s="203">
        <f>'CF 2027'!J30</f>
        <v>29208.617976852544</v>
      </c>
      <c r="O8" s="203">
        <f>'CF 2027'!K30</f>
        <v>29713.038576889154</v>
      </c>
      <c r="P8" s="203">
        <f>'CF 2027'!L30</f>
        <v>30769.229593267883</v>
      </c>
      <c r="Q8" s="203">
        <f>'CF 2027'!M30</f>
        <v>31670.615501149736</v>
      </c>
      <c r="R8" s="203">
        <f>'CF 2027'!N30</f>
        <v>32574.826058113307</v>
      </c>
      <c r="S8" s="203">
        <f>'CF 2027'!O30</f>
        <v>34545.226265741454</v>
      </c>
      <c r="T8" s="203">
        <f>'CF 2027'!P30</f>
        <v>36625.845962423788</v>
      </c>
      <c r="U8" s="203">
        <f>'CF 2027'!Q30</f>
        <v>38044.619390516535</v>
      </c>
      <c r="V8" s="203">
        <f>'CF 2027'!R30</f>
        <v>33415.656542056073</v>
      </c>
    </row>
    <row r="9" spans="2:22" x14ac:dyDescent="0.3">
      <c r="B9" t="s">
        <v>40</v>
      </c>
      <c r="E9" s="203" t="str">
        <f>'Statements Summary 2023'!V9</f>
        <v>-</v>
      </c>
      <c r="F9" s="203" t="str">
        <f>'Statements Summary 2024'!V9</f>
        <v>-</v>
      </c>
      <c r="G9" s="203">
        <f>'Statements Summary 2025'!V9</f>
        <v>0</v>
      </c>
      <c r="H9" s="203">
        <f>'Statements Summary 2026'!V9</f>
        <v>0</v>
      </c>
      <c r="I9" s="203">
        <f t="shared" si="0"/>
        <v>0</v>
      </c>
      <c r="K9" s="203">
        <f>'CF 2027'!G35</f>
        <v>0</v>
      </c>
      <c r="L9" s="203">
        <f>'CF 2027'!H35</f>
        <v>0</v>
      </c>
      <c r="M9" s="203">
        <f>'CF 2027'!I35</f>
        <v>0</v>
      </c>
      <c r="N9" s="203">
        <f>'CF 2027'!J35</f>
        <v>0</v>
      </c>
      <c r="O9" s="203">
        <f>'CF 2027'!K35</f>
        <v>0</v>
      </c>
      <c r="P9" s="203">
        <f>'CF 2027'!L35</f>
        <v>0</v>
      </c>
      <c r="Q9" s="203">
        <f>'CF 2027'!M35</f>
        <v>0</v>
      </c>
      <c r="R9" s="203">
        <f>'CF 2027'!N35</f>
        <v>0</v>
      </c>
      <c r="S9" s="203">
        <f>'CF 2027'!O35</f>
        <v>0</v>
      </c>
      <c r="T9" s="203">
        <f>'CF 2027'!P35</f>
        <v>0</v>
      </c>
      <c r="U9" s="203">
        <f>'CF 2027'!Q35</f>
        <v>0</v>
      </c>
      <c r="V9" s="203">
        <f>'CF 2027'!R35</f>
        <v>0</v>
      </c>
    </row>
    <row r="10" spans="2:22" x14ac:dyDescent="0.3">
      <c r="B10" t="s">
        <v>41</v>
      </c>
      <c r="E10" s="203" t="str">
        <f>'Statements Summary 2023'!V10</f>
        <v>-</v>
      </c>
      <c r="F10" s="203" t="str">
        <f>'Statements Summary 2024'!V10</f>
        <v>-</v>
      </c>
      <c r="G10" s="203" t="str">
        <f>'Statements Summary 2025'!V10</f>
        <v>-</v>
      </c>
      <c r="H10" s="203" t="str">
        <f>'Statements Summary 2026'!V10</f>
        <v>-</v>
      </c>
      <c r="I10" s="203" t="str">
        <f t="shared" si="0"/>
        <v>-</v>
      </c>
      <c r="K10" s="203" t="s">
        <v>192</v>
      </c>
      <c r="L10" s="203" t="s">
        <v>192</v>
      </c>
      <c r="M10" s="203" t="s">
        <v>192</v>
      </c>
      <c r="N10" s="203" t="s">
        <v>192</v>
      </c>
      <c r="O10" s="203" t="s">
        <v>192</v>
      </c>
      <c r="P10" s="203" t="s">
        <v>192</v>
      </c>
      <c r="Q10" s="203" t="s">
        <v>192</v>
      </c>
      <c r="R10" s="203" t="s">
        <v>192</v>
      </c>
      <c r="S10" s="203" t="s">
        <v>192</v>
      </c>
      <c r="T10" s="203" t="s">
        <v>192</v>
      </c>
      <c r="U10" s="203" t="s">
        <v>192</v>
      </c>
      <c r="V10" s="203" t="s">
        <v>192</v>
      </c>
    </row>
    <row r="11" spans="2:22" x14ac:dyDescent="0.3">
      <c r="B11" t="s">
        <v>42</v>
      </c>
      <c r="E11" s="203" t="str">
        <f>'Statements Summary 2023'!V11</f>
        <v>-</v>
      </c>
      <c r="F11" s="203" t="str">
        <f>'Statements Summary 2024'!V11</f>
        <v>-</v>
      </c>
      <c r="G11" s="203" t="str">
        <f>'Statements Summary 2025'!V11</f>
        <v>-</v>
      </c>
      <c r="H11" s="203" t="str">
        <f>'Statements Summary 2026'!V11</f>
        <v>-</v>
      </c>
      <c r="I11" s="203" t="str">
        <f t="shared" si="0"/>
        <v>-</v>
      </c>
      <c r="K11" s="203">
        <f>'CF 2027'!G35</f>
        <v>0</v>
      </c>
      <c r="L11" s="203" t="s">
        <v>192</v>
      </c>
      <c r="M11" s="203" t="s">
        <v>192</v>
      </c>
      <c r="N11" s="203" t="s">
        <v>192</v>
      </c>
      <c r="O11" s="203" t="s">
        <v>192</v>
      </c>
      <c r="P11" s="203" t="s">
        <v>192</v>
      </c>
      <c r="Q11" s="203" t="s">
        <v>192</v>
      </c>
      <c r="R11" s="203" t="s">
        <v>192</v>
      </c>
      <c r="S11" s="203" t="s">
        <v>192</v>
      </c>
      <c r="T11" s="203" t="s">
        <v>192</v>
      </c>
      <c r="U11" s="203" t="s">
        <v>192</v>
      </c>
      <c r="V11" s="203" t="s">
        <v>192</v>
      </c>
    </row>
    <row r="12" spans="2:22" x14ac:dyDescent="0.3">
      <c r="B12" t="s">
        <v>43</v>
      </c>
      <c r="E12" s="203">
        <f>'Statements Summary 2023'!V12</f>
        <v>-5500</v>
      </c>
      <c r="F12" s="203">
        <f>'Statements Summary 2024'!V12</f>
        <v>-5500</v>
      </c>
      <c r="G12" s="203">
        <f>'Statements Summary 2025'!V12</f>
        <v>-5500</v>
      </c>
      <c r="H12" s="203">
        <f>'Statements Summary 2026'!V12</f>
        <v>0</v>
      </c>
      <c r="I12" s="203">
        <f t="shared" si="0"/>
        <v>0</v>
      </c>
      <c r="K12" s="203" t="s">
        <v>192</v>
      </c>
      <c r="L12" s="203">
        <f>'CF 2027'!H41</f>
        <v>0</v>
      </c>
      <c r="M12" s="203">
        <f>'CF 2027'!I41</f>
        <v>0</v>
      </c>
      <c r="N12" s="203">
        <f>'CF 2027'!J41</f>
        <v>0</v>
      </c>
      <c r="O12" s="203">
        <f>'CF 2027'!K41</f>
        <v>0</v>
      </c>
      <c r="P12" s="203">
        <f>'CF 2027'!L41</f>
        <v>0</v>
      </c>
      <c r="Q12" s="203">
        <f>'CF 2027'!M41</f>
        <v>0</v>
      </c>
      <c r="R12" s="203">
        <f>'CF 2027'!N41</f>
        <v>0</v>
      </c>
      <c r="S12" s="203">
        <f>'CF 2027'!O41</f>
        <v>0</v>
      </c>
      <c r="T12" s="203">
        <f>'CF 2027'!P41</f>
        <v>0</v>
      </c>
      <c r="U12" s="203">
        <f>'CF 2027'!Q41</f>
        <v>0</v>
      </c>
      <c r="V12" s="203">
        <f>'CF 2027'!R41</f>
        <v>0</v>
      </c>
    </row>
    <row r="13" spans="2:22" x14ac:dyDescent="0.3">
      <c r="B13" t="s">
        <v>44</v>
      </c>
      <c r="E13" s="203" t="str">
        <f>'Statements Summary 2023'!V13</f>
        <v>-</v>
      </c>
      <c r="F13" s="203" t="str">
        <f>'Statements Summary 2024'!V13</f>
        <v>-</v>
      </c>
      <c r="G13" s="203" t="str">
        <f>'Statements Summary 2025'!V13</f>
        <v>-</v>
      </c>
      <c r="H13" s="203" t="str">
        <f>'Statements Summary 2026'!V13</f>
        <v>-</v>
      </c>
      <c r="I13" s="203" t="str">
        <f t="shared" si="0"/>
        <v>-</v>
      </c>
      <c r="K13" s="203" t="s">
        <v>192</v>
      </c>
      <c r="L13" s="203" t="s">
        <v>192</v>
      </c>
      <c r="M13" s="203" t="s">
        <v>192</v>
      </c>
      <c r="N13" s="203" t="s">
        <v>192</v>
      </c>
      <c r="O13" s="203" t="s">
        <v>192</v>
      </c>
      <c r="P13" s="203" t="s">
        <v>192</v>
      </c>
      <c r="Q13" s="203" t="s">
        <v>192</v>
      </c>
      <c r="R13" s="203" t="s">
        <v>192</v>
      </c>
      <c r="S13" s="203" t="s">
        <v>192</v>
      </c>
      <c r="T13" s="203" t="s">
        <v>192</v>
      </c>
      <c r="U13" s="203" t="s">
        <v>192</v>
      </c>
      <c r="V13" s="203" t="s">
        <v>192</v>
      </c>
    </row>
    <row r="14" spans="2:22" x14ac:dyDescent="0.3">
      <c r="B14" t="s">
        <v>45</v>
      </c>
      <c r="E14" s="203" t="str">
        <f>'Statements Summary 2023'!V14</f>
        <v>-</v>
      </c>
      <c r="F14" s="203" t="str">
        <f>'Statements Summary 2024'!V14</f>
        <v>-</v>
      </c>
      <c r="G14" s="203" t="str">
        <f>'Statements Summary 2025'!V14</f>
        <v>-</v>
      </c>
      <c r="H14" s="203" t="str">
        <f>'Statements Summary 2026'!V14</f>
        <v>-</v>
      </c>
      <c r="I14" s="203" t="str">
        <f t="shared" si="0"/>
        <v>-</v>
      </c>
      <c r="K14" s="203" t="s">
        <v>192</v>
      </c>
      <c r="L14" s="203" t="s">
        <v>192</v>
      </c>
      <c r="M14" s="203" t="s">
        <v>192</v>
      </c>
      <c r="N14" s="203" t="s">
        <v>192</v>
      </c>
      <c r="O14" s="203" t="s">
        <v>192</v>
      </c>
      <c r="P14" s="203" t="s">
        <v>192</v>
      </c>
      <c r="Q14" s="203" t="s">
        <v>192</v>
      </c>
      <c r="R14" s="203" t="s">
        <v>192</v>
      </c>
      <c r="S14" s="203" t="s">
        <v>192</v>
      </c>
      <c r="T14" s="203" t="s">
        <v>192</v>
      </c>
      <c r="U14" s="203" t="s">
        <v>192</v>
      </c>
      <c r="V14" s="203" t="s">
        <v>192</v>
      </c>
    </row>
    <row r="15" spans="2:22" x14ac:dyDescent="0.3">
      <c r="B15" t="s">
        <v>46</v>
      </c>
      <c r="E15" s="203">
        <f>'Statements Summary 2023'!V15</f>
        <v>-5500</v>
      </c>
      <c r="F15" s="203">
        <f>'Statements Summary 2024'!V15</f>
        <v>-5500</v>
      </c>
      <c r="G15" s="203">
        <f>'Statements Summary 2025'!V15</f>
        <v>-5500</v>
      </c>
      <c r="H15" s="203">
        <f>'Statements Summary 2026'!V15</f>
        <v>0</v>
      </c>
      <c r="I15" s="203">
        <f t="shared" si="0"/>
        <v>0</v>
      </c>
      <c r="K15" s="203" t="s">
        <v>192</v>
      </c>
      <c r="L15" s="203">
        <f>'CF 2027'!H41</f>
        <v>0</v>
      </c>
      <c r="M15" s="203">
        <f>'CF 2027'!I41</f>
        <v>0</v>
      </c>
      <c r="N15" s="203">
        <f>'CF 2027'!J41</f>
        <v>0</v>
      </c>
      <c r="O15" s="203">
        <f>'CF 2027'!K41</f>
        <v>0</v>
      </c>
      <c r="P15" s="203">
        <f>'CF 2027'!L41</f>
        <v>0</v>
      </c>
      <c r="Q15" s="203">
        <f>'CF 2027'!M41</f>
        <v>0</v>
      </c>
      <c r="R15" s="203">
        <f>'CF 2027'!N41</f>
        <v>0</v>
      </c>
      <c r="S15" s="203">
        <f>'CF 2027'!O41</f>
        <v>0</v>
      </c>
      <c r="T15" s="203">
        <f>'CF 2027'!P41</f>
        <v>0</v>
      </c>
      <c r="U15" s="203">
        <f>'CF 2027'!Q41</f>
        <v>0</v>
      </c>
      <c r="V15" s="203">
        <f>'CF 2027'!R41</f>
        <v>0</v>
      </c>
    </row>
    <row r="16" spans="2:22" x14ac:dyDescent="0.3">
      <c r="B16" t="s">
        <v>197</v>
      </c>
      <c r="E16" s="203">
        <f>'Statements Summary 2023'!V16</f>
        <v>12762</v>
      </c>
      <c r="F16" s="203">
        <f>'Statements Summary 2024'!V16</f>
        <v>30423.656542056073</v>
      </c>
      <c r="G16" s="203">
        <f>'Statements Summary 2025'!V16</f>
        <v>47635.656542056073</v>
      </c>
      <c r="H16" s="203">
        <f>'Statements Summary 2026'!V16</f>
        <v>33415.656542056073</v>
      </c>
      <c r="I16" s="203">
        <f t="shared" si="0"/>
        <v>33415.656542056073</v>
      </c>
      <c r="K16" s="203">
        <f>'CF 2027'!G30</f>
        <v>16697.400000000001</v>
      </c>
      <c r="L16" s="203">
        <f>'CF 2027'!H30</f>
        <v>27875.016580147869</v>
      </c>
      <c r="M16" s="203">
        <f>'CF 2027'!I30</f>
        <v>28433.420157189088</v>
      </c>
      <c r="N16" s="203">
        <f>'CF 2027'!J30</f>
        <v>29208.617976852544</v>
      </c>
      <c r="O16" s="203">
        <f>'CF 2027'!K30</f>
        <v>29713.038576889154</v>
      </c>
      <c r="P16" s="203">
        <f>'CF 2027'!L30</f>
        <v>30769.229593267883</v>
      </c>
      <c r="Q16" s="203">
        <f>'CF 2027'!M30</f>
        <v>31670.615501149736</v>
      </c>
      <c r="R16" s="203">
        <f>'CF 2027'!N30</f>
        <v>32574.826058113307</v>
      </c>
      <c r="S16" s="203">
        <f>'CF 2027'!O30</f>
        <v>34545.226265741454</v>
      </c>
      <c r="T16" s="203">
        <f>'CF 2027'!P30</f>
        <v>36625.845962423788</v>
      </c>
      <c r="U16" s="203">
        <f>'CF 2027'!Q30</f>
        <v>38044.619390516535</v>
      </c>
      <c r="V16" s="203">
        <f>'CF 2027'!R30</f>
        <v>33415.656542056073</v>
      </c>
    </row>
    <row r="17" spans="2:22" x14ac:dyDescent="0.3">
      <c r="B17" t="s">
        <v>47</v>
      </c>
      <c r="E17" s="203">
        <f>'Statements Summary 2023'!V17</f>
        <v>20024</v>
      </c>
      <c r="F17" s="203">
        <f>'Statements Summary 2024'!V17</f>
        <v>55347.313084112146</v>
      </c>
      <c r="G17" s="203">
        <f>'Statements Summary 2025'!V17</f>
        <v>89771.313084112146</v>
      </c>
      <c r="H17" s="203">
        <f>'Statements Summary 2026'!V17</f>
        <v>66831.313084112146</v>
      </c>
      <c r="I17" s="203">
        <f t="shared" si="0"/>
        <v>66831.313084112146</v>
      </c>
      <c r="K17" s="203">
        <f>'CF 2027'!G51+'CF 2027'!G28+'CF 2027'!G29</f>
        <v>34107.200000000004</v>
      </c>
      <c r="L17" s="203">
        <f>'CF 2027'!H51+'CF 2027'!H28+'CF 2027'!H29</f>
        <v>55750.03316029573</v>
      </c>
      <c r="M17" s="203">
        <f>'CF 2027'!I51+'CF 2027'!I28+'CF 2027'!I29</f>
        <v>56866.840314378169</v>
      </c>
      <c r="N17" s="203">
        <f>'CF 2027'!J51+'CF 2027'!J28+'CF 2027'!J29</f>
        <v>58417.235953705094</v>
      </c>
      <c r="O17" s="203">
        <f>'CF 2027'!K51+'CF 2027'!K28+'CF 2027'!K29</f>
        <v>59426.0771537783</v>
      </c>
      <c r="P17" s="203">
        <f>'CF 2027'!L51+'CF 2027'!L28+'CF 2027'!L29</f>
        <v>61538.459186535772</v>
      </c>
      <c r="Q17" s="203">
        <f>'CF 2027'!M51+'CF 2027'!M28+'CF 2027'!M29</f>
        <v>63341.231002299479</v>
      </c>
      <c r="R17" s="203">
        <f>'CF 2027'!N51+'CF 2027'!N28+'CF 2027'!N29</f>
        <v>65149.652116226614</v>
      </c>
      <c r="S17" s="203">
        <f>'CF 2027'!O51+'CF 2027'!O28+'CF 2027'!O29</f>
        <v>69090.452531482908</v>
      </c>
      <c r="T17" s="203">
        <f>'CF 2027'!P51+'CF 2027'!P28+'CF 2027'!P29</f>
        <v>73251.691924847575</v>
      </c>
      <c r="U17" s="203">
        <f>'CF 2027'!Q51+'CF 2027'!Q28+'CF 2027'!Q29</f>
        <v>76089.238781033069</v>
      </c>
      <c r="V17" s="203">
        <f>'CF 2027'!R51+'CF 2027'!R28+'CF 2027'!R29</f>
        <v>66831.313084112146</v>
      </c>
    </row>
    <row r="19" spans="2:22" x14ac:dyDescent="0.3">
      <c r="B19" s="177" t="s">
        <v>224</v>
      </c>
      <c r="C19" s="151"/>
      <c r="D19" s="151"/>
      <c r="E19" s="151"/>
      <c r="F19" s="151"/>
      <c r="G19" s="151"/>
      <c r="H19" s="151"/>
      <c r="I19" s="151"/>
      <c r="K19" s="349" t="s">
        <v>235</v>
      </c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</row>
    <row r="42" spans="2:22" x14ac:dyDescent="0.3">
      <c r="B42" s="177" t="s">
        <v>225</v>
      </c>
      <c r="C42" s="177"/>
      <c r="D42" s="177"/>
      <c r="E42" s="177"/>
      <c r="F42" s="151"/>
      <c r="G42" s="151"/>
      <c r="H42" s="151"/>
      <c r="I42" s="151"/>
      <c r="J42" s="151"/>
      <c r="K42" s="349" t="s">
        <v>227</v>
      </c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</row>
    <row r="44" spans="2:22" x14ac:dyDescent="0.3">
      <c r="B44" s="190" t="s">
        <v>20</v>
      </c>
      <c r="C44" s="190"/>
      <c r="D44" s="190"/>
      <c r="E44" s="191">
        <v>2023</v>
      </c>
      <c r="F44" s="191">
        <v>2024</v>
      </c>
      <c r="G44" s="191">
        <v>2025</v>
      </c>
      <c r="H44" s="191">
        <v>2026</v>
      </c>
      <c r="I44" s="191">
        <v>2027</v>
      </c>
      <c r="J44" s="190"/>
      <c r="K44" s="190" t="s">
        <v>25</v>
      </c>
      <c r="L44" s="190" t="s">
        <v>26</v>
      </c>
      <c r="M44" s="190" t="s">
        <v>27</v>
      </c>
      <c r="N44" s="190" t="s">
        <v>28</v>
      </c>
      <c r="O44" s="190" t="s">
        <v>29</v>
      </c>
      <c r="P44" s="190" t="s">
        <v>30</v>
      </c>
      <c r="Q44" s="190" t="s">
        <v>31</v>
      </c>
      <c r="R44" s="190" t="s">
        <v>32</v>
      </c>
      <c r="S44" s="190" t="s">
        <v>33</v>
      </c>
      <c r="T44" s="190" t="s">
        <v>34</v>
      </c>
      <c r="U44" s="190" t="s">
        <v>35</v>
      </c>
      <c r="V44" s="190" t="s">
        <v>36</v>
      </c>
    </row>
    <row r="45" spans="2:22" x14ac:dyDescent="0.3">
      <c r="B45" s="14" t="s">
        <v>2</v>
      </c>
      <c r="C45" s="14"/>
      <c r="D45" s="14"/>
      <c r="E45" s="192">
        <f>'Statements Summary 2023'!V44</f>
        <v>25770</v>
      </c>
      <c r="F45" s="192">
        <f>'Statements Summary 2024'!V45</f>
        <v>27986</v>
      </c>
      <c r="G45" s="192">
        <f>'Statements Summary 2025'!V45</f>
        <v>25770</v>
      </c>
      <c r="H45" s="192">
        <f>'Statements Summary 2026'!V45</f>
        <v>25770</v>
      </c>
      <c r="I45" s="192">
        <f t="shared" ref="I45:I65" si="1">V45</f>
        <v>25770</v>
      </c>
      <c r="K45" s="192">
        <f>'IS 2027'!F24</f>
        <v>26973</v>
      </c>
      <c r="L45" s="192">
        <f>'IS 2027'!G24</f>
        <v>27684</v>
      </c>
      <c r="M45" s="192">
        <f>'IS 2027'!H24</f>
        <v>29297</v>
      </c>
      <c r="N45" s="192">
        <f>'IS 2027'!I24</f>
        <v>30249</v>
      </c>
      <c r="O45" s="192">
        <f>'IS 2027'!J24</f>
        <v>36495</v>
      </c>
      <c r="P45" s="192">
        <f>'IS 2027'!K24</f>
        <v>35838</v>
      </c>
      <c r="Q45" s="192">
        <f>'IS 2027'!L24</f>
        <v>36002</v>
      </c>
      <c r="R45" s="192">
        <f>'IS 2027'!M24</f>
        <v>34697</v>
      </c>
      <c r="S45" s="192">
        <f>'IS 2027'!N24</f>
        <v>30698</v>
      </c>
      <c r="T45" s="192">
        <f>'IS 2027'!O24</f>
        <v>27910</v>
      </c>
      <c r="U45" s="192">
        <f>'IS 2027'!P24</f>
        <v>28461</v>
      </c>
      <c r="V45" s="192">
        <f>'IS 2027'!Q24</f>
        <v>25770</v>
      </c>
    </row>
    <row r="46" spans="2:22" x14ac:dyDescent="0.3">
      <c r="B46" t="s">
        <v>21</v>
      </c>
      <c r="E46" s="1">
        <f>'Statements Summary 2023'!V45</f>
        <v>-4.8585985379901053E-2</v>
      </c>
      <c r="F46" s="2">
        <f>'Statements Summary 2024'!V46</f>
        <v>-5.8946164968559804E-2</v>
      </c>
      <c r="G46" s="2">
        <f>'Statements Summary 2025'!V46</f>
        <v>-9.4550437440708332E-2</v>
      </c>
      <c r="H46" s="2">
        <f>'Statements Summary 2026'!V46</f>
        <v>-9.4550437440708332E-2</v>
      </c>
      <c r="I46" s="2">
        <f t="shared" si="1"/>
        <v>-9.4550437440708332E-2</v>
      </c>
      <c r="K46" s="2"/>
      <c r="L46" s="2">
        <f t="shared" ref="L46" si="2">(L45-K45)/K45</f>
        <v>2.6359693026359692E-2</v>
      </c>
      <c r="M46" s="2">
        <f>(M45-L45)/L45</f>
        <v>5.8264701632712038E-2</v>
      </c>
      <c r="N46" s="2">
        <f>(N45-M45)/M45</f>
        <v>3.2494794688875991E-2</v>
      </c>
      <c r="O46" s="2">
        <f t="shared" ref="O46:T46" si="3">(O45-N45)/N45</f>
        <v>0.20648616483189527</v>
      </c>
      <c r="P46" s="2">
        <f t="shared" si="3"/>
        <v>-1.8002466091245378E-2</v>
      </c>
      <c r="Q46" s="2">
        <f t="shared" si="3"/>
        <v>4.5761482225570626E-3</v>
      </c>
      <c r="R46" s="2">
        <f t="shared" si="3"/>
        <v>-3.624798622298761E-2</v>
      </c>
      <c r="S46" s="2">
        <f t="shared" si="3"/>
        <v>-0.11525492117474133</v>
      </c>
      <c r="T46" s="2">
        <f t="shared" si="3"/>
        <v>-9.0820248876148285E-2</v>
      </c>
      <c r="U46" s="2">
        <f>(U45-T45)/T45</f>
        <v>1.9742027946972412E-2</v>
      </c>
      <c r="V46" s="2">
        <f t="shared" ref="V46" si="4">(V45-U45)/U45</f>
        <v>-9.4550437440708332E-2</v>
      </c>
    </row>
    <row r="47" spans="2:22" x14ac:dyDescent="0.3">
      <c r="B47" t="s">
        <v>3</v>
      </c>
      <c r="E47" s="1">
        <f>'Statements Summary 2023'!V46</f>
        <v>-2045</v>
      </c>
      <c r="F47" s="1">
        <f>'Statements Summary 2024'!V47</f>
        <v>-2045</v>
      </c>
      <c r="G47" s="1">
        <f>'Statements Summary 2025'!V47</f>
        <v>-2045</v>
      </c>
      <c r="H47" s="1">
        <f>'Statements Summary 2026'!V47</f>
        <v>-2045</v>
      </c>
      <c r="I47" s="1">
        <f t="shared" si="1"/>
        <v>-2045</v>
      </c>
      <c r="K47" s="1">
        <f>'IS 2027'!F25</f>
        <v>-2045</v>
      </c>
      <c r="L47" s="1">
        <f>'IS 2027'!G25</f>
        <v>-2045</v>
      </c>
      <c r="M47" s="1">
        <f>'IS 2027'!H25</f>
        <v>-2045</v>
      </c>
      <c r="N47" s="1">
        <f>'IS 2027'!I25</f>
        <v>-2045</v>
      </c>
      <c r="O47" s="1">
        <f>'IS 2027'!J25</f>
        <v>-2045</v>
      </c>
      <c r="P47" s="1">
        <f>'IS 2027'!K25</f>
        <v>-2045</v>
      </c>
      <c r="Q47" s="1">
        <f>'IS 2027'!L25</f>
        <v>-2045</v>
      </c>
      <c r="R47" s="1">
        <f>'IS 2027'!M25</f>
        <v>-2045</v>
      </c>
      <c r="S47" s="1">
        <f>'IS 2027'!N25</f>
        <v>-2045</v>
      </c>
      <c r="T47" s="1">
        <f>'IS 2027'!O25</f>
        <v>-2045</v>
      </c>
      <c r="U47" s="1">
        <f>'IS 2027'!P25</f>
        <v>-2045</v>
      </c>
      <c r="V47" s="1">
        <f>'IS 2027'!Q25</f>
        <v>-2045</v>
      </c>
    </row>
    <row r="48" spans="2:22" x14ac:dyDescent="0.3">
      <c r="B48" t="s">
        <v>22</v>
      </c>
      <c r="E48" s="2">
        <f>'Statements Summary 2023'!V47</f>
        <v>-7.9355840124175403E-2</v>
      </c>
      <c r="F48" s="2">
        <f>'Statements Summary 2024'!V48</f>
        <v>-7.3072250410919748E-2</v>
      </c>
      <c r="G48" s="2">
        <f>'Statements Summary 2025'!V48</f>
        <v>-7.9355840124175403E-2</v>
      </c>
      <c r="H48" s="2">
        <f>'Statements Summary 2026'!V48</f>
        <v>-7.9355840124175403E-2</v>
      </c>
      <c r="I48" s="2">
        <f t="shared" si="1"/>
        <v>-7.9355840124175403E-2</v>
      </c>
      <c r="K48" s="2">
        <f>K47/K45</f>
        <v>-7.5816557298038781E-2</v>
      </c>
      <c r="L48" s="2">
        <f t="shared" ref="L48:V48" si="5">L47/L45</f>
        <v>-7.3869383037133363E-2</v>
      </c>
      <c r="M48" s="2">
        <f t="shared" si="5"/>
        <v>-6.980236884322627E-2</v>
      </c>
      <c r="N48" s="2">
        <f t="shared" si="5"/>
        <v>-6.7605540679030712E-2</v>
      </c>
      <c r="O48" s="2">
        <f t="shared" si="5"/>
        <v>-5.6035073297712013E-2</v>
      </c>
      <c r="P48" s="2">
        <f t="shared" si="5"/>
        <v>-5.706233606786093E-2</v>
      </c>
      <c r="Q48" s="2">
        <f t="shared" si="5"/>
        <v>-5.6802399866674076E-2</v>
      </c>
      <c r="R48" s="2">
        <f t="shared" si="5"/>
        <v>-5.8938813153874975E-2</v>
      </c>
      <c r="S48" s="2">
        <f t="shared" si="5"/>
        <v>-6.6616717701478922E-2</v>
      </c>
      <c r="T48" s="2">
        <f t="shared" si="5"/>
        <v>-7.3271228950197068E-2</v>
      </c>
      <c r="U48" s="2">
        <f t="shared" si="5"/>
        <v>-7.1852710726959701E-2</v>
      </c>
      <c r="V48" s="2">
        <f t="shared" si="5"/>
        <v>-7.9355840124175403E-2</v>
      </c>
    </row>
    <row r="49" spans="2:22" x14ac:dyDescent="0.3">
      <c r="B49" t="s">
        <v>4</v>
      </c>
      <c r="E49" s="1">
        <f>'Statements Summary 2023'!V48</f>
        <v>23725</v>
      </c>
      <c r="F49" s="1">
        <f>'Statements Summary 2024'!V49</f>
        <v>25941</v>
      </c>
      <c r="G49" s="1">
        <f>'Statements Summary 2025'!V49</f>
        <v>23725</v>
      </c>
      <c r="H49" s="1">
        <f>'Statements Summary 2026'!V49</f>
        <v>23725</v>
      </c>
      <c r="I49" s="1">
        <f t="shared" si="1"/>
        <v>23725</v>
      </c>
      <c r="K49" s="1">
        <f>'IS 2027'!F33</f>
        <v>24928</v>
      </c>
      <c r="L49" s="1">
        <f>'IS 2027'!G33</f>
        <v>25639</v>
      </c>
      <c r="M49" s="1">
        <f>'IS 2027'!H33</f>
        <v>27252</v>
      </c>
      <c r="N49" s="1">
        <f>'IS 2027'!I33</f>
        <v>28204</v>
      </c>
      <c r="O49" s="1">
        <f>'IS 2027'!J33</f>
        <v>34450</v>
      </c>
      <c r="P49" s="1">
        <f>'IS 2027'!K33</f>
        <v>33793</v>
      </c>
      <c r="Q49" s="1">
        <f>'IS 2027'!L33</f>
        <v>33957</v>
      </c>
      <c r="R49" s="1">
        <f>'IS 2027'!M33</f>
        <v>32652</v>
      </c>
      <c r="S49" s="1">
        <f>'IS 2027'!N33</f>
        <v>28653</v>
      </c>
      <c r="T49" s="1">
        <f>'IS 2027'!O33</f>
        <v>25865</v>
      </c>
      <c r="U49" s="1">
        <f>'IS 2027'!P33</f>
        <v>26416</v>
      </c>
      <c r="V49" s="1">
        <f>'IS 2027'!Q33</f>
        <v>23725</v>
      </c>
    </row>
    <row r="50" spans="2:22" x14ac:dyDescent="0.3">
      <c r="B50" t="s">
        <v>23</v>
      </c>
      <c r="E50" s="2">
        <f>'Statements Summary 2023'!V49</f>
        <v>0.9206441598758246</v>
      </c>
      <c r="F50" s="2">
        <f>'Statements Summary 2024'!V50</f>
        <v>0.92692774958908031</v>
      </c>
      <c r="G50" s="2">
        <f>'Statements Summary 2025'!V50</f>
        <v>0.9206441598758246</v>
      </c>
      <c r="H50" s="2">
        <f>'Statements Summary 2026'!V50</f>
        <v>0.9206441598758246</v>
      </c>
      <c r="I50" s="2">
        <f t="shared" si="1"/>
        <v>0.9206441598758246</v>
      </c>
      <c r="K50" s="2">
        <f>K49/K45</f>
        <v>0.92418344270196118</v>
      </c>
      <c r="L50" s="2">
        <f t="shared" ref="L50:V50" si="6">L49/L45</f>
        <v>0.92613061696286669</v>
      </c>
      <c r="M50" s="2">
        <f t="shared" si="6"/>
        <v>0.93019763115677379</v>
      </c>
      <c r="N50" s="2">
        <f t="shared" si="6"/>
        <v>0.93239445932096932</v>
      </c>
      <c r="O50" s="2">
        <f t="shared" si="6"/>
        <v>0.94396492670228793</v>
      </c>
      <c r="P50" s="2">
        <f t="shared" si="6"/>
        <v>0.94293766393213907</v>
      </c>
      <c r="Q50" s="2">
        <f t="shared" si="6"/>
        <v>0.94319760013332588</v>
      </c>
      <c r="R50" s="2">
        <f t="shared" si="6"/>
        <v>0.94106118684612505</v>
      </c>
      <c r="S50" s="2">
        <f t="shared" si="6"/>
        <v>0.93338328229852108</v>
      </c>
      <c r="T50" s="2">
        <f t="shared" si="6"/>
        <v>0.92672877104980289</v>
      </c>
      <c r="U50" s="2">
        <f t="shared" si="6"/>
        <v>0.92814728927304035</v>
      </c>
      <c r="V50" s="2">
        <f t="shared" si="6"/>
        <v>0.9206441598758246</v>
      </c>
    </row>
    <row r="51" spans="2:22" x14ac:dyDescent="0.3">
      <c r="B51" t="s">
        <v>5</v>
      </c>
      <c r="E51" s="1">
        <f>'Statements Summary 2023'!V50</f>
        <v>-3031</v>
      </c>
      <c r="F51" s="1">
        <f>'Statements Summary 2024'!V51</f>
        <v>-3031</v>
      </c>
      <c r="G51" s="1">
        <f>'Statements Summary 2025'!V51</f>
        <v>-3031</v>
      </c>
      <c r="H51" s="1">
        <f>'Statements Summary 2026'!V51</f>
        <v>-3031</v>
      </c>
      <c r="I51" s="1">
        <f t="shared" si="1"/>
        <v>-3031</v>
      </c>
      <c r="K51" s="1">
        <f>'IS 2027'!F44</f>
        <v>-3031</v>
      </c>
      <c r="L51" s="1">
        <f>'IS 2027'!G44</f>
        <v>-3031</v>
      </c>
      <c r="M51" s="1">
        <f>'IS 2027'!H44</f>
        <v>-3031</v>
      </c>
      <c r="N51" s="1">
        <f>'IS 2027'!I44</f>
        <v>-3031</v>
      </c>
      <c r="O51" s="1">
        <f>'IS 2027'!J44</f>
        <v>-3031</v>
      </c>
      <c r="P51" s="1">
        <f>'IS 2027'!K44</f>
        <v>-3031</v>
      </c>
      <c r="Q51" s="1">
        <f>'IS 2027'!L44</f>
        <v>-3031</v>
      </c>
      <c r="R51" s="1">
        <f>'IS 2027'!M44</f>
        <v>-3031</v>
      </c>
      <c r="S51" s="1">
        <f>'IS 2027'!N44</f>
        <v>-3031</v>
      </c>
      <c r="T51" s="1">
        <f>'IS 2027'!O44</f>
        <v>-3031</v>
      </c>
      <c r="U51" s="1">
        <f>'IS 2027'!P44</f>
        <v>-3031</v>
      </c>
      <c r="V51" s="1">
        <f>'IS 2027'!Q44</f>
        <v>-3031</v>
      </c>
    </row>
    <row r="52" spans="2:22" x14ac:dyDescent="0.3">
      <c r="B52" t="s">
        <v>22</v>
      </c>
      <c r="E52" s="2">
        <f>'Statements Summary 2023'!V51</f>
        <v>-0.11761738455568491</v>
      </c>
      <c r="F52" s="2">
        <f>'Statements Summary 2024'!V52</f>
        <v>-0.10830415207603802</v>
      </c>
      <c r="G52" s="2">
        <f>'Statements Summary 2025'!V52</f>
        <v>-0.11761738455568491</v>
      </c>
      <c r="H52" s="2">
        <f>'Statements Summary 2026'!V52</f>
        <v>-0.11761738455568491</v>
      </c>
      <c r="I52" s="2">
        <f t="shared" si="1"/>
        <v>-0.11761738455568491</v>
      </c>
      <c r="K52" s="2">
        <f>K51/K45</f>
        <v>-0.11237163089014941</v>
      </c>
      <c r="L52" s="2">
        <f t="shared" ref="L52:V52" si="7">L51/L45</f>
        <v>-0.10948562346481722</v>
      </c>
      <c r="M52" s="2">
        <f t="shared" si="7"/>
        <v>-0.10345769191384784</v>
      </c>
      <c r="N52" s="2">
        <f t="shared" si="7"/>
        <v>-0.10020165955899368</v>
      </c>
      <c r="O52" s="2">
        <f t="shared" si="7"/>
        <v>-8.3052472941498839E-2</v>
      </c>
      <c r="P52" s="2">
        <f t="shared" si="7"/>
        <v>-8.4575032088844246E-2</v>
      </c>
      <c r="Q52" s="2">
        <f t="shared" si="7"/>
        <v>-8.4189767235153604E-2</v>
      </c>
      <c r="R52" s="2">
        <f t="shared" si="7"/>
        <v>-8.7356255584056255E-2</v>
      </c>
      <c r="S52" s="2">
        <f t="shared" si="7"/>
        <v>-9.8736074011336245E-2</v>
      </c>
      <c r="T52" s="2">
        <f t="shared" si="7"/>
        <v>-0.10859906843425296</v>
      </c>
      <c r="U52" s="2">
        <f t="shared" si="7"/>
        <v>-0.10649660939531289</v>
      </c>
      <c r="V52" s="2">
        <f t="shared" si="7"/>
        <v>-0.11761738455568491</v>
      </c>
    </row>
    <row r="53" spans="2:22" x14ac:dyDescent="0.3">
      <c r="B53" t="s">
        <v>193</v>
      </c>
      <c r="E53" s="1">
        <f>'Statements Summary 2023'!V52</f>
        <v>-3000</v>
      </c>
      <c r="F53" s="1">
        <f>'Statements Summary 2024'!V53</f>
        <v>-3000</v>
      </c>
      <c r="G53" s="1">
        <f>'Statements Summary 2025'!V53</f>
        <v>-3000</v>
      </c>
      <c r="H53" s="1">
        <f>'Statements Summary 2026'!V53</f>
        <v>-3000</v>
      </c>
      <c r="I53" s="1">
        <f t="shared" si="1"/>
        <v>-3000</v>
      </c>
      <c r="K53" s="1">
        <f>'IS 2027'!F45</f>
        <v>-3000</v>
      </c>
      <c r="L53" s="1">
        <f>'IS 2027'!G45</f>
        <v>-3000</v>
      </c>
      <c r="M53" s="1">
        <f>'IS 2027'!H45</f>
        <v>-3000</v>
      </c>
      <c r="N53" s="1">
        <f>'IS 2027'!I45</f>
        <v>-3000</v>
      </c>
      <c r="O53" s="1">
        <f>'IS 2027'!J45</f>
        <v>-3000</v>
      </c>
      <c r="P53" s="1">
        <f>'IS 2027'!K45</f>
        <v>-3000</v>
      </c>
      <c r="Q53" s="1">
        <f>'IS 2027'!L45</f>
        <v>-3000</v>
      </c>
      <c r="R53" s="1">
        <f>'IS 2027'!M45</f>
        <v>-3000</v>
      </c>
      <c r="S53" s="1">
        <f>'IS 2027'!N45</f>
        <v>-3000</v>
      </c>
      <c r="T53" s="1">
        <f>'IS 2027'!O45</f>
        <v>-3000</v>
      </c>
      <c r="U53" s="1">
        <f>'IS 2027'!P45</f>
        <v>-3000</v>
      </c>
      <c r="V53" s="1">
        <f>'IS 2027'!Q45</f>
        <v>-3000</v>
      </c>
    </row>
    <row r="54" spans="2:22" x14ac:dyDescent="0.3">
      <c r="B54" t="s">
        <v>22</v>
      </c>
      <c r="E54" s="2">
        <f>'Statements Summary 2023'!V53</f>
        <v>-0.11641443538998836</v>
      </c>
      <c r="F54" s="2">
        <f>'Statements Summary 2024'!V54</f>
        <v>-0.10719645537054241</v>
      </c>
      <c r="G54" s="2">
        <f>'Statements Summary 2025'!V54</f>
        <v>-0.11641443538998836</v>
      </c>
      <c r="H54" s="2">
        <f>'Statements Summary 2026'!V54</f>
        <v>-0.11641443538998836</v>
      </c>
      <c r="I54" s="2">
        <f t="shared" si="1"/>
        <v>-0.11641443538998836</v>
      </c>
      <c r="K54" s="2">
        <f>K53/K45</f>
        <v>-0.11122233344455566</v>
      </c>
      <c r="L54" s="2">
        <f t="shared" ref="L54:V54" si="8">L53/L45</f>
        <v>-0.10836584308625921</v>
      </c>
      <c r="M54" s="2">
        <f t="shared" si="8"/>
        <v>-0.10239956309519746</v>
      </c>
      <c r="N54" s="2">
        <f t="shared" si="8"/>
        <v>-9.9176832291976588E-2</v>
      </c>
      <c r="O54" s="2">
        <f t="shared" si="8"/>
        <v>-8.2203041512535963E-2</v>
      </c>
      <c r="P54" s="2">
        <f t="shared" si="8"/>
        <v>-8.371002846140968E-2</v>
      </c>
      <c r="Q54" s="2">
        <f t="shared" si="8"/>
        <v>-8.3328703960891065E-2</v>
      </c>
      <c r="R54" s="2">
        <f t="shared" si="8"/>
        <v>-8.6462806582701668E-2</v>
      </c>
      <c r="S54" s="2">
        <f t="shared" si="8"/>
        <v>-9.7726236236888392E-2</v>
      </c>
      <c r="T54" s="2">
        <f t="shared" si="8"/>
        <v>-0.10748835542816194</v>
      </c>
      <c r="U54" s="2">
        <f t="shared" si="8"/>
        <v>-0.10540739959945188</v>
      </c>
      <c r="V54" s="2">
        <f t="shared" si="8"/>
        <v>-0.11641443538998836</v>
      </c>
    </row>
    <row r="55" spans="2:22" x14ac:dyDescent="0.3">
      <c r="B55" t="s">
        <v>24</v>
      </c>
      <c r="E55" s="1">
        <f>'Statements Summary 2023'!V54</f>
        <v>-3050</v>
      </c>
      <c r="F55" s="1">
        <f>'Statements Summary 2024'!V55</f>
        <v>-3050</v>
      </c>
      <c r="G55" s="1">
        <f>'Statements Summary 2025'!V55</f>
        <v>-3050</v>
      </c>
      <c r="H55" s="1">
        <f>'Statements Summary 2026'!V55</f>
        <v>-3050</v>
      </c>
      <c r="I55" s="1">
        <f t="shared" si="1"/>
        <v>-3050</v>
      </c>
      <c r="K55" s="1">
        <f>'IS 2027'!F63</f>
        <v>-3050</v>
      </c>
      <c r="L55" s="1">
        <f>'IS 2027'!G63</f>
        <v>-3050</v>
      </c>
      <c r="M55" s="1">
        <f>'IS 2027'!H63</f>
        <v>-3050</v>
      </c>
      <c r="N55" s="1">
        <f>'IS 2027'!I63</f>
        <v>-3050</v>
      </c>
      <c r="O55" s="1">
        <f>'IS 2027'!J63</f>
        <v>-3050</v>
      </c>
      <c r="P55" s="1">
        <f>'IS 2027'!K63</f>
        <v>-3050</v>
      </c>
      <c r="Q55" s="1">
        <f>'IS 2027'!L63</f>
        <v>-3050</v>
      </c>
      <c r="R55" s="1">
        <f>'IS 2027'!M63</f>
        <v>-3050</v>
      </c>
      <c r="S55" s="1">
        <f>'IS 2027'!N63</f>
        <v>-3050</v>
      </c>
      <c r="T55" s="1">
        <f>'IS 2027'!O63</f>
        <v>-3050</v>
      </c>
      <c r="U55" s="1">
        <f>'IS 2027'!P63</f>
        <v>-3050</v>
      </c>
      <c r="V55" s="1">
        <f>'IS 2027'!Q63</f>
        <v>-3050</v>
      </c>
    </row>
    <row r="56" spans="2:22" x14ac:dyDescent="0.3">
      <c r="B56" t="s">
        <v>22</v>
      </c>
      <c r="E56" s="2">
        <f>'Statements Summary 2023'!V55</f>
        <v>-0.11835467597982149</v>
      </c>
      <c r="F56" s="2">
        <f>'Statements Summary 2024'!V56</f>
        <v>-0.10898306296005146</v>
      </c>
      <c r="G56" s="2">
        <f>'Statements Summary 2025'!V56</f>
        <v>-0.11835467597982149</v>
      </c>
      <c r="H56" s="2">
        <f>'Statements Summary 2026'!V56</f>
        <v>-0.11835467597982149</v>
      </c>
      <c r="I56" s="2">
        <f t="shared" si="1"/>
        <v>-0.11835467597982149</v>
      </c>
      <c r="K56" s="2">
        <f>K55/K45</f>
        <v>-0.11307603900196493</v>
      </c>
      <c r="L56" s="2">
        <f t="shared" ref="L56:V56" si="9">L55/L45</f>
        <v>-0.1101719404710302</v>
      </c>
      <c r="M56" s="2">
        <f t="shared" si="9"/>
        <v>-0.10410622248011742</v>
      </c>
      <c r="N56" s="2">
        <f t="shared" si="9"/>
        <v>-0.10082977949684287</v>
      </c>
      <c r="O56" s="2">
        <f t="shared" si="9"/>
        <v>-8.3573092204411559E-2</v>
      </c>
      <c r="P56" s="2">
        <f t="shared" si="9"/>
        <v>-8.5105195602433167E-2</v>
      </c>
      <c r="Q56" s="2">
        <f t="shared" si="9"/>
        <v>-8.4717515693572581E-2</v>
      </c>
      <c r="R56" s="2">
        <f t="shared" si="9"/>
        <v>-8.7903853359080034E-2</v>
      </c>
      <c r="S56" s="2">
        <f t="shared" si="9"/>
        <v>-9.9355006840836535E-2</v>
      </c>
      <c r="T56" s="2">
        <f t="shared" si="9"/>
        <v>-0.10927982801863131</v>
      </c>
      <c r="U56" s="2">
        <f t="shared" si="9"/>
        <v>-0.10716418959277609</v>
      </c>
      <c r="V56" s="2">
        <f t="shared" si="9"/>
        <v>-0.11835467597982149</v>
      </c>
    </row>
    <row r="57" spans="2:22" x14ac:dyDescent="0.3">
      <c r="B57" s="14" t="s">
        <v>6</v>
      </c>
      <c r="C57" s="14"/>
      <c r="D57" s="14"/>
      <c r="E57" s="192">
        <f>'Statements Summary 2023'!V56</f>
        <v>17644</v>
      </c>
      <c r="F57" s="192">
        <f>'Statements Summary 2024'!V57</f>
        <v>19860</v>
      </c>
      <c r="G57" s="192">
        <f>'Statements Summary 2025'!V57</f>
        <v>17644</v>
      </c>
      <c r="H57" s="192">
        <f>'Statements Summary 2026'!V57</f>
        <v>17644</v>
      </c>
      <c r="I57" s="192">
        <f t="shared" si="1"/>
        <v>17644</v>
      </c>
      <c r="K57" s="192">
        <f>'IS 2027'!F64</f>
        <v>18847</v>
      </c>
      <c r="L57" s="192">
        <f>'IS 2027'!G64</f>
        <v>19558</v>
      </c>
      <c r="M57" s="192">
        <f>'IS 2027'!H64</f>
        <v>21171</v>
      </c>
      <c r="N57" s="192">
        <f>'IS 2027'!I64</f>
        <v>22123</v>
      </c>
      <c r="O57" s="192">
        <f>'IS 2027'!J64</f>
        <v>28369</v>
      </c>
      <c r="P57" s="192">
        <f>'IS 2027'!K64</f>
        <v>27712</v>
      </c>
      <c r="Q57" s="192">
        <f>'IS 2027'!L64</f>
        <v>27876</v>
      </c>
      <c r="R57" s="192">
        <f>'IS 2027'!M64</f>
        <v>26571</v>
      </c>
      <c r="S57" s="192">
        <f>'IS 2027'!N64</f>
        <v>22572</v>
      </c>
      <c r="T57" s="192">
        <f>'IS 2027'!O64</f>
        <v>19784</v>
      </c>
      <c r="U57" s="192">
        <f>'IS 2027'!P64</f>
        <v>20335</v>
      </c>
      <c r="V57" s="192">
        <f>'IS 2027'!Q64</f>
        <v>17644</v>
      </c>
    </row>
    <row r="58" spans="2:22" x14ac:dyDescent="0.3">
      <c r="B58" t="s">
        <v>15</v>
      </c>
      <c r="E58" s="2">
        <f>'Statements Summary 2023'!V57</f>
        <v>0.68467209934031825</v>
      </c>
      <c r="F58" s="2">
        <f>'Statements Summary 2024'!V58</f>
        <v>0.70964053455299081</v>
      </c>
      <c r="G58" s="2">
        <f>'Statements Summary 2025'!V58</f>
        <v>0.68467209934031825</v>
      </c>
      <c r="H58" s="2">
        <f>'Statements Summary 2026'!V58</f>
        <v>0.68467209934031825</v>
      </c>
      <c r="I58" s="2">
        <f t="shared" si="1"/>
        <v>0.68467209934031825</v>
      </c>
      <c r="K58" s="2">
        <f>K57/K45</f>
        <v>0.69873577280984689</v>
      </c>
      <c r="L58" s="2">
        <f t="shared" ref="L58:V58" si="10">L57/L45</f>
        <v>0.70647305302701924</v>
      </c>
      <c r="M58" s="2">
        <f t="shared" si="10"/>
        <v>0.72263371676280852</v>
      </c>
      <c r="N58" s="2">
        <f t="shared" si="10"/>
        <v>0.73136302026513278</v>
      </c>
      <c r="O58" s="2">
        <f t="shared" si="10"/>
        <v>0.77733936155637762</v>
      </c>
      <c r="P58" s="2">
        <f t="shared" si="10"/>
        <v>0.77325743624086163</v>
      </c>
      <c r="Q58" s="2">
        <f t="shared" si="10"/>
        <v>0.77429031720459973</v>
      </c>
      <c r="R58" s="2">
        <f t="shared" si="10"/>
        <v>0.76580107790298868</v>
      </c>
      <c r="S58" s="2">
        <f t="shared" si="10"/>
        <v>0.73529220144634833</v>
      </c>
      <c r="T58" s="2">
        <f t="shared" si="10"/>
        <v>0.70884987459691862</v>
      </c>
      <c r="U58" s="2">
        <f t="shared" si="10"/>
        <v>0.71448649028495137</v>
      </c>
      <c r="V58" s="2">
        <f t="shared" si="10"/>
        <v>0.68467209934031825</v>
      </c>
    </row>
    <row r="59" spans="2:22" x14ac:dyDescent="0.3">
      <c r="B59" t="s">
        <v>7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>'Statements Summary 2026'!V59</f>
        <v>-1756</v>
      </c>
      <c r="I59" s="1">
        <f t="shared" si="1"/>
        <v>-1800</v>
      </c>
      <c r="K59">
        <f>'IS 2027'!F65</f>
        <v>-1756</v>
      </c>
      <c r="L59">
        <f>'IS 2027'!G65</f>
        <v>-1756</v>
      </c>
      <c r="M59">
        <f>'IS 2027'!H65</f>
        <v>-1756</v>
      </c>
      <c r="N59">
        <f>'IS 2027'!I65</f>
        <v>-1756</v>
      </c>
      <c r="O59">
        <f>'IS 2027'!J65</f>
        <v>-1756</v>
      </c>
      <c r="P59">
        <f>'IS 2027'!K65</f>
        <v>-1756</v>
      </c>
      <c r="Q59">
        <f>'IS 2027'!L65</f>
        <v>-1756</v>
      </c>
      <c r="R59">
        <f>'IS 2027'!M65</f>
        <v>-1800</v>
      </c>
      <c r="S59">
        <f>'IS 2027'!N65</f>
        <v>-1800</v>
      </c>
      <c r="T59">
        <f>'IS 2027'!O65</f>
        <v>-1800</v>
      </c>
      <c r="U59">
        <f>'IS 2027'!P65</f>
        <v>-1800</v>
      </c>
      <c r="V59">
        <f>'IS 2027'!Q65</f>
        <v>-1800</v>
      </c>
    </row>
    <row r="60" spans="2:22" x14ac:dyDescent="0.3">
      <c r="B60" t="s">
        <v>8</v>
      </c>
      <c r="E60" s="1">
        <f>'Statements Summary 2023'!V59</f>
        <v>15933</v>
      </c>
      <c r="F60" s="1">
        <f>'Statements Summary 2024'!V60</f>
        <v>18010</v>
      </c>
      <c r="G60" s="1">
        <f>'Statements Summary 2025'!V60</f>
        <v>19555</v>
      </c>
      <c r="H60" s="1">
        <f>'Statements Summary 2026'!V60</f>
        <v>15888</v>
      </c>
      <c r="I60" s="1">
        <f t="shared" si="1"/>
        <v>15844</v>
      </c>
      <c r="K60" s="1">
        <f>'IS 2027'!F66</f>
        <v>17091</v>
      </c>
      <c r="L60" s="1">
        <f>'IS 2027'!G66</f>
        <v>17802</v>
      </c>
      <c r="M60" s="1">
        <f>'IS 2027'!H66</f>
        <v>19415</v>
      </c>
      <c r="N60" s="1">
        <f>'IS 2027'!I66</f>
        <v>20367</v>
      </c>
      <c r="O60" s="1">
        <f>'IS 2027'!J66</f>
        <v>26613</v>
      </c>
      <c r="P60" s="1">
        <f>'IS 2027'!K66</f>
        <v>25956</v>
      </c>
      <c r="Q60" s="1">
        <f>'IS 2027'!L66</f>
        <v>26120</v>
      </c>
      <c r="R60" s="1">
        <f>'IS 2027'!M66</f>
        <v>24771</v>
      </c>
      <c r="S60" s="1">
        <f>'IS 2027'!N66</f>
        <v>20772</v>
      </c>
      <c r="T60" s="1">
        <f>'IS 2027'!O66</f>
        <v>17984</v>
      </c>
      <c r="U60" s="1">
        <f>'IS 2027'!P66</f>
        <v>18535</v>
      </c>
      <c r="V60" s="1">
        <f>'IS 2027'!Q66</f>
        <v>15844</v>
      </c>
    </row>
    <row r="61" spans="2:22" x14ac:dyDescent="0.3">
      <c r="B61" t="s">
        <v>9</v>
      </c>
      <c r="E61" s="1">
        <f>'Statements Summary 2023'!V60</f>
        <v>-9475</v>
      </c>
      <c r="F61" s="1">
        <f>'Statements Summary 2024'!V61</f>
        <v>-6175</v>
      </c>
      <c r="G61" s="1">
        <f>'Statements Summary 2025'!V61</f>
        <v>-2875</v>
      </c>
      <c r="H61" s="1">
        <f>'Statements Summary 2026'!V61</f>
        <v>0</v>
      </c>
      <c r="I61" s="1">
        <f t="shared" si="1"/>
        <v>0</v>
      </c>
      <c r="K61" s="1">
        <f>'IS 2027'!F67</f>
        <v>0</v>
      </c>
      <c r="L61" s="1">
        <f>'IS 2027'!G67</f>
        <v>0</v>
      </c>
      <c r="M61" s="1">
        <f>'IS 2027'!H67</f>
        <v>0</v>
      </c>
      <c r="N61" s="1">
        <f>'IS 2027'!I67</f>
        <v>0</v>
      </c>
      <c r="O61" s="1">
        <f>'IS 2027'!J67</f>
        <v>0</v>
      </c>
      <c r="P61" s="1">
        <f>'IS 2027'!K67</f>
        <v>0</v>
      </c>
      <c r="Q61" s="1">
        <f>'IS 2027'!L67</f>
        <v>0</v>
      </c>
      <c r="R61" s="1">
        <f>'IS 2027'!M67</f>
        <v>0</v>
      </c>
      <c r="S61" s="1">
        <f>'IS 2027'!N67</f>
        <v>0</v>
      </c>
      <c r="T61" s="1">
        <f>'IS 2027'!O67</f>
        <v>0</v>
      </c>
      <c r="U61" s="1">
        <f>'IS 2027'!P67</f>
        <v>0</v>
      </c>
      <c r="V61" s="1">
        <f>'IS 2027'!Q67</f>
        <v>0</v>
      </c>
    </row>
    <row r="62" spans="2:22" x14ac:dyDescent="0.3">
      <c r="B62" t="s">
        <v>10</v>
      </c>
      <c r="E62" s="1">
        <f>'Statements Summary 2023'!V61</f>
        <v>17644</v>
      </c>
      <c r="F62" s="1">
        <f>'Statements Summary 2024'!V62</f>
        <v>19860</v>
      </c>
      <c r="G62" s="1">
        <f>'Statements Summary 2025'!V62</f>
        <v>17644</v>
      </c>
      <c r="H62" s="1">
        <f>'Statements Summary 2026'!V62</f>
        <v>17644</v>
      </c>
      <c r="I62" s="1">
        <f t="shared" si="1"/>
        <v>17644</v>
      </c>
      <c r="K62" s="1">
        <f>'IS 2027'!F68</f>
        <v>18847</v>
      </c>
      <c r="L62" s="1">
        <f>'IS 2027'!G68</f>
        <v>19558</v>
      </c>
      <c r="M62" s="1">
        <f>'IS 2027'!H68</f>
        <v>21171</v>
      </c>
      <c r="N62" s="1">
        <f>'IS 2027'!I68</f>
        <v>22123</v>
      </c>
      <c r="O62" s="1">
        <f>'IS 2027'!J68</f>
        <v>28369</v>
      </c>
      <c r="P62" s="1">
        <f>'IS 2027'!K68</f>
        <v>27712</v>
      </c>
      <c r="Q62" s="1">
        <f>'IS 2027'!L68</f>
        <v>27876</v>
      </c>
      <c r="R62" s="1">
        <f>'IS 2027'!M68</f>
        <v>26571</v>
      </c>
      <c r="S62" s="1">
        <f>'IS 2027'!N68</f>
        <v>22572</v>
      </c>
      <c r="T62" s="1">
        <f>'IS 2027'!O68</f>
        <v>19784</v>
      </c>
      <c r="U62" s="1">
        <f>'IS 2027'!P68</f>
        <v>20335</v>
      </c>
      <c r="V62" s="1">
        <f>'IS 2027'!Q68</f>
        <v>17644</v>
      </c>
    </row>
    <row r="63" spans="2:22" x14ac:dyDescent="0.3">
      <c r="B63" t="s">
        <v>11</v>
      </c>
      <c r="E63" s="1">
        <f>'Statements Summary 2023'!V62</f>
        <v>-3186.6000000000004</v>
      </c>
      <c r="F63" s="1">
        <f>'Statements Summary 2024'!V63</f>
        <v>-3602</v>
      </c>
      <c r="G63" s="1">
        <f>'Statements Summary 2025'!V63</f>
        <v>-3910</v>
      </c>
      <c r="H63" s="1">
        <f>'Statements Summary 2026'!V63</f>
        <v>-3177.6000000000004</v>
      </c>
      <c r="I63" s="1">
        <f t="shared" si="1"/>
        <v>-3168.8</v>
      </c>
      <c r="K63" s="1">
        <f>'IS 2027'!F69</f>
        <v>-3418.2000000000003</v>
      </c>
      <c r="L63" s="1">
        <f>'IS 2027'!G69</f>
        <v>-3560.4</v>
      </c>
      <c r="M63" s="1">
        <f>'IS 2027'!H69</f>
        <v>-3883</v>
      </c>
      <c r="N63" s="1">
        <f>'IS 2027'!I69</f>
        <v>-4073.4</v>
      </c>
      <c r="O63" s="1">
        <f>'IS 2027'!J69</f>
        <v>-5322.6</v>
      </c>
      <c r="P63" s="1">
        <f>'IS 2027'!K69</f>
        <v>-5191.2000000000007</v>
      </c>
      <c r="Q63" s="1">
        <f>'IS 2027'!L69</f>
        <v>-5224</v>
      </c>
      <c r="R63" s="1">
        <f>'IS 2027'!M69</f>
        <v>-4954.2000000000007</v>
      </c>
      <c r="S63" s="1">
        <f>'IS 2027'!N69</f>
        <v>-4154.4000000000005</v>
      </c>
      <c r="T63" s="1">
        <f>'IS 2027'!O69</f>
        <v>-3596.8</v>
      </c>
      <c r="U63" s="1">
        <f>'IS 2027'!P69</f>
        <v>-3707</v>
      </c>
      <c r="V63" s="1">
        <f>'IS 2027'!Q69</f>
        <v>-3168.8</v>
      </c>
    </row>
    <row r="64" spans="2:22" x14ac:dyDescent="0.3">
      <c r="B64" s="14" t="s">
        <v>12</v>
      </c>
      <c r="C64" s="14"/>
      <c r="D64" s="14"/>
      <c r="E64" s="192">
        <f>'Statements Summary 2023'!V63</f>
        <v>14457.4</v>
      </c>
      <c r="F64" s="192">
        <f>'Statements Summary 2024'!V64</f>
        <v>16258</v>
      </c>
      <c r="G64" s="192">
        <f>'Statements Summary 2025'!V64</f>
        <v>13734</v>
      </c>
      <c r="H64" s="192">
        <f>'Statements Summary 2026'!V64</f>
        <v>14466.4</v>
      </c>
      <c r="I64" s="192">
        <f t="shared" si="1"/>
        <v>14475.2</v>
      </c>
      <c r="K64" s="192">
        <f>'IS 2027'!F70</f>
        <v>15428.8</v>
      </c>
      <c r="L64" s="192">
        <f>'IS 2027'!G70</f>
        <v>15997.6</v>
      </c>
      <c r="M64" s="192">
        <f>'IS 2027'!H70</f>
        <v>17288</v>
      </c>
      <c r="N64" s="192">
        <f>'IS 2027'!I70</f>
        <v>18049.599999999999</v>
      </c>
      <c r="O64" s="192">
        <f>'IS 2027'!J70</f>
        <v>23046.400000000001</v>
      </c>
      <c r="P64" s="192">
        <f>'IS 2027'!K70</f>
        <v>22520.799999999999</v>
      </c>
      <c r="Q64" s="192">
        <f>'IS 2027'!L70</f>
        <v>22652</v>
      </c>
      <c r="R64" s="192">
        <f>'IS 2027'!M70</f>
        <v>21616.799999999999</v>
      </c>
      <c r="S64" s="192">
        <f>'IS 2027'!N70</f>
        <v>18417.599999999999</v>
      </c>
      <c r="T64" s="192">
        <f>'IS 2027'!O70</f>
        <v>16187.2</v>
      </c>
      <c r="U64" s="192">
        <f>'IS 2027'!P70</f>
        <v>16628</v>
      </c>
      <c r="V64" s="192">
        <f>'IS 2027'!Q70</f>
        <v>14475.2</v>
      </c>
    </row>
    <row r="65" spans="2:22" x14ac:dyDescent="0.3">
      <c r="B65" t="s">
        <v>13</v>
      </c>
      <c r="E65" s="2">
        <f>'Statements Summary 2023'!V64</f>
        <v>0.56101668606907251</v>
      </c>
      <c r="F65" s="2">
        <f>'Statements Summary 2024'!V65</f>
        <v>0.58093332380475948</v>
      </c>
      <c r="G65" s="2">
        <f>'Statements Summary 2025'!V65</f>
        <v>0.53294528521536666</v>
      </c>
      <c r="H65" s="2">
        <f>'Statements Summary 2026'!V65</f>
        <v>0.56136592937524254</v>
      </c>
      <c r="I65" s="2">
        <f t="shared" si="1"/>
        <v>0.56170741171905314</v>
      </c>
      <c r="K65" s="2">
        <f>K64/K45</f>
        <v>0.57200904608312009</v>
      </c>
      <c r="L65" s="2">
        <f t="shared" ref="L65:V65" si="11">L64/L45</f>
        <v>0.57786447045224676</v>
      </c>
      <c r="M65" s="2">
        <f t="shared" si="11"/>
        <v>0.59009454892992452</v>
      </c>
      <c r="N65" s="2">
        <f t="shared" si="11"/>
        <v>0.59670071737908681</v>
      </c>
      <c r="O65" s="2">
        <f t="shared" si="11"/>
        <v>0.6314947253048363</v>
      </c>
      <c r="P65" s="2">
        <f t="shared" si="11"/>
        <v>0.62840560299123838</v>
      </c>
      <c r="Q65" s="2">
        <f t="shared" si="11"/>
        <v>0.62918726737403474</v>
      </c>
      <c r="R65" s="2">
        <f t="shared" si="11"/>
        <v>0.62301639911231521</v>
      </c>
      <c r="S65" s="2">
        <f t="shared" si="11"/>
        <v>0.59996090950550518</v>
      </c>
      <c r="T65" s="2">
        <f t="shared" si="11"/>
        <v>0.57997850232891435</v>
      </c>
      <c r="U65" s="2">
        <f t="shared" si="11"/>
        <v>0.58423808017989531</v>
      </c>
      <c r="V65" s="2">
        <f t="shared" si="11"/>
        <v>0.56170741171905314</v>
      </c>
    </row>
    <row r="67" spans="2:22" x14ac:dyDescent="0.3">
      <c r="B67" s="177" t="s">
        <v>225</v>
      </c>
      <c r="C67" s="151"/>
      <c r="D67" s="151"/>
      <c r="E67" s="151"/>
      <c r="F67" s="151"/>
      <c r="G67" s="151"/>
      <c r="H67" s="151"/>
      <c r="I67" s="151"/>
      <c r="K67" s="349" t="s">
        <v>227</v>
      </c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</row>
    <row r="85" spans="2:22" x14ac:dyDescent="0.3">
      <c r="B85" s="177" t="s">
        <v>226</v>
      </c>
      <c r="C85" s="177"/>
      <c r="D85" s="177"/>
      <c r="E85" s="177"/>
      <c r="F85" s="151"/>
      <c r="G85" s="151"/>
      <c r="H85" s="151"/>
      <c r="I85" s="151"/>
      <c r="J85" s="151"/>
      <c r="K85" s="349" t="s">
        <v>236</v>
      </c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</row>
    <row r="87" spans="2:22" x14ac:dyDescent="0.3">
      <c r="B87" s="190" t="s">
        <v>20</v>
      </c>
      <c r="C87" s="190"/>
      <c r="D87" s="190"/>
      <c r="E87" s="191">
        <v>2023</v>
      </c>
      <c r="F87" s="191">
        <v>2024</v>
      </c>
      <c r="G87" s="191">
        <v>2025</v>
      </c>
      <c r="H87" s="191">
        <v>2026</v>
      </c>
      <c r="I87" s="191">
        <v>2027</v>
      </c>
      <c r="J87" s="190"/>
      <c r="K87" s="191" t="s">
        <v>25</v>
      </c>
      <c r="L87" s="191" t="s">
        <v>26</v>
      </c>
      <c r="M87" s="191" t="s">
        <v>27</v>
      </c>
      <c r="N87" s="191" t="s">
        <v>28</v>
      </c>
      <c r="O87" s="191" t="s">
        <v>29</v>
      </c>
      <c r="P87" s="191" t="s">
        <v>30</v>
      </c>
      <c r="Q87" s="191" t="s">
        <v>31</v>
      </c>
      <c r="R87" s="191" t="s">
        <v>32</v>
      </c>
      <c r="S87" s="191" t="s">
        <v>33</v>
      </c>
      <c r="T87" s="191" t="s">
        <v>34</v>
      </c>
      <c r="U87" s="191" t="s">
        <v>35</v>
      </c>
      <c r="V87" s="191" t="s">
        <v>36</v>
      </c>
    </row>
    <row r="88" spans="2:22" x14ac:dyDescent="0.3">
      <c r="B88" t="s">
        <v>48</v>
      </c>
      <c r="E88" s="203">
        <f>'Statements Summary 2023'!V86</f>
        <v>132558.79999999999</v>
      </c>
      <c r="F88" s="203">
        <f>'Statements Summary 2024'!V88</f>
        <v>405541.71787996864</v>
      </c>
      <c r="G88" s="203">
        <f>'Statements Summary 2025'!V88</f>
        <v>711191.8304843161</v>
      </c>
      <c r="H88" s="203">
        <f>'Statements Summary 2026'!V88</f>
        <v>1023265.343088664</v>
      </c>
      <c r="I88" s="203">
        <f t="shared" ref="I88:I99" si="12">V88</f>
        <v>1399460.2556930115</v>
      </c>
      <c r="K88" s="203">
        <f>'BS 2027'!F14</f>
        <v>1040675.143088664</v>
      </c>
      <c r="L88" s="203">
        <f>'BS 2027'!G14</f>
        <v>1069262.559668812</v>
      </c>
      <c r="M88" s="203">
        <f>'BS 2027'!H14</f>
        <v>1098328.3798260011</v>
      </c>
      <c r="N88" s="203">
        <f>'BS 2027'!I14</f>
        <v>1128046.7978028536</v>
      </c>
      <c r="O88" s="203">
        <f>'BS 2027'!J14</f>
        <v>1157613.0363797429</v>
      </c>
      <c r="P88" s="203">
        <f>'BS 2027'!K14</f>
        <v>1188663.6659730107</v>
      </c>
      <c r="Q88" s="203">
        <f>'BS 2027'!L14</f>
        <v>1220710.4814741604</v>
      </c>
      <c r="R88" s="203">
        <f>'BS 2027'!M14</f>
        <v>1253984.1075322737</v>
      </c>
      <c r="S88" s="203">
        <f>'BS 2027'!N14</f>
        <v>1289230.5337980152</v>
      </c>
      <c r="T88" s="203">
        <f>'BS 2027'!O14</f>
        <v>1326557.579760439</v>
      </c>
      <c r="U88" s="203">
        <f>'BS 2027'!P14</f>
        <v>1365303.3991509555</v>
      </c>
      <c r="V88" s="203">
        <f>'BS 2027'!Q14</f>
        <v>1399460.2556930115</v>
      </c>
    </row>
    <row r="89" spans="2:22" x14ac:dyDescent="0.3">
      <c r="B89" t="s">
        <v>49</v>
      </c>
      <c r="E89" s="203">
        <f>'Statements Summary 2023'!V87</f>
        <v>270532</v>
      </c>
      <c r="F89" s="203">
        <f>'Statements Summary 2024'!V89</f>
        <v>288332</v>
      </c>
      <c r="G89" s="203">
        <f>'Statements Summary 2025'!V89</f>
        <v>309481</v>
      </c>
      <c r="H89" s="203">
        <f>'Statements Summary 2026'!V89</f>
        <v>331018</v>
      </c>
      <c r="I89" s="203">
        <f t="shared" si="12"/>
        <v>352400</v>
      </c>
      <c r="K89" s="203">
        <f>'BS 2027'!F19</f>
        <v>332774</v>
      </c>
      <c r="L89" s="203">
        <f>'BS 2027'!G19</f>
        <v>334685</v>
      </c>
      <c r="M89" s="203">
        <f>'BS 2027'!H19</f>
        <v>336596</v>
      </c>
      <c r="N89" s="203">
        <f>'BS 2027'!I19</f>
        <v>338352</v>
      </c>
      <c r="O89" s="203">
        <f>'BS 2027'!J19</f>
        <v>340108</v>
      </c>
      <c r="P89" s="203">
        <f>'BS 2027'!K19</f>
        <v>341864</v>
      </c>
      <c r="Q89" s="203">
        <f>'BS 2027'!L19</f>
        <v>343620</v>
      </c>
      <c r="R89" s="203">
        <f>'BS 2027'!M19</f>
        <v>345376</v>
      </c>
      <c r="S89" s="203">
        <f>'BS 2027'!N19</f>
        <v>347132</v>
      </c>
      <c r="T89" s="203">
        <f>'BS 2027'!O19</f>
        <v>348888</v>
      </c>
      <c r="U89" s="203">
        <f>'BS 2027'!P19</f>
        <v>350644</v>
      </c>
      <c r="V89" s="203">
        <f>'BS 2027'!Q19</f>
        <v>352400</v>
      </c>
    </row>
    <row r="90" spans="2:22" x14ac:dyDescent="0.3">
      <c r="B90" t="s">
        <v>50</v>
      </c>
      <c r="E90" s="203">
        <f>'Statements Summary 2023'!V88</f>
        <v>403090.8</v>
      </c>
      <c r="F90" s="203">
        <f>'Statements Summary 2024'!V90</f>
        <v>693873.7178799687</v>
      </c>
      <c r="G90" s="203">
        <f>'Statements Summary 2025'!V90</f>
        <v>1020672.8304843161</v>
      </c>
      <c r="H90" s="203">
        <f>'Statements Summary 2026'!V90</f>
        <v>1354283.3430886641</v>
      </c>
      <c r="I90" s="203">
        <f t="shared" si="12"/>
        <v>1751860.2556930115</v>
      </c>
      <c r="K90" s="203">
        <f>'BS 2027'!F20</f>
        <v>1373449.1430886639</v>
      </c>
      <c r="L90" s="203">
        <f>'BS 2027'!G20</f>
        <v>1403947.559668812</v>
      </c>
      <c r="M90" s="203">
        <f>'BS 2027'!H20</f>
        <v>1434924.3798260011</v>
      </c>
      <c r="N90" s="203">
        <f>'BS 2027'!I20</f>
        <v>1466398.7978028536</v>
      </c>
      <c r="O90" s="203">
        <f>'BS 2027'!J20</f>
        <v>1497721.0363797429</v>
      </c>
      <c r="P90" s="203">
        <f>'BS 2027'!K20</f>
        <v>1530527.6659730107</v>
      </c>
      <c r="Q90" s="203">
        <f>'BS 2027'!L20</f>
        <v>1564330.4814741604</v>
      </c>
      <c r="R90" s="203">
        <f>'BS 2027'!M20</f>
        <v>1599360.1075322737</v>
      </c>
      <c r="S90" s="203">
        <f>'BS 2027'!N20</f>
        <v>1636362.5337980152</v>
      </c>
      <c r="T90" s="203">
        <f>'BS 2027'!O20</f>
        <v>1675445.579760439</v>
      </c>
      <c r="U90" s="203">
        <f>'BS 2027'!P20</f>
        <v>1715947.3991509555</v>
      </c>
      <c r="V90" s="203">
        <f>'BS 2027'!Q20</f>
        <v>1751860.2556930115</v>
      </c>
    </row>
    <row r="91" spans="2:22" x14ac:dyDescent="0.3">
      <c r="B91" t="s">
        <v>51</v>
      </c>
      <c r="E91" s="203">
        <f>'Statements Summary 2023'!V89</f>
        <v>-3186.6000000000004</v>
      </c>
      <c r="F91" s="203">
        <f>'Statements Summary 2024'!V91</f>
        <v>-3602</v>
      </c>
      <c r="G91" s="203">
        <f>'Statements Summary 2025'!V91</f>
        <v>-3910</v>
      </c>
      <c r="H91" s="203">
        <f>'Statements Summary 2026'!V91</f>
        <v>-3177.6000000000004</v>
      </c>
      <c r="I91" s="203">
        <f t="shared" si="12"/>
        <v>-3168.8</v>
      </c>
      <c r="K91" s="203">
        <f>'BS 2027'!F25</f>
        <v>-3418.2000000000003</v>
      </c>
      <c r="L91" s="203">
        <f>'BS 2027'!G25</f>
        <v>-3560.4</v>
      </c>
      <c r="M91" s="203">
        <f>'BS 2027'!H25</f>
        <v>-3883</v>
      </c>
      <c r="N91" s="203">
        <f>'BS 2027'!I25</f>
        <v>-4073.4</v>
      </c>
      <c r="O91" s="203">
        <f>'BS 2027'!J25</f>
        <v>-5322.6</v>
      </c>
      <c r="P91" s="203">
        <f>'BS 2027'!K25</f>
        <v>-5191.2000000000007</v>
      </c>
      <c r="Q91" s="203">
        <f>'BS 2027'!L25</f>
        <v>-5224</v>
      </c>
      <c r="R91" s="203">
        <f>'BS 2027'!M25</f>
        <v>-4954.2000000000007</v>
      </c>
      <c r="S91" s="203">
        <f>'BS 2027'!N25</f>
        <v>-4154.4000000000005</v>
      </c>
      <c r="T91" s="203">
        <f>'BS 2027'!O25</f>
        <v>-3596.8</v>
      </c>
      <c r="U91" s="203">
        <f>'BS 2027'!P25</f>
        <v>-3707</v>
      </c>
      <c r="V91" s="203">
        <f>'BS 2027'!Q25</f>
        <v>-3168.8</v>
      </c>
    </row>
    <row r="92" spans="2:22" x14ac:dyDescent="0.3">
      <c r="B92" t="s">
        <v>198</v>
      </c>
      <c r="E92" s="203">
        <f>'Statements Summary 2023'!V90</f>
        <v>-189500</v>
      </c>
      <c r="F92" s="203">
        <f>'Statements Summary 2024'!V92</f>
        <v>-123500</v>
      </c>
      <c r="G92" s="203">
        <f>'Statements Summary 2025'!V92</f>
        <v>-57500</v>
      </c>
      <c r="H92" s="203">
        <f>'Statements Summary 2026'!V92</f>
        <v>0</v>
      </c>
      <c r="I92" s="203">
        <f t="shared" si="12"/>
        <v>0</v>
      </c>
      <c r="K92" s="203">
        <f>'BS 2027'!F27</f>
        <v>0</v>
      </c>
      <c r="L92" s="203">
        <f>'BS 2027'!G27</f>
        <v>0</v>
      </c>
      <c r="M92" s="203">
        <f>'BS 2027'!H27</f>
        <v>0</v>
      </c>
      <c r="N92" s="203">
        <f>'BS 2027'!I27</f>
        <v>0</v>
      </c>
      <c r="O92" s="203">
        <f>'BS 2027'!J27</f>
        <v>0</v>
      </c>
      <c r="P92" s="203">
        <f>'BS 2027'!K27</f>
        <v>0</v>
      </c>
      <c r="Q92" s="203">
        <f>'BS 2027'!L27</f>
        <v>0</v>
      </c>
      <c r="R92" s="203">
        <f>'BS 2027'!M27</f>
        <v>0</v>
      </c>
      <c r="S92" s="203">
        <f>'BS 2027'!N27</f>
        <v>0</v>
      </c>
      <c r="T92" s="203">
        <f>'BS 2027'!O27</f>
        <v>0</v>
      </c>
      <c r="U92" s="203">
        <f>'BS 2027'!P27</f>
        <v>0</v>
      </c>
      <c r="V92" s="203">
        <f>'BS 2027'!Q27</f>
        <v>0</v>
      </c>
    </row>
    <row r="93" spans="2:22" x14ac:dyDescent="0.3">
      <c r="B93" t="s">
        <v>53</v>
      </c>
      <c r="E93" s="203">
        <f>'Statements Summary 2023'!V91</f>
        <v>-192686.6</v>
      </c>
      <c r="F93" s="203">
        <f>'Statements Summary 2024'!V93</f>
        <v>-127102</v>
      </c>
      <c r="G93" s="203">
        <f>'Statements Summary 2025'!V93</f>
        <v>-61410</v>
      </c>
      <c r="H93" s="203">
        <f>'Statements Summary 2026'!V93</f>
        <v>-3177.6000000000004</v>
      </c>
      <c r="I93" s="203">
        <f t="shared" si="12"/>
        <v>-3168.8</v>
      </c>
      <c r="K93" s="203">
        <f>'BS 2027'!F32</f>
        <v>-3418.2000000000003</v>
      </c>
      <c r="L93" s="203">
        <f>'BS 2027'!G32</f>
        <v>-3560.4</v>
      </c>
      <c r="M93" s="203">
        <f>'BS 2027'!H32</f>
        <v>-3883</v>
      </c>
      <c r="N93" s="203">
        <f>'BS 2027'!I32</f>
        <v>-4073.4</v>
      </c>
      <c r="O93" s="203">
        <f>'BS 2027'!J32</f>
        <v>-5322.6</v>
      </c>
      <c r="P93" s="203">
        <f>'BS 2027'!K32</f>
        <v>-5191.2000000000007</v>
      </c>
      <c r="Q93" s="203">
        <f>'BS 2027'!L32</f>
        <v>-5224</v>
      </c>
      <c r="R93" s="203">
        <f>'BS 2027'!M32</f>
        <v>-4954.2000000000007</v>
      </c>
      <c r="S93" s="203">
        <f>'BS 2027'!N32</f>
        <v>-4154.4000000000005</v>
      </c>
      <c r="T93" s="203">
        <f>'BS 2027'!O32</f>
        <v>-3596.8</v>
      </c>
      <c r="U93" s="203">
        <f>'BS 2027'!P32</f>
        <v>-3707</v>
      </c>
      <c r="V93" s="203">
        <f>'BS 2027'!Q32</f>
        <v>-3168.8</v>
      </c>
    </row>
    <row r="94" spans="2:22" x14ac:dyDescent="0.3">
      <c r="B94" t="s">
        <v>54</v>
      </c>
      <c r="E94" s="203">
        <f>'Statements Summary 2023'!V92</f>
        <v>210404.19999999998</v>
      </c>
      <c r="F94" s="203">
        <f>'Statements Summary 2024'!V94</f>
        <v>566771.7178799687</v>
      </c>
      <c r="G94" s="203">
        <f>'Statements Summary 2025'!V94</f>
        <v>901762.8304843161</v>
      </c>
      <c r="H94" s="203">
        <f>'Statements Summary 2026'!V94</f>
        <v>1351105.743088664</v>
      </c>
      <c r="I94" s="203">
        <f t="shared" si="12"/>
        <v>1748691.4556930114</v>
      </c>
      <c r="K94" s="203">
        <f>'BS 2027'!F33</f>
        <v>1370030.943088664</v>
      </c>
      <c r="L94" s="203">
        <f>'BS 2027'!G33</f>
        <v>1400387.1596688121</v>
      </c>
      <c r="M94" s="203">
        <f>'BS 2027'!H33</f>
        <v>1431041.3798260011</v>
      </c>
      <c r="N94" s="203">
        <f>'BS 2027'!I33</f>
        <v>1462325.3978028537</v>
      </c>
      <c r="O94" s="203">
        <f>'BS 2027'!J33</f>
        <v>1492398.4363797428</v>
      </c>
      <c r="P94" s="203">
        <f>'BS 2027'!K33</f>
        <v>1525336.4659730108</v>
      </c>
      <c r="Q94" s="203">
        <f>'BS 2027'!L33</f>
        <v>1559106.4814741604</v>
      </c>
      <c r="R94" s="203">
        <f>'BS 2027'!M33</f>
        <v>1594405.9075322738</v>
      </c>
      <c r="S94" s="203">
        <f>'BS 2027'!N33</f>
        <v>1632208.1337980153</v>
      </c>
      <c r="T94" s="203">
        <f>'BS 2027'!O33</f>
        <v>1671848.7797604389</v>
      </c>
      <c r="U94" s="203">
        <f>'BS 2027'!P33</f>
        <v>1712240.3991509555</v>
      </c>
      <c r="V94" s="203">
        <f>'BS 2027'!Q33</f>
        <v>1748691.4556930114</v>
      </c>
    </row>
    <row r="95" spans="2:22" x14ac:dyDescent="0.3">
      <c r="B95" t="s">
        <v>55</v>
      </c>
      <c r="E95" s="203">
        <f>'Statements Summary 2023'!V93</f>
        <v>132558.79999999999</v>
      </c>
      <c r="F95" s="203">
        <f>'Statements Summary 2024'!V95</f>
        <v>405541.71787996864</v>
      </c>
      <c r="G95" s="203">
        <f>'Statements Summary 2025'!V95</f>
        <v>711191.8304843161</v>
      </c>
      <c r="H95" s="203">
        <f>'Statements Summary 2026'!V95</f>
        <v>1023265.343088664</v>
      </c>
      <c r="I95" s="203">
        <f t="shared" si="12"/>
        <v>1399460.2556930115</v>
      </c>
      <c r="K95" s="203">
        <f>'BS 2027'!F14</f>
        <v>1040675.143088664</v>
      </c>
      <c r="L95" s="203">
        <f>'BS 2027'!G14</f>
        <v>1069262.559668812</v>
      </c>
      <c r="M95" s="203">
        <f>'BS 2027'!H14</f>
        <v>1098328.3798260011</v>
      </c>
      <c r="N95" s="203">
        <f>'BS 2027'!I14</f>
        <v>1128046.7978028536</v>
      </c>
      <c r="O95" s="203">
        <f>'BS 2027'!J14</f>
        <v>1157613.0363797429</v>
      </c>
      <c r="P95" s="203">
        <f>'BS 2027'!K14</f>
        <v>1188663.6659730107</v>
      </c>
      <c r="Q95" s="203">
        <f>'BS 2027'!L14</f>
        <v>1220710.4814741604</v>
      </c>
      <c r="R95" s="203">
        <f>'BS 2027'!M14</f>
        <v>1253984.1075322737</v>
      </c>
      <c r="S95" s="203">
        <f>'BS 2027'!N14</f>
        <v>1289230.5337980152</v>
      </c>
      <c r="T95" s="203">
        <f>'BS 2027'!O14</f>
        <v>1326557.579760439</v>
      </c>
      <c r="U95" s="203">
        <f>'BS 2027'!P14</f>
        <v>1365303.3991509555</v>
      </c>
      <c r="V95" s="203">
        <f>'BS 2027'!Q14</f>
        <v>1399460.2556930115</v>
      </c>
    </row>
    <row r="96" spans="2:22" x14ac:dyDescent="0.3">
      <c r="B96" t="s">
        <v>56</v>
      </c>
      <c r="E96" s="203" t="str">
        <f>'Statements Summary 2023'!V94</f>
        <v>-</v>
      </c>
      <c r="F96" s="203" t="str">
        <f>'Statements Summary 2024'!V96</f>
        <v>-</v>
      </c>
      <c r="G96" s="203" t="str">
        <f>'Statements Summary 2025'!V96</f>
        <v>-</v>
      </c>
      <c r="H96" s="203" t="str">
        <f>'Statements Summary 2026'!V96</f>
        <v>-</v>
      </c>
      <c r="I96" s="203" t="str">
        <f t="shared" si="12"/>
        <v>-</v>
      </c>
      <c r="K96" s="203" t="s">
        <v>192</v>
      </c>
      <c r="L96" s="203" t="s">
        <v>192</v>
      </c>
      <c r="M96" s="203" t="s">
        <v>192</v>
      </c>
      <c r="N96" s="203" t="s">
        <v>192</v>
      </c>
      <c r="O96" s="203" t="s">
        <v>192</v>
      </c>
      <c r="P96" s="203" t="s">
        <v>192</v>
      </c>
      <c r="Q96" s="203" t="s">
        <v>192</v>
      </c>
      <c r="R96" s="203" t="s">
        <v>192</v>
      </c>
      <c r="S96" s="203" t="s">
        <v>192</v>
      </c>
      <c r="T96" s="203" t="s">
        <v>192</v>
      </c>
      <c r="U96" s="203" t="s">
        <v>192</v>
      </c>
      <c r="V96" s="203" t="s">
        <v>192</v>
      </c>
    </row>
    <row r="97" spans="2:22" x14ac:dyDescent="0.3">
      <c r="B97" t="s">
        <v>57</v>
      </c>
      <c r="E97" s="203">
        <f>'Statements Summary 2023'!V95</f>
        <v>0</v>
      </c>
      <c r="F97" s="203">
        <f>'Statements Summary 2024'!V97</f>
        <v>0</v>
      </c>
      <c r="G97" s="203">
        <f>'Statements Summary 2025'!V97</f>
        <v>0</v>
      </c>
      <c r="H97" s="203">
        <f>'Statements Summary 2026'!V97</f>
        <v>0</v>
      </c>
      <c r="I97" s="203">
        <f t="shared" si="12"/>
        <v>0</v>
      </c>
      <c r="K97" s="203" t="s">
        <v>192</v>
      </c>
      <c r="L97" s="203" t="s">
        <v>192</v>
      </c>
      <c r="M97" s="203" t="s">
        <v>192</v>
      </c>
      <c r="N97" s="203" t="s">
        <v>192</v>
      </c>
      <c r="O97" s="203" t="s">
        <v>192</v>
      </c>
      <c r="P97" s="203" t="s">
        <v>192</v>
      </c>
      <c r="Q97" s="203" t="s">
        <v>192</v>
      </c>
      <c r="R97" s="203" t="s">
        <v>192</v>
      </c>
      <c r="S97" s="203" t="s">
        <v>192</v>
      </c>
      <c r="T97" s="203" t="s">
        <v>192</v>
      </c>
      <c r="U97" s="203" t="s">
        <v>192</v>
      </c>
      <c r="V97" s="203"/>
    </row>
    <row r="98" spans="2:22" x14ac:dyDescent="0.3">
      <c r="B98" t="s">
        <v>58</v>
      </c>
      <c r="E98" s="203">
        <f>'Statements Summary 2023'!V96</f>
        <v>210404.19999999998</v>
      </c>
      <c r="F98" s="203">
        <f>'Statements Summary 2024'!V98</f>
        <v>566771.7178799687</v>
      </c>
      <c r="G98" s="203">
        <f>'Statements Summary 2025'!V98</f>
        <v>901762.8304843161</v>
      </c>
      <c r="H98" s="203">
        <f>'Statements Summary 2026'!V98</f>
        <v>1351105.743088664</v>
      </c>
      <c r="I98" s="203">
        <f t="shared" si="12"/>
        <v>1748691.4556930114</v>
      </c>
      <c r="K98" s="203">
        <f>K94</f>
        <v>1370030.943088664</v>
      </c>
      <c r="L98" s="203">
        <f t="shared" ref="L98:V98" si="13">L94</f>
        <v>1400387.1596688121</v>
      </c>
      <c r="M98" s="203">
        <f t="shared" si="13"/>
        <v>1431041.3798260011</v>
      </c>
      <c r="N98" s="203">
        <f t="shared" si="13"/>
        <v>1462325.3978028537</v>
      </c>
      <c r="O98" s="203">
        <f t="shared" si="13"/>
        <v>1492398.4363797428</v>
      </c>
      <c r="P98" s="203">
        <f t="shared" si="13"/>
        <v>1525336.4659730108</v>
      </c>
      <c r="Q98" s="203">
        <f t="shared" si="13"/>
        <v>1559106.4814741604</v>
      </c>
      <c r="R98" s="203">
        <f t="shared" si="13"/>
        <v>1594405.9075322738</v>
      </c>
      <c r="S98" s="203">
        <f t="shared" si="13"/>
        <v>1632208.1337980153</v>
      </c>
      <c r="T98" s="203">
        <f t="shared" si="13"/>
        <v>1671848.7797604389</v>
      </c>
      <c r="U98" s="203">
        <f t="shared" si="13"/>
        <v>1712240.3991509555</v>
      </c>
      <c r="V98" s="203">
        <f t="shared" si="13"/>
        <v>1748691.4556930114</v>
      </c>
    </row>
    <row r="99" spans="2:22" x14ac:dyDescent="0.3">
      <c r="B99" t="s">
        <v>59</v>
      </c>
      <c r="E99" s="203">
        <f>'Statements Summary 2023'!V97</f>
        <v>210404.19999999998</v>
      </c>
      <c r="F99" s="203">
        <f>'Statements Summary 2024'!V99</f>
        <v>566771.7178799687</v>
      </c>
      <c r="G99" s="203">
        <f>'Statements Summary 2025'!V99</f>
        <v>901762.8304843161</v>
      </c>
      <c r="H99" s="203">
        <f>'Statements Summary 2026'!V99</f>
        <v>1351105.743088664</v>
      </c>
      <c r="I99" s="203">
        <f t="shared" si="12"/>
        <v>1748691.4556930114</v>
      </c>
      <c r="K99" s="203">
        <f>K98</f>
        <v>1370030.943088664</v>
      </c>
      <c r="L99" s="203">
        <f t="shared" ref="L99:V99" si="14">L98</f>
        <v>1400387.1596688121</v>
      </c>
      <c r="M99" s="203">
        <f t="shared" si="14"/>
        <v>1431041.3798260011</v>
      </c>
      <c r="N99" s="203">
        <f t="shared" si="14"/>
        <v>1462325.3978028537</v>
      </c>
      <c r="O99" s="203">
        <f t="shared" si="14"/>
        <v>1492398.4363797428</v>
      </c>
      <c r="P99" s="203">
        <f t="shared" si="14"/>
        <v>1525336.4659730108</v>
      </c>
      <c r="Q99" s="203">
        <f t="shared" si="14"/>
        <v>1559106.4814741604</v>
      </c>
      <c r="R99" s="203">
        <f t="shared" si="14"/>
        <v>1594405.9075322738</v>
      </c>
      <c r="S99" s="203">
        <f t="shared" si="14"/>
        <v>1632208.1337980153</v>
      </c>
      <c r="T99" s="203">
        <f t="shared" si="14"/>
        <v>1671848.7797604389</v>
      </c>
      <c r="U99" s="203">
        <f t="shared" si="14"/>
        <v>1712240.3991509555</v>
      </c>
      <c r="V99" s="203">
        <f t="shared" si="14"/>
        <v>1748691.4556930114</v>
      </c>
    </row>
    <row r="101" spans="2:22" x14ac:dyDescent="0.3">
      <c r="B101" s="177" t="s">
        <v>226</v>
      </c>
      <c r="C101" s="151"/>
      <c r="D101" s="151"/>
      <c r="E101" s="151"/>
      <c r="F101" s="151"/>
      <c r="G101" s="151"/>
      <c r="H101" s="151"/>
      <c r="I101" s="151"/>
      <c r="K101" s="349" t="s">
        <v>236</v>
      </c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B57B-D9E6-4CA9-AB6E-462C6412959A}">
  <dimension ref="A1"/>
  <sheetViews>
    <sheetView showGridLines="0" workbookViewId="0">
      <selection activeCell="A53" sqref="A53"/>
    </sheetView>
  </sheetViews>
  <sheetFormatPr defaultRowHeight="14.4" x14ac:dyDescent="0.3"/>
  <cols>
    <col min="1" max="1" width="2.33203125" customWidth="1"/>
  </cols>
  <sheetData>
    <row r="1" ht="10.199999999999999" customHeight="1" x14ac:dyDescent="0.3"/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P32" sqref="P32:Q32"/>
    </sheetView>
  </sheetViews>
  <sheetFormatPr defaultRowHeight="14.4" x14ac:dyDescent="0.3"/>
  <sheetData>
    <row r="1" spans="5:19" ht="21" x14ac:dyDescent="0.4">
      <c r="E1" s="354" t="s">
        <v>16</v>
      </c>
      <c r="F1" s="354"/>
      <c r="G1" s="354"/>
      <c r="H1" s="354"/>
      <c r="I1" s="354"/>
    </row>
    <row r="5" spans="5:19" ht="18" x14ac:dyDescent="0.35">
      <c r="E5" s="351" t="s">
        <v>17</v>
      </c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3"/>
      <c r="R5" s="7"/>
      <c r="S5" s="7"/>
    </row>
    <row r="22" spans="5:17" ht="21" x14ac:dyDescent="0.4">
      <c r="E22" s="356" t="s">
        <v>210</v>
      </c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8"/>
    </row>
    <row r="24" spans="5:17" x14ac:dyDescent="0.3">
      <c r="E24" s="355" t="s">
        <v>0</v>
      </c>
      <c r="F24" s="355"/>
      <c r="H24" s="350">
        <v>2023</v>
      </c>
      <c r="I24" s="350"/>
      <c r="J24" s="350">
        <v>2024</v>
      </c>
      <c r="K24" s="350"/>
      <c r="L24" s="350">
        <v>2025</v>
      </c>
      <c r="M24" s="350"/>
      <c r="N24" s="350">
        <v>2026</v>
      </c>
      <c r="O24" s="350"/>
      <c r="P24" s="350">
        <v>2027</v>
      </c>
      <c r="Q24" s="350"/>
    </row>
    <row r="27" spans="5:17" x14ac:dyDescent="0.3">
      <c r="E27" t="s">
        <v>2</v>
      </c>
      <c r="H27" s="360">
        <f>'IS 2023'!U24</f>
        <v>359816</v>
      </c>
      <c r="I27" s="360"/>
      <c r="J27" s="360">
        <f>'IS 2024'!U24</f>
        <v>368093</v>
      </c>
      <c r="K27" s="360"/>
      <c r="L27" s="360">
        <f>'IS 2025'!U24</f>
        <v>360617</v>
      </c>
      <c r="M27" s="360"/>
      <c r="N27" s="360">
        <f>'IS 2026'!U24</f>
        <v>360617</v>
      </c>
      <c r="O27" s="360"/>
      <c r="P27" s="360">
        <f>'IS 2027'!U24</f>
        <v>370074</v>
      </c>
      <c r="Q27" s="360"/>
    </row>
    <row r="28" spans="5:17" x14ac:dyDescent="0.3">
      <c r="E28" t="s">
        <v>3</v>
      </c>
      <c r="H28" s="359">
        <f>'IS 2023'!U25</f>
        <v>-24540</v>
      </c>
      <c r="I28" s="350"/>
      <c r="J28" s="359">
        <f>'IS 2024'!U25</f>
        <v>-24540</v>
      </c>
      <c r="K28" s="350"/>
      <c r="L28" s="359">
        <f>'IS 2025'!U25</f>
        <v>-24540</v>
      </c>
      <c r="M28" s="350"/>
      <c r="N28" s="359">
        <f>'IS 2026'!U25</f>
        <v>-24540</v>
      </c>
      <c r="O28" s="350"/>
      <c r="P28" s="359">
        <f>'IS 2027'!U25</f>
        <v>-24540</v>
      </c>
      <c r="Q28" s="350"/>
    </row>
    <row r="29" spans="5:17" x14ac:dyDescent="0.3">
      <c r="E29" s="14" t="s">
        <v>18</v>
      </c>
      <c r="H29" s="360">
        <f>'IS 2023'!U33</f>
        <v>335276</v>
      </c>
      <c r="I29" s="360"/>
      <c r="J29" s="360">
        <f>'IS 2024'!U34</f>
        <v>343553</v>
      </c>
      <c r="K29" s="360"/>
      <c r="L29" s="360">
        <f>'IS 2025'!U33</f>
        <v>336077</v>
      </c>
      <c r="M29" s="360"/>
      <c r="N29" s="360">
        <f>'IS 2026'!U33</f>
        <v>336077</v>
      </c>
      <c r="O29" s="360"/>
      <c r="P29" s="360">
        <f>'IS 2027'!U33</f>
        <v>345534</v>
      </c>
      <c r="Q29" s="360"/>
    </row>
    <row r="30" spans="5:17" x14ac:dyDescent="0.3">
      <c r="E30" t="s">
        <v>5</v>
      </c>
      <c r="H30" s="359">
        <f>'IS 2023'!U45</f>
        <v>-36372</v>
      </c>
      <c r="I30" s="350"/>
      <c r="J30" s="359">
        <f>'IS 2024'!U46</f>
        <v>-36372</v>
      </c>
      <c r="K30" s="350"/>
      <c r="L30" s="359">
        <f>'IS 2025'!U45</f>
        <v>-36372</v>
      </c>
      <c r="M30" s="350"/>
      <c r="N30" s="359">
        <f>'IS 2026'!U44</f>
        <v>-36372</v>
      </c>
      <c r="O30" s="350"/>
      <c r="P30" s="359">
        <f>'IS 2027'!U44</f>
        <v>-36372</v>
      </c>
      <c r="Q30" s="350"/>
    </row>
    <row r="31" spans="5:17" x14ac:dyDescent="0.3">
      <c r="E31" t="s">
        <v>6</v>
      </c>
      <c r="H31" s="359">
        <f>'IS 2023'!U66</f>
        <v>262304</v>
      </c>
      <c r="I31" s="350"/>
      <c r="J31" s="359">
        <f>'IS 2024'!U67</f>
        <v>270581</v>
      </c>
      <c r="K31" s="350"/>
      <c r="L31" s="359">
        <f>'IS 2025'!U66</f>
        <v>263105</v>
      </c>
      <c r="M31" s="359"/>
      <c r="N31" s="359">
        <f>'IS 2026'!U64</f>
        <v>263105</v>
      </c>
      <c r="O31" s="359"/>
      <c r="P31" s="359">
        <f>'IS 2027'!U64</f>
        <v>272562</v>
      </c>
      <c r="Q31" s="359"/>
    </row>
    <row r="32" spans="5:17" x14ac:dyDescent="0.3">
      <c r="E32" t="s">
        <v>19</v>
      </c>
      <c r="H32" s="360">
        <f>ABS('IS 2023'!U25)+ABS('IS 2023'!U45)+ABS('IS 2023'!U46)+ABS('IS 2023'!U65)+ABS('IS 2023'!U67)+ABS('IS 2023'!U69)+ABS('IS 2023'!U71)</f>
        <v>318501.2</v>
      </c>
      <c r="I32" s="355"/>
      <c r="J32" s="360">
        <f>ABS('IS 2024'!U25)+ABS('IS 2024'!U46)+ABS('IS 2024'!U47)+ABS('IS 2024'!U66)+ABS('IS 2024'!U68)+ABS('IS 2024'!U70)+ABS('IS 2024'!U72)</f>
        <v>294118.2</v>
      </c>
      <c r="K32" s="355"/>
      <c r="L32" s="360">
        <f>ABS('IS 2025'!U25)+ABS('IS 2025'!U45)+ABS('IS 2025'!U46)+ABS('IS 2025'!U65)+ABS('IS 2025'!U67)+ABS('IS 2025'!U69)+ABS('IS 2025'!U71)</f>
        <v>261929.8</v>
      </c>
      <c r="M32" s="355"/>
      <c r="N32" s="360">
        <f>ABS('IS 2026'!U25)+ABS('IS 2026'!U44)+ABS('IS 2026'!U45)+ABS('IS 2026'!U63)+ABS('IS 2026'!U65)+ABS('IS 2026'!U67)+ABS('IS 2026'!U69)</f>
        <v>216862.6</v>
      </c>
      <c r="O32" s="355"/>
      <c r="P32" s="360">
        <f>ABS('IS 2027'!U25)+ABS('IS 2027'!U44)+ABS('IS 2027'!U45)+ABS('IS 2027'!U63)+ABS('IS 2027'!U65)+ABS('IS 2027'!U67)+ABS('IS 2027'!U69)</f>
        <v>205058</v>
      </c>
      <c r="Q32" s="360"/>
    </row>
    <row r="33" spans="5:17" x14ac:dyDescent="0.3">
      <c r="E33" t="s">
        <v>10</v>
      </c>
      <c r="H33" s="360">
        <f>'IS 2023'!U70</f>
        <v>262304</v>
      </c>
      <c r="I33" s="355"/>
      <c r="J33" s="360">
        <f>'IS 2024'!U71</f>
        <v>270581</v>
      </c>
      <c r="K33" s="360"/>
      <c r="L33" s="360">
        <f>'IS 2025'!U70</f>
        <v>263105</v>
      </c>
      <c r="M33" s="360"/>
      <c r="N33" s="360">
        <f>'IS 2026'!U68</f>
        <v>263105</v>
      </c>
      <c r="O33" s="360"/>
      <c r="P33" s="360">
        <f>'IS 2027'!U68</f>
        <v>272562</v>
      </c>
      <c r="Q33" s="360"/>
    </row>
    <row r="34" spans="5:17" x14ac:dyDescent="0.3">
      <c r="E34" t="s">
        <v>12</v>
      </c>
      <c r="H34" s="361">
        <f>'IS 2023'!U72</f>
        <v>217196.80000000002</v>
      </c>
      <c r="I34" s="362"/>
      <c r="J34" s="361">
        <f>'IS 2024'!U73</f>
        <v>220024.80000000002</v>
      </c>
      <c r="K34" s="361"/>
      <c r="L34" s="361">
        <f>'IS 2025'!U72</f>
        <v>208486.19999999998</v>
      </c>
      <c r="M34" s="361"/>
      <c r="N34" s="361">
        <f>'IS 2026'!U70</f>
        <v>214791.4</v>
      </c>
      <c r="O34" s="361"/>
      <c r="P34" s="361">
        <f>'IS 2027'!U70</f>
        <v>222308.00000000003</v>
      </c>
      <c r="Q34" s="361"/>
    </row>
    <row r="35" spans="5:17" x14ac:dyDescent="0.3">
      <c r="J35" s="2"/>
    </row>
  </sheetData>
  <mergeCells count="49"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H34:I34"/>
    <mergeCell ref="J32:K32"/>
    <mergeCell ref="J33:K33"/>
    <mergeCell ref="J34:K34"/>
    <mergeCell ref="H31:I31"/>
    <mergeCell ref="H32:I32"/>
    <mergeCell ref="H33:I33"/>
    <mergeCell ref="J31:K31"/>
    <mergeCell ref="H30:I30"/>
    <mergeCell ref="J27:K27"/>
    <mergeCell ref="J28:K28"/>
    <mergeCell ref="J29:K29"/>
    <mergeCell ref="J30:K30"/>
    <mergeCell ref="H27:I27"/>
    <mergeCell ref="H28:I28"/>
    <mergeCell ref="H29:I29"/>
    <mergeCell ref="N24:O24"/>
    <mergeCell ref="P24:Q24"/>
    <mergeCell ref="E5:Q5"/>
    <mergeCell ref="E1:I1"/>
    <mergeCell ref="E24:F24"/>
    <mergeCell ref="H24:I24"/>
    <mergeCell ref="J24:K24"/>
    <mergeCell ref="L24:M24"/>
    <mergeCell ref="E22:Q2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workbookViewId="0">
      <selection activeCell="D9" sqref="D9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364" t="s">
        <v>63</v>
      </c>
      <c r="C2" s="364"/>
      <c r="D2" s="364"/>
    </row>
    <row r="5" spans="2:20" ht="18" x14ac:dyDescent="0.35">
      <c r="B5" s="363" t="s">
        <v>211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</row>
    <row r="7" spans="2:20" x14ac:dyDescent="0.3">
      <c r="D7" s="8">
        <v>2020</v>
      </c>
      <c r="E7" s="8">
        <v>2021</v>
      </c>
      <c r="F7" s="8">
        <v>2022</v>
      </c>
      <c r="G7" s="8">
        <v>2023</v>
      </c>
      <c r="H7" s="8">
        <v>2024</v>
      </c>
      <c r="K7" s="8">
        <v>2020</v>
      </c>
      <c r="L7" s="8">
        <v>2021</v>
      </c>
      <c r="M7" s="8">
        <v>2022</v>
      </c>
      <c r="N7" s="8">
        <v>2023</v>
      </c>
      <c r="O7" s="8">
        <v>2024</v>
      </c>
    </row>
    <row r="9" spans="2:20" x14ac:dyDescent="0.3">
      <c r="B9" s="365" t="s">
        <v>222</v>
      </c>
      <c r="C9" s="366"/>
      <c r="D9" s="24">
        <f>ABS('IS 2023'!U51)</f>
        <v>8400</v>
      </c>
      <c r="E9" s="21">
        <f>ABS('IS 2024'!U52)</f>
        <v>8400</v>
      </c>
      <c r="F9" s="21">
        <f>ABS('IS 2025'!U51)</f>
        <v>8400</v>
      </c>
      <c r="G9" s="21">
        <f>ABS('IS 2026'!U50)</f>
        <v>8400</v>
      </c>
      <c r="H9" s="18">
        <f>ABS('IS 2027'!U50)</f>
        <v>8400</v>
      </c>
      <c r="K9" s="25">
        <f>D9/D13</f>
        <v>0.1037344398340249</v>
      </c>
      <c r="L9" s="26">
        <f t="shared" ref="L9:O9" si="0">E9/E13</f>
        <v>0.1037344398340249</v>
      </c>
      <c r="M9" s="26">
        <f t="shared" si="0"/>
        <v>0.1037344398340249</v>
      </c>
      <c r="N9" s="26">
        <f t="shared" si="0"/>
        <v>0.1037344398340249</v>
      </c>
      <c r="O9" s="27">
        <f t="shared" si="0"/>
        <v>9.556313993174062E-2</v>
      </c>
    </row>
    <row r="10" spans="2:20" x14ac:dyDescent="0.3">
      <c r="B10" s="367" t="s">
        <v>60</v>
      </c>
      <c r="C10" s="368"/>
      <c r="D10" s="20">
        <f>ABS('IS 2023'!U26)+ABS('IS 2023'!U46)</f>
        <v>55860</v>
      </c>
      <c r="E10" s="17">
        <f>ABS('IS 2024'!U26)+ABS('IS 2024'!U47)</f>
        <v>55860</v>
      </c>
      <c r="F10" s="17">
        <f>ABS('IS 2025'!U26)+ABS('IS 2025'!U46)</f>
        <v>55860</v>
      </c>
      <c r="G10" s="17">
        <f>ABS('IS 2026'!U26)+ABS('IS 2026'!U45)</f>
        <v>55860</v>
      </c>
      <c r="H10" s="19">
        <f>ABS('IS 2027'!U26)+ABS('IS 2027'!U45)</f>
        <v>55860</v>
      </c>
      <c r="K10" s="28">
        <f>D10/D13</f>
        <v>0.68983402489626555</v>
      </c>
      <c r="L10" s="12">
        <f t="shared" ref="L10:O10" si="1">E10/E13</f>
        <v>0.68983402489626555</v>
      </c>
      <c r="M10" s="12">
        <f t="shared" si="1"/>
        <v>0.68983402489626555</v>
      </c>
      <c r="N10" s="12">
        <f t="shared" si="1"/>
        <v>0.68983402489626555</v>
      </c>
      <c r="O10" s="29">
        <f t="shared" si="1"/>
        <v>0.63549488054607506</v>
      </c>
    </row>
    <row r="11" spans="2:20" x14ac:dyDescent="0.3">
      <c r="B11" s="367" t="s">
        <v>126</v>
      </c>
      <c r="C11" s="368"/>
      <c r="D11" s="20">
        <f>ABS('IS 2023'!U53)</f>
        <v>10800</v>
      </c>
      <c r="E11" s="17">
        <f>ABS('IS 2024'!U54)</f>
        <v>10800</v>
      </c>
      <c r="F11" s="17">
        <f>ABS('IS 2025'!U53)</f>
        <v>10800</v>
      </c>
      <c r="G11" s="17">
        <f>ABS('IS 2026'!U52)</f>
        <v>10800</v>
      </c>
      <c r="H11" s="19">
        <f>ABS('IS 2027'!U52)</f>
        <v>10800</v>
      </c>
      <c r="K11" s="28">
        <f>D11/D13</f>
        <v>0.13337285121517486</v>
      </c>
      <c r="L11" s="12">
        <f t="shared" ref="L11:O11" si="2">E11/E13</f>
        <v>0.13337285121517486</v>
      </c>
      <c r="M11" s="12">
        <f t="shared" si="2"/>
        <v>0.13337285121517486</v>
      </c>
      <c r="N11" s="12">
        <f t="shared" si="2"/>
        <v>0.13337285121517486</v>
      </c>
      <c r="O11" s="29">
        <f t="shared" si="2"/>
        <v>0.12286689419795221</v>
      </c>
    </row>
    <row r="12" spans="2:20" x14ac:dyDescent="0.3">
      <c r="B12" s="367" t="s">
        <v>61</v>
      </c>
      <c r="C12" s="368"/>
      <c r="D12" s="20">
        <f>ABS('IS 2023'!U37)</f>
        <v>5916</v>
      </c>
      <c r="E12" s="17">
        <f>ABS('IS 2024'!U38)</f>
        <v>5916</v>
      </c>
      <c r="F12" s="17">
        <f>ABS('IS 2025'!U37)</f>
        <v>5916</v>
      </c>
      <c r="G12" s="17">
        <f>ABS('IS 2026'!U37)</f>
        <v>5916</v>
      </c>
      <c r="H12" s="19">
        <f>ABS('IS 2027'!U39)</f>
        <v>12840</v>
      </c>
      <c r="K12" s="28">
        <f>D12/D13</f>
        <v>7.3058684054534681E-2</v>
      </c>
      <c r="L12" s="12">
        <f t="shared" ref="L12:O12" si="3">E12/E13</f>
        <v>7.3058684054534681E-2</v>
      </c>
      <c r="M12" s="12">
        <f t="shared" si="3"/>
        <v>7.3058684054534681E-2</v>
      </c>
      <c r="N12" s="12">
        <f t="shared" si="3"/>
        <v>7.3058684054534681E-2</v>
      </c>
      <c r="O12" s="29">
        <f t="shared" si="3"/>
        <v>0.14607508532423208</v>
      </c>
    </row>
    <row r="13" spans="2:20" x14ac:dyDescent="0.3">
      <c r="B13" s="369"/>
      <c r="C13" s="370"/>
      <c r="D13" s="221">
        <f>SUM(D9:D12)</f>
        <v>80976</v>
      </c>
      <c r="E13" s="22">
        <f t="shared" ref="E13:H13" si="4">SUM(E9:E12)</f>
        <v>80976</v>
      </c>
      <c r="F13" s="22">
        <f t="shared" si="4"/>
        <v>80976</v>
      </c>
      <c r="G13" s="22">
        <f t="shared" si="4"/>
        <v>80976</v>
      </c>
      <c r="H13" s="23">
        <f t="shared" si="4"/>
        <v>87900</v>
      </c>
      <c r="K13" s="30">
        <v>1</v>
      </c>
      <c r="L13" s="31">
        <v>1</v>
      </c>
      <c r="M13" s="31">
        <v>1</v>
      </c>
      <c r="N13" s="31">
        <v>1</v>
      </c>
      <c r="O13" s="32">
        <v>1</v>
      </c>
    </row>
    <row r="15" spans="2:20" ht="18" x14ac:dyDescent="0.35">
      <c r="B15" s="363" t="s">
        <v>62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workbookViewId="0">
      <selection activeCell="P53" sqref="P53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376" t="s">
        <v>69</v>
      </c>
      <c r="D2" s="377"/>
      <c r="E2" s="377"/>
      <c r="F2" s="377"/>
      <c r="G2" s="377"/>
      <c r="H2" s="377"/>
      <c r="I2" s="378"/>
    </row>
    <row r="5" spans="3:17" x14ac:dyDescent="0.3">
      <c r="C5" s="382" t="s">
        <v>212</v>
      </c>
      <c r="D5" s="382"/>
      <c r="E5" s="382"/>
      <c r="F5" s="382"/>
      <c r="G5" s="382"/>
      <c r="H5" s="382"/>
      <c r="I5" s="382"/>
    </row>
    <row r="7" spans="3:17" x14ac:dyDescent="0.3">
      <c r="H7" s="376" t="s">
        <v>71</v>
      </c>
      <c r="I7" s="377"/>
      <c r="J7" s="377"/>
      <c r="K7" s="377"/>
      <c r="L7" s="377"/>
      <c r="M7" s="377"/>
      <c r="N7" s="377"/>
      <c r="O7" s="377"/>
      <c r="P7" s="377"/>
      <c r="Q7" s="378"/>
    </row>
    <row r="8" spans="3:17" x14ac:dyDescent="0.3">
      <c r="C8" s="379" t="s">
        <v>70</v>
      </c>
      <c r="D8" s="380"/>
      <c r="E8" s="380"/>
      <c r="F8" s="381"/>
      <c r="H8" s="371">
        <v>2023</v>
      </c>
      <c r="I8" s="372"/>
      <c r="J8" s="371">
        <v>2024</v>
      </c>
      <c r="K8" s="372"/>
      <c r="L8" s="371">
        <v>2025</v>
      </c>
      <c r="M8" s="372"/>
      <c r="N8" s="371">
        <v>2026</v>
      </c>
      <c r="O8" s="372"/>
      <c r="P8" s="371">
        <v>2027</v>
      </c>
      <c r="Q8" s="372"/>
    </row>
    <row r="9" spans="3:17" x14ac:dyDescent="0.3">
      <c r="C9" s="323" t="s">
        <v>285</v>
      </c>
      <c r="D9" s="324"/>
      <c r="E9" s="324"/>
      <c r="F9" s="325"/>
      <c r="H9" s="225">
        <v>1</v>
      </c>
      <c r="I9" s="226">
        <v>30000</v>
      </c>
      <c r="J9" s="225">
        <v>1</v>
      </c>
      <c r="K9" s="226">
        <v>30000</v>
      </c>
      <c r="L9" s="225">
        <v>1</v>
      </c>
      <c r="M9" s="226">
        <v>30000</v>
      </c>
      <c r="N9" s="225">
        <v>1</v>
      </c>
      <c r="O9" s="226">
        <v>30000</v>
      </c>
      <c r="P9" s="225">
        <v>1</v>
      </c>
      <c r="Q9" s="226">
        <v>30000</v>
      </c>
    </row>
    <row r="10" spans="3:17" x14ac:dyDescent="0.3">
      <c r="C10" s="320" t="s">
        <v>286</v>
      </c>
      <c r="D10" s="321"/>
      <c r="E10" s="321"/>
      <c r="F10" s="322"/>
      <c r="H10" s="228">
        <v>1</v>
      </c>
      <c r="I10" s="229">
        <v>35000</v>
      </c>
      <c r="J10" s="228">
        <v>1</v>
      </c>
      <c r="K10" s="229">
        <v>35000</v>
      </c>
      <c r="L10" s="228">
        <v>1</v>
      </c>
      <c r="M10" s="229">
        <v>35000</v>
      </c>
      <c r="N10" s="228">
        <v>1</v>
      </c>
      <c r="O10" s="229">
        <v>35000</v>
      </c>
      <c r="P10" s="228">
        <v>1</v>
      </c>
      <c r="Q10" s="229">
        <v>35000</v>
      </c>
    </row>
    <row r="11" spans="3:17" x14ac:dyDescent="0.3">
      <c r="C11" s="320" t="s">
        <v>254</v>
      </c>
      <c r="D11" s="321"/>
      <c r="E11" s="321"/>
      <c r="F11" s="322"/>
      <c r="H11" s="228">
        <v>1</v>
      </c>
      <c r="I11" s="229">
        <v>45000</v>
      </c>
      <c r="J11" s="228">
        <v>1</v>
      </c>
      <c r="K11" s="229">
        <v>45000</v>
      </c>
      <c r="L11" s="228">
        <v>1</v>
      </c>
      <c r="M11" s="229">
        <v>45000</v>
      </c>
      <c r="N11" s="228">
        <v>1</v>
      </c>
      <c r="O11" s="229">
        <v>45000</v>
      </c>
      <c r="P11" s="228">
        <v>1</v>
      </c>
      <c r="Q11" s="229">
        <v>45000</v>
      </c>
    </row>
    <row r="12" spans="3:17" x14ac:dyDescent="0.3">
      <c r="C12" s="320" t="s">
        <v>267</v>
      </c>
      <c r="D12" s="321"/>
      <c r="E12" s="321"/>
      <c r="F12" s="322"/>
      <c r="H12" s="228">
        <v>1</v>
      </c>
      <c r="I12" s="229">
        <v>25000</v>
      </c>
      <c r="J12" s="228">
        <v>1</v>
      </c>
      <c r="K12" s="229">
        <v>25000</v>
      </c>
      <c r="L12" s="228">
        <v>1</v>
      </c>
      <c r="M12" s="229">
        <v>25000</v>
      </c>
      <c r="N12" s="228">
        <v>1</v>
      </c>
      <c r="O12" s="229">
        <v>25000</v>
      </c>
      <c r="P12" s="228">
        <v>1</v>
      </c>
      <c r="Q12" s="229">
        <v>25000</v>
      </c>
    </row>
    <row r="13" spans="3:17" x14ac:dyDescent="0.3">
      <c r="C13" s="320" t="s">
        <v>287</v>
      </c>
      <c r="D13" s="321"/>
      <c r="E13" s="321"/>
      <c r="F13" s="322"/>
      <c r="H13" s="228">
        <v>1</v>
      </c>
      <c r="I13" s="229">
        <v>25000</v>
      </c>
      <c r="J13" s="228">
        <v>1</v>
      </c>
      <c r="K13" s="229">
        <v>25000</v>
      </c>
      <c r="L13" s="228">
        <v>1</v>
      </c>
      <c r="M13" s="229">
        <v>25000</v>
      </c>
      <c r="N13" s="228">
        <v>1</v>
      </c>
      <c r="O13" s="229">
        <v>25000</v>
      </c>
      <c r="P13" s="228">
        <v>1</v>
      </c>
      <c r="Q13" s="229">
        <v>25000</v>
      </c>
    </row>
    <row r="14" spans="3:17" x14ac:dyDescent="0.3">
      <c r="C14" s="320" t="s">
        <v>288</v>
      </c>
      <c r="D14" s="321"/>
      <c r="E14" s="321"/>
      <c r="F14" s="322"/>
      <c r="H14" s="228">
        <v>3</v>
      </c>
      <c r="I14" s="229">
        <v>20000</v>
      </c>
      <c r="J14" s="228">
        <v>3</v>
      </c>
      <c r="K14" s="229">
        <v>20000</v>
      </c>
      <c r="L14" s="228">
        <v>4</v>
      </c>
      <c r="M14" s="229">
        <v>20000</v>
      </c>
      <c r="N14" s="228">
        <v>4</v>
      </c>
      <c r="O14" s="229">
        <v>20000</v>
      </c>
      <c r="P14" s="228">
        <v>5</v>
      </c>
      <c r="Q14" s="229">
        <v>20000</v>
      </c>
    </row>
    <row r="15" spans="3:17" x14ac:dyDescent="0.3">
      <c r="C15" s="320"/>
      <c r="D15" s="321"/>
      <c r="E15" s="321"/>
      <c r="F15" s="322"/>
      <c r="H15" s="228"/>
      <c r="I15" s="229"/>
      <c r="J15" s="228"/>
      <c r="K15" s="230"/>
      <c r="L15" s="228"/>
      <c r="M15" s="230"/>
      <c r="N15" s="228"/>
      <c r="O15" s="230"/>
      <c r="P15" s="228"/>
      <c r="Q15" s="230"/>
    </row>
    <row r="16" spans="3:17" x14ac:dyDescent="0.3">
      <c r="C16" s="320"/>
      <c r="D16" s="321"/>
      <c r="E16" s="321"/>
      <c r="F16" s="322"/>
      <c r="H16" s="228"/>
      <c r="I16" s="229"/>
      <c r="J16" s="228"/>
      <c r="K16" s="230"/>
      <c r="L16" s="228"/>
      <c r="M16" s="230"/>
      <c r="N16" s="228"/>
      <c r="O16" s="230"/>
      <c r="P16" s="228"/>
      <c r="Q16" s="230"/>
    </row>
    <row r="17" spans="3:17" x14ac:dyDescent="0.3">
      <c r="C17" s="320"/>
      <c r="D17" s="321"/>
      <c r="E17" s="321"/>
      <c r="F17" s="322"/>
      <c r="H17" s="228"/>
      <c r="I17" s="229"/>
      <c r="J17" s="228"/>
      <c r="K17" s="230"/>
      <c r="L17" s="228"/>
      <c r="M17" s="230"/>
      <c r="N17" s="228"/>
      <c r="O17" s="230"/>
      <c r="P17" s="228"/>
      <c r="Q17" s="230"/>
    </row>
    <row r="18" spans="3:17" x14ac:dyDescent="0.3">
      <c r="C18" s="320"/>
      <c r="D18" s="321"/>
      <c r="E18" s="321"/>
      <c r="F18" s="322"/>
      <c r="H18" s="228"/>
      <c r="I18" s="229"/>
      <c r="J18" s="228"/>
      <c r="K18" s="230"/>
      <c r="L18" s="228"/>
      <c r="M18" s="230"/>
      <c r="N18" s="228"/>
      <c r="O18" s="230"/>
      <c r="P18" s="228"/>
      <c r="Q18" s="230"/>
    </row>
    <row r="19" spans="3:17" x14ac:dyDescent="0.3">
      <c r="C19" s="320"/>
      <c r="D19" s="321"/>
      <c r="E19" s="321"/>
      <c r="F19" s="322"/>
      <c r="H19" s="228"/>
      <c r="I19" s="229"/>
      <c r="J19" s="228"/>
      <c r="K19" s="230"/>
      <c r="L19" s="228"/>
      <c r="M19" s="230"/>
      <c r="N19" s="228"/>
      <c r="O19" s="230"/>
      <c r="P19" s="228"/>
      <c r="Q19" s="230"/>
    </row>
    <row r="20" spans="3:17" x14ac:dyDescent="0.3">
      <c r="C20" s="320"/>
      <c r="D20" s="321"/>
      <c r="E20" s="321"/>
      <c r="F20" s="322"/>
      <c r="H20" s="228"/>
      <c r="I20" s="229"/>
      <c r="J20" s="228"/>
      <c r="K20" s="230"/>
      <c r="L20" s="229"/>
      <c r="M20" s="229"/>
      <c r="N20" s="228"/>
      <c r="O20" s="230"/>
      <c r="P20" s="229"/>
      <c r="Q20" s="230"/>
    </row>
    <row r="21" spans="3:17" x14ac:dyDescent="0.3">
      <c r="C21" s="320"/>
      <c r="D21" s="321"/>
      <c r="E21" s="321"/>
      <c r="F21" s="322"/>
      <c r="H21" s="228"/>
      <c r="I21" s="229"/>
      <c r="J21" s="228"/>
      <c r="K21" s="230"/>
      <c r="L21" s="229"/>
      <c r="M21" s="229"/>
      <c r="N21" s="228"/>
      <c r="O21" s="230"/>
      <c r="P21" s="229"/>
      <c r="Q21" s="230"/>
    </row>
    <row r="22" spans="3:17" x14ac:dyDescent="0.3">
      <c r="C22" s="320"/>
      <c r="D22" s="321"/>
      <c r="E22" s="321"/>
      <c r="F22" s="322"/>
      <c r="H22" s="228"/>
      <c r="I22" s="229"/>
      <c r="J22" s="228"/>
      <c r="K22" s="230"/>
      <c r="L22" s="229"/>
      <c r="M22" s="229"/>
      <c r="N22" s="228"/>
      <c r="O22" s="230"/>
      <c r="P22" s="229"/>
      <c r="Q22" s="230"/>
    </row>
    <row r="23" spans="3:17" x14ac:dyDescent="0.3">
      <c r="C23" s="383"/>
      <c r="D23" s="384"/>
      <c r="E23" s="384"/>
      <c r="F23" s="385"/>
      <c r="H23" s="228"/>
      <c r="I23" s="229"/>
      <c r="J23" s="228"/>
      <c r="K23" s="230"/>
      <c r="L23" s="229"/>
      <c r="M23" s="229"/>
      <c r="N23" s="228"/>
      <c r="O23" s="230"/>
      <c r="P23" s="229"/>
      <c r="Q23" s="230"/>
    </row>
    <row r="24" spans="3:17" x14ac:dyDescent="0.3">
      <c r="C24" s="383"/>
      <c r="D24" s="384"/>
      <c r="E24" s="384"/>
      <c r="F24" s="385"/>
      <c r="H24" s="228"/>
      <c r="I24" s="229"/>
      <c r="J24" s="228"/>
      <c r="K24" s="230"/>
      <c r="L24" s="229"/>
      <c r="M24" s="229"/>
      <c r="N24" s="228"/>
      <c r="O24" s="230"/>
      <c r="P24" s="229"/>
      <c r="Q24" s="230"/>
    </row>
    <row r="25" spans="3:17" x14ac:dyDescent="0.3">
      <c r="C25" s="383"/>
      <c r="D25" s="384"/>
      <c r="E25" s="384"/>
      <c r="F25" s="385"/>
      <c r="H25" s="228"/>
      <c r="I25" s="229"/>
      <c r="J25" s="228"/>
      <c r="K25" s="230"/>
      <c r="L25" s="229"/>
      <c r="M25" s="229"/>
      <c r="N25" s="228"/>
      <c r="O25" s="230"/>
      <c r="P25" s="229"/>
      <c r="Q25" s="230"/>
    </row>
    <row r="26" spans="3:17" x14ac:dyDescent="0.3">
      <c r="C26" s="383"/>
      <c r="D26" s="384"/>
      <c r="E26" s="384"/>
      <c r="F26" s="385"/>
      <c r="H26" s="228"/>
      <c r="I26" s="229"/>
      <c r="J26" s="228"/>
      <c r="K26" s="230"/>
      <c r="L26" s="229"/>
      <c r="M26" s="229"/>
      <c r="N26" s="228"/>
      <c r="O26" s="230"/>
      <c r="P26" s="229"/>
      <c r="Q26" s="230"/>
    </row>
    <row r="27" spans="3:17" x14ac:dyDescent="0.3">
      <c r="C27" s="383"/>
      <c r="D27" s="384"/>
      <c r="E27" s="384"/>
      <c r="F27" s="385"/>
      <c r="H27" s="228"/>
      <c r="I27" s="229"/>
      <c r="J27" s="228"/>
      <c r="K27" s="230"/>
      <c r="L27" s="229"/>
      <c r="M27" s="229"/>
      <c r="N27" s="228"/>
      <c r="O27" s="230"/>
      <c r="P27" s="229"/>
      <c r="Q27" s="230"/>
    </row>
    <row r="28" spans="3:17" x14ac:dyDescent="0.3">
      <c r="C28" s="373"/>
      <c r="D28" s="374"/>
      <c r="E28" s="374"/>
      <c r="F28" s="375"/>
      <c r="H28" s="252"/>
      <c r="I28" s="253"/>
      <c r="J28" s="252"/>
      <c r="K28" s="254"/>
      <c r="L28" s="253"/>
      <c r="M28" s="253"/>
      <c r="N28" s="252"/>
      <c r="O28" s="254"/>
      <c r="P28" s="253"/>
      <c r="Q28" s="254"/>
    </row>
    <row r="29" spans="3:17" x14ac:dyDescent="0.3">
      <c r="C29" s="379" t="s">
        <v>72</v>
      </c>
      <c r="D29" s="380"/>
      <c r="E29" s="380"/>
      <c r="F29" s="381"/>
      <c r="H29" s="371">
        <v>2023</v>
      </c>
      <c r="I29" s="372"/>
      <c r="J29" s="371">
        <v>2024</v>
      </c>
      <c r="K29" s="372"/>
      <c r="L29" s="371">
        <v>2025</v>
      </c>
      <c r="M29" s="372"/>
      <c r="N29" s="371">
        <v>2026</v>
      </c>
      <c r="O29" s="372"/>
      <c r="P29" s="371">
        <v>2027</v>
      </c>
      <c r="Q29" s="372"/>
    </row>
    <row r="30" spans="3:17" x14ac:dyDescent="0.3">
      <c r="C30" s="323" t="str">
        <f>C9</f>
        <v>Array Manager</v>
      </c>
      <c r="D30" s="324"/>
      <c r="E30" s="324"/>
      <c r="F30" s="325"/>
      <c r="H30" s="225">
        <f>H9</f>
        <v>1</v>
      </c>
      <c r="I30" s="227">
        <f>SUM(H9*I9)</f>
        <v>30000</v>
      </c>
      <c r="J30" s="225">
        <f>J9</f>
        <v>1</v>
      </c>
      <c r="K30" s="227">
        <f>SUM(J9*K9)</f>
        <v>30000</v>
      </c>
      <c r="L30" s="225">
        <f>L9</f>
        <v>1</v>
      </c>
      <c r="M30" s="227">
        <f>SUM(L9*M9)</f>
        <v>30000</v>
      </c>
      <c r="N30" s="225">
        <f>N9</f>
        <v>1</v>
      </c>
      <c r="O30" s="227">
        <f>SUM(N9*O9)</f>
        <v>30000</v>
      </c>
      <c r="P30" s="225">
        <f>P9</f>
        <v>1</v>
      </c>
      <c r="Q30" s="227">
        <f>SUM(P9*Q9)</f>
        <v>30000</v>
      </c>
    </row>
    <row r="31" spans="3:17" x14ac:dyDescent="0.3">
      <c r="C31" s="320" t="str">
        <f t="shared" ref="C31:C35" si="0">C10</f>
        <v>IT Manager</v>
      </c>
      <c r="D31" s="321"/>
      <c r="E31" s="321"/>
      <c r="F31" s="322"/>
      <c r="H31" s="228">
        <f>H10</f>
        <v>1</v>
      </c>
      <c r="I31" s="230">
        <f>SUM(H10*I10)</f>
        <v>35000</v>
      </c>
      <c r="J31" s="228">
        <f>J10</f>
        <v>1</v>
      </c>
      <c r="K31" s="230">
        <f>SUM(J10*K10)</f>
        <v>35000</v>
      </c>
      <c r="L31" s="228">
        <f>L10</f>
        <v>1</v>
      </c>
      <c r="M31" s="230">
        <f>SUM(L10*M10)</f>
        <v>35000</v>
      </c>
      <c r="N31" s="228">
        <f>N10</f>
        <v>1</v>
      </c>
      <c r="O31" s="230">
        <f>SUM(N10*O10)</f>
        <v>35000</v>
      </c>
      <c r="P31" s="228">
        <f>P10</f>
        <v>1</v>
      </c>
      <c r="Q31" s="230">
        <f>SUM(P10*Q10)</f>
        <v>35000</v>
      </c>
    </row>
    <row r="32" spans="3:17" x14ac:dyDescent="0.3">
      <c r="C32" s="320" t="str">
        <f t="shared" si="0"/>
        <v>Chief Operating Officer</v>
      </c>
      <c r="D32" s="321"/>
      <c r="E32" s="321"/>
      <c r="F32" s="322"/>
      <c r="H32" s="228">
        <f>H11</f>
        <v>1</v>
      </c>
      <c r="I32" s="230">
        <f>SUM(H11*I11)</f>
        <v>45000</v>
      </c>
      <c r="J32" s="228">
        <f>J11</f>
        <v>1</v>
      </c>
      <c r="K32" s="230">
        <f>SUM(J11*K11)</f>
        <v>45000</v>
      </c>
      <c r="L32" s="228">
        <f>L11</f>
        <v>1</v>
      </c>
      <c r="M32" s="230">
        <f>SUM(L11*M11)</f>
        <v>45000</v>
      </c>
      <c r="N32" s="228">
        <f>N11</f>
        <v>1</v>
      </c>
      <c r="O32" s="230">
        <f>SUM(N11*O11)</f>
        <v>45000</v>
      </c>
      <c r="P32" s="228">
        <f>P11</f>
        <v>1</v>
      </c>
      <c r="Q32" s="230">
        <f>SUM(P11*Q11)</f>
        <v>45000</v>
      </c>
    </row>
    <row r="33" spans="3:17" x14ac:dyDescent="0.3">
      <c r="C33" s="320" t="str">
        <f t="shared" si="0"/>
        <v>Marketing Manager</v>
      </c>
      <c r="D33" s="321"/>
      <c r="E33" s="321"/>
      <c r="F33" s="322"/>
      <c r="G33" s="326"/>
      <c r="H33" s="228">
        <f>H12</f>
        <v>1</v>
      </c>
      <c r="I33" s="230">
        <f>SUM(H12*I12)</f>
        <v>25000</v>
      </c>
      <c r="J33" s="228">
        <f>J12</f>
        <v>1</v>
      </c>
      <c r="K33" s="230">
        <f>SUM(J12*K12)</f>
        <v>25000</v>
      </c>
      <c r="L33" s="228">
        <f>L12</f>
        <v>1</v>
      </c>
      <c r="M33" s="230">
        <f>SUM(L12*M12)</f>
        <v>25000</v>
      </c>
      <c r="N33" s="228">
        <f>N12</f>
        <v>1</v>
      </c>
      <c r="O33" s="230">
        <f>SUM(N12*O12)</f>
        <v>25000</v>
      </c>
      <c r="P33" s="228">
        <f>P12</f>
        <v>1</v>
      </c>
      <c r="Q33" s="230">
        <f>SUM(P12*Q12)</f>
        <v>25000</v>
      </c>
    </row>
    <row r="34" spans="3:17" x14ac:dyDescent="0.3">
      <c r="C34" s="320" t="str">
        <f t="shared" si="0"/>
        <v>Senior Installer</v>
      </c>
      <c r="D34" s="321"/>
      <c r="E34" s="321"/>
      <c r="F34" s="322"/>
      <c r="G34" s="326"/>
      <c r="H34" s="228">
        <f t="shared" ref="H34:H35" si="1">H13</f>
        <v>1</v>
      </c>
      <c r="I34" s="230">
        <f t="shared" ref="I34:I35" si="2">SUM(H13*I13)</f>
        <v>25000</v>
      </c>
      <c r="J34" s="228">
        <f t="shared" ref="J34:J35" si="3">J13</f>
        <v>1</v>
      </c>
      <c r="K34" s="230">
        <f t="shared" ref="K34:K35" si="4">SUM(J13*K13)</f>
        <v>25000</v>
      </c>
      <c r="L34" s="228">
        <f t="shared" ref="L34:L35" si="5">L13</f>
        <v>1</v>
      </c>
      <c r="M34" s="230">
        <f t="shared" ref="M34:M35" si="6">SUM(L13*M13)</f>
        <v>25000</v>
      </c>
      <c r="N34" s="228">
        <f t="shared" ref="N34:N35" si="7">N13</f>
        <v>1</v>
      </c>
      <c r="O34" s="230">
        <f t="shared" ref="O34:O35" si="8">SUM(N13*O13)</f>
        <v>25000</v>
      </c>
      <c r="P34" s="228">
        <f t="shared" ref="P34:P35" si="9">P13</f>
        <v>1</v>
      </c>
      <c r="Q34" s="230">
        <f t="shared" ref="Q34:Q35" si="10">SUM(P13*Q13)</f>
        <v>25000</v>
      </c>
    </row>
    <row r="35" spans="3:17" x14ac:dyDescent="0.3">
      <c r="C35" s="320" t="str">
        <f t="shared" si="0"/>
        <v>Installer</v>
      </c>
      <c r="D35" s="321"/>
      <c r="E35" s="321"/>
      <c r="F35" s="322"/>
      <c r="G35" s="326"/>
      <c r="H35" s="228">
        <f t="shared" si="1"/>
        <v>3</v>
      </c>
      <c r="I35" s="230">
        <f t="shared" si="2"/>
        <v>60000</v>
      </c>
      <c r="J35" s="228">
        <f t="shared" si="3"/>
        <v>3</v>
      </c>
      <c r="K35" s="230">
        <f t="shared" si="4"/>
        <v>60000</v>
      </c>
      <c r="L35" s="228">
        <f t="shared" si="5"/>
        <v>4</v>
      </c>
      <c r="M35" s="230">
        <f t="shared" si="6"/>
        <v>80000</v>
      </c>
      <c r="N35" s="228">
        <f t="shared" si="7"/>
        <v>4</v>
      </c>
      <c r="O35" s="230">
        <f t="shared" si="8"/>
        <v>80000</v>
      </c>
      <c r="P35" s="228">
        <f t="shared" si="9"/>
        <v>5</v>
      </c>
      <c r="Q35" s="230">
        <f t="shared" si="10"/>
        <v>100000</v>
      </c>
    </row>
    <row r="36" spans="3:17" x14ac:dyDescent="0.3">
      <c r="C36" s="320"/>
      <c r="D36" s="321"/>
      <c r="E36" s="321"/>
      <c r="F36" s="322"/>
      <c r="G36" s="326"/>
      <c r="H36" s="228"/>
      <c r="I36" s="230"/>
      <c r="J36" s="228"/>
      <c r="K36" s="230"/>
      <c r="L36" s="228"/>
      <c r="M36" s="230"/>
      <c r="N36" s="228"/>
      <c r="O36" s="230"/>
      <c r="P36" s="228"/>
      <c r="Q36" s="230"/>
    </row>
    <row r="37" spans="3:17" x14ac:dyDescent="0.3">
      <c r="C37" s="320"/>
      <c r="D37" s="321"/>
      <c r="E37" s="321"/>
      <c r="F37" s="322"/>
      <c r="H37" s="228"/>
      <c r="I37" s="230"/>
      <c r="J37" s="228"/>
      <c r="K37" s="230"/>
      <c r="L37" s="228"/>
      <c r="M37" s="230"/>
      <c r="N37" s="228"/>
      <c r="O37" s="230"/>
      <c r="P37" s="228"/>
      <c r="Q37" s="230"/>
    </row>
    <row r="38" spans="3:17" x14ac:dyDescent="0.3">
      <c r="C38" s="320"/>
      <c r="D38" s="321"/>
      <c r="E38" s="321"/>
      <c r="F38" s="322"/>
      <c r="H38" s="228"/>
      <c r="I38" s="230"/>
      <c r="J38" s="228"/>
      <c r="K38" s="230"/>
      <c r="L38" s="228"/>
      <c r="M38" s="230"/>
      <c r="N38" s="228"/>
      <c r="O38" s="230"/>
      <c r="P38" s="228"/>
      <c r="Q38" s="230"/>
    </row>
    <row r="39" spans="3:17" x14ac:dyDescent="0.3">
      <c r="C39" s="320"/>
      <c r="D39" s="321"/>
      <c r="E39" s="321"/>
      <c r="F39" s="322"/>
      <c r="H39" s="228"/>
      <c r="I39" s="230"/>
      <c r="J39" s="228"/>
      <c r="K39" s="230"/>
      <c r="L39" s="228"/>
      <c r="M39" s="230"/>
      <c r="N39" s="228"/>
      <c r="O39" s="230"/>
      <c r="P39" s="228"/>
      <c r="Q39" s="230"/>
    </row>
    <row r="40" spans="3:17" x14ac:dyDescent="0.3">
      <c r="C40" s="320"/>
      <c r="D40" s="321"/>
      <c r="E40" s="321"/>
      <c r="F40" s="322"/>
      <c r="H40" s="228"/>
      <c r="I40" s="230"/>
      <c r="J40" s="228"/>
      <c r="K40" s="230"/>
      <c r="L40" s="228"/>
      <c r="M40" s="230"/>
      <c r="N40" s="228"/>
      <c r="O40" s="230"/>
      <c r="P40" s="228"/>
      <c r="Q40" s="230"/>
    </row>
    <row r="41" spans="3:17" x14ac:dyDescent="0.3">
      <c r="C41" s="320"/>
      <c r="D41" s="321"/>
      <c r="E41" s="321"/>
      <c r="F41" s="322"/>
      <c r="H41" s="228"/>
      <c r="I41" s="229"/>
      <c r="J41" s="228"/>
      <c r="K41" s="230"/>
      <c r="L41" s="229"/>
      <c r="M41" s="229"/>
      <c r="N41" s="228"/>
      <c r="O41" s="230"/>
      <c r="P41" s="229"/>
      <c r="Q41" s="230"/>
    </row>
    <row r="42" spans="3:17" x14ac:dyDescent="0.3">
      <c r="C42" s="383"/>
      <c r="D42" s="384"/>
      <c r="E42" s="384"/>
      <c r="F42" s="385"/>
      <c r="H42" s="228"/>
      <c r="I42" s="229"/>
      <c r="J42" s="228"/>
      <c r="K42" s="230"/>
      <c r="L42" s="229"/>
      <c r="M42" s="229"/>
      <c r="N42" s="228"/>
      <c r="O42" s="230"/>
      <c r="P42" s="229"/>
      <c r="Q42" s="230"/>
    </row>
    <row r="43" spans="3:17" x14ac:dyDescent="0.3">
      <c r="C43" s="383"/>
      <c r="D43" s="384"/>
      <c r="E43" s="384"/>
      <c r="F43" s="385"/>
      <c r="H43" s="228"/>
      <c r="I43" s="229"/>
      <c r="J43" s="228"/>
      <c r="K43" s="230"/>
      <c r="L43" s="229"/>
      <c r="M43" s="229"/>
      <c r="N43" s="228"/>
      <c r="O43" s="230"/>
      <c r="P43" s="229"/>
      <c r="Q43" s="230"/>
    </row>
    <row r="44" spans="3:17" x14ac:dyDescent="0.3">
      <c r="C44" s="383"/>
      <c r="D44" s="384"/>
      <c r="E44" s="384"/>
      <c r="F44" s="385"/>
      <c r="H44" s="228"/>
      <c r="I44" s="229"/>
      <c r="J44" s="228"/>
      <c r="K44" s="230"/>
      <c r="L44" s="229"/>
      <c r="M44" s="229"/>
      <c r="N44" s="228"/>
      <c r="O44" s="230"/>
      <c r="P44" s="229"/>
      <c r="Q44" s="230"/>
    </row>
    <row r="45" spans="3:17" x14ac:dyDescent="0.3">
      <c r="C45" s="383"/>
      <c r="D45" s="384"/>
      <c r="E45" s="384"/>
      <c r="F45" s="385"/>
      <c r="H45" s="228"/>
      <c r="I45" s="229"/>
      <c r="J45" s="228"/>
      <c r="K45" s="230"/>
      <c r="L45" s="229"/>
      <c r="M45" s="229"/>
      <c r="N45" s="228"/>
      <c r="O45" s="230"/>
      <c r="P45" s="229"/>
      <c r="Q45" s="230"/>
    </row>
    <row r="46" spans="3:17" x14ac:dyDescent="0.3">
      <c r="C46" s="383"/>
      <c r="D46" s="384"/>
      <c r="E46" s="384"/>
      <c r="F46" s="385"/>
      <c r="H46" s="228"/>
      <c r="I46" s="229"/>
      <c r="J46" s="228"/>
      <c r="K46" s="230"/>
      <c r="L46" s="229"/>
      <c r="M46" s="229"/>
      <c r="N46" s="228"/>
      <c r="O46" s="230"/>
      <c r="P46" s="229"/>
      <c r="Q46" s="230"/>
    </row>
    <row r="47" spans="3:17" x14ac:dyDescent="0.3">
      <c r="C47" s="383"/>
      <c r="D47" s="384"/>
      <c r="E47" s="384"/>
      <c r="F47" s="385"/>
      <c r="H47" s="228"/>
      <c r="I47" s="229"/>
      <c r="J47" s="228"/>
      <c r="K47" s="230"/>
      <c r="L47" s="229"/>
      <c r="M47" s="229"/>
      <c r="N47" s="228"/>
      <c r="O47" s="230"/>
      <c r="P47" s="229"/>
      <c r="Q47" s="230"/>
    </row>
    <row r="48" spans="3:17" x14ac:dyDescent="0.3">
      <c r="C48" s="383"/>
      <c r="D48" s="384"/>
      <c r="E48" s="384"/>
      <c r="F48" s="385"/>
      <c r="H48" s="228"/>
      <c r="I48" s="229"/>
      <c r="J48" s="228"/>
      <c r="K48" s="230"/>
      <c r="L48" s="229"/>
      <c r="M48" s="229"/>
      <c r="N48" s="228"/>
      <c r="O48" s="230"/>
      <c r="P48" s="229"/>
      <c r="Q48" s="230"/>
    </row>
    <row r="49" spans="3:17" x14ac:dyDescent="0.3">
      <c r="C49" s="373"/>
      <c r="D49" s="374"/>
      <c r="E49" s="374"/>
      <c r="F49" s="375"/>
      <c r="H49" s="228"/>
      <c r="I49" s="229"/>
      <c r="J49" s="228"/>
      <c r="K49" s="230"/>
      <c r="L49" s="229"/>
      <c r="M49" s="229"/>
      <c r="N49" s="228"/>
      <c r="O49" s="230"/>
      <c r="P49" s="229"/>
      <c r="Q49" s="230"/>
    </row>
  </sheetData>
  <mergeCells count="29">
    <mergeCell ref="L29:M29"/>
    <mergeCell ref="N29:O29"/>
    <mergeCell ref="P29:Q29"/>
    <mergeCell ref="C48:F48"/>
    <mergeCell ref="C42:F42"/>
    <mergeCell ref="C43:F43"/>
    <mergeCell ref="H29:I29"/>
    <mergeCell ref="J29:K29"/>
    <mergeCell ref="C8:F8"/>
    <mergeCell ref="C46:F46"/>
    <mergeCell ref="C44:F44"/>
    <mergeCell ref="C45:F45"/>
    <mergeCell ref="C47:F47"/>
    <mergeCell ref="N8:O8"/>
    <mergeCell ref="L8:M8"/>
    <mergeCell ref="J8:K8"/>
    <mergeCell ref="C49:F4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P8:Q8"/>
    <mergeCell ref="C23:F23"/>
    <mergeCell ref="H8:I8"/>
  </mergeCells>
  <phoneticPr fontId="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808-8A50-40B6-9620-FEAE4C53CF38}">
  <sheetPr codeName="Sheet39"/>
  <dimension ref="C2:Q46"/>
  <sheetViews>
    <sheetView showGridLines="0" workbookViewId="0">
      <selection activeCell="R46" sqref="R46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376" t="s">
        <v>218</v>
      </c>
      <c r="D2" s="377"/>
      <c r="E2" s="377"/>
      <c r="F2" s="377"/>
      <c r="G2" s="377"/>
      <c r="H2" s="377"/>
      <c r="I2" s="378"/>
    </row>
    <row r="6" spans="3:17" x14ac:dyDescent="0.3">
      <c r="H6" s="349" t="s">
        <v>272</v>
      </c>
      <c r="I6" s="349"/>
      <c r="J6" s="349"/>
      <c r="K6" s="349"/>
      <c r="L6" s="349"/>
      <c r="M6" s="349"/>
      <c r="N6" s="349"/>
      <c r="O6" s="349"/>
      <c r="P6" s="349"/>
      <c r="Q6" s="349"/>
    </row>
    <row r="7" spans="3:17" x14ac:dyDescent="0.3">
      <c r="H7" s="389">
        <v>2023</v>
      </c>
      <c r="I7" s="389"/>
      <c r="J7" s="389">
        <v>2024</v>
      </c>
      <c r="K7" s="389"/>
      <c r="L7" s="389">
        <v>2025</v>
      </c>
      <c r="M7" s="389"/>
      <c r="N7" s="389">
        <v>2026</v>
      </c>
      <c r="O7" s="389"/>
      <c r="P7" s="389">
        <v>2027</v>
      </c>
      <c r="Q7" s="389"/>
    </row>
    <row r="8" spans="3:17" x14ac:dyDescent="0.3">
      <c r="C8" s="386" t="s">
        <v>289</v>
      </c>
      <c r="D8" s="387"/>
      <c r="E8" s="387"/>
      <c r="F8" s="248"/>
      <c r="H8" s="388"/>
      <c r="I8" s="388"/>
      <c r="J8" s="388">
        <f>(J24-H24)/J24</f>
        <v>0.1111111111111111</v>
      </c>
      <c r="K8" s="388"/>
      <c r="L8" s="388">
        <f t="shared" ref="L8" si="0">(L24-J24)/L24</f>
        <v>4.2553191489361701E-2</v>
      </c>
      <c r="M8" s="388"/>
      <c r="N8" s="388">
        <f t="shared" ref="N8" si="1">(N24-L24)/N24</f>
        <v>2.0833333333333332E-2</v>
      </c>
      <c r="O8" s="388"/>
      <c r="P8" s="388">
        <f t="shared" ref="P8" si="2">(P24-N24)/P24</f>
        <v>0.04</v>
      </c>
      <c r="Q8" s="388"/>
    </row>
    <row r="9" spans="3:17" x14ac:dyDescent="0.3">
      <c r="C9" s="383" t="s">
        <v>289</v>
      </c>
      <c r="D9" s="384"/>
      <c r="E9" s="384"/>
      <c r="F9" s="249"/>
      <c r="H9" s="388"/>
      <c r="I9" s="388"/>
      <c r="J9" s="388">
        <f t="shared" ref="J9:J13" si="3">(J25-H25)/J25</f>
        <v>0.1111111111111111</v>
      </c>
      <c r="K9" s="388"/>
      <c r="L9" s="388">
        <f t="shared" ref="L9:L13" si="4">(L25-J25)/L25</f>
        <v>4.2553191489361701E-2</v>
      </c>
      <c r="M9" s="388"/>
      <c r="N9" s="388">
        <f t="shared" ref="N9:N13" si="5">(N25-L25)/N25</f>
        <v>2.0833333333333332E-2</v>
      </c>
      <c r="O9" s="388"/>
      <c r="P9" s="388">
        <f t="shared" ref="P9:P13" si="6">(P25-N25)/P25</f>
        <v>7.6923076923076927E-2</v>
      </c>
      <c r="Q9" s="388"/>
    </row>
    <row r="10" spans="3:17" x14ac:dyDescent="0.3">
      <c r="C10" s="383" t="s">
        <v>289</v>
      </c>
      <c r="D10" s="384"/>
      <c r="E10" s="384"/>
      <c r="F10" s="249"/>
      <c r="H10" s="388"/>
      <c r="I10" s="388"/>
      <c r="J10" s="388">
        <f t="shared" si="3"/>
        <v>3.8095238095238099E-2</v>
      </c>
      <c r="K10" s="388"/>
      <c r="L10" s="388">
        <f t="shared" si="4"/>
        <v>0.11016949152542373</v>
      </c>
      <c r="M10" s="388"/>
      <c r="N10" s="388">
        <f t="shared" si="5"/>
        <v>2.0746887966804978E-2</v>
      </c>
      <c r="O10" s="388"/>
      <c r="P10" s="388">
        <f t="shared" si="6"/>
        <v>7.662835249042145E-2</v>
      </c>
      <c r="Q10" s="388"/>
    </row>
    <row r="11" spans="3:17" x14ac:dyDescent="0.3">
      <c r="C11" s="383" t="s">
        <v>289</v>
      </c>
      <c r="D11" s="384"/>
      <c r="E11" s="384"/>
      <c r="F11" s="249"/>
      <c r="H11" s="388"/>
      <c r="I11" s="388"/>
      <c r="J11" s="388">
        <f t="shared" si="3"/>
        <v>3.3333333333333333E-2</v>
      </c>
      <c r="K11" s="388"/>
      <c r="L11" s="388">
        <f t="shared" si="4"/>
        <v>0.11392405063291139</v>
      </c>
      <c r="M11" s="388"/>
      <c r="N11" s="388">
        <f t="shared" si="5"/>
        <v>2.0661157024793389E-2</v>
      </c>
      <c r="O11" s="388"/>
      <c r="P11" s="388">
        <f t="shared" si="6"/>
        <v>7.6335877862595422E-2</v>
      </c>
      <c r="Q11" s="388"/>
    </row>
    <row r="12" spans="3:17" x14ac:dyDescent="0.3">
      <c r="C12" s="383" t="s">
        <v>289</v>
      </c>
      <c r="D12" s="384"/>
      <c r="E12" s="384"/>
      <c r="F12" s="249"/>
      <c r="H12" s="388"/>
      <c r="I12" s="388"/>
      <c r="J12" s="388">
        <f t="shared" si="3"/>
        <v>2.8571428571428571E-2</v>
      </c>
      <c r="K12" s="388"/>
      <c r="L12" s="388">
        <f t="shared" si="4"/>
        <v>0.11764705882352941</v>
      </c>
      <c r="M12" s="388"/>
      <c r="N12" s="388">
        <f t="shared" si="5"/>
        <v>2.0576131687242798E-2</v>
      </c>
      <c r="O12" s="388"/>
      <c r="P12" s="388">
        <f t="shared" si="6"/>
        <v>7.6045627376425853E-2</v>
      </c>
      <c r="Q12" s="388"/>
    </row>
    <row r="13" spans="3:17" x14ac:dyDescent="0.3">
      <c r="C13" s="392" t="s">
        <v>289</v>
      </c>
      <c r="D13" s="393"/>
      <c r="E13" s="393"/>
      <c r="F13" s="250"/>
      <c r="H13" s="388"/>
      <c r="I13" s="388"/>
      <c r="J13" s="388">
        <f t="shared" si="3"/>
        <v>2.3809523809523808E-2</v>
      </c>
      <c r="K13" s="388"/>
      <c r="L13" s="388">
        <f t="shared" si="4"/>
        <v>0.12133891213389121</v>
      </c>
      <c r="M13" s="388"/>
      <c r="N13" s="388">
        <f t="shared" si="5"/>
        <v>2.0491803278688523E-2</v>
      </c>
      <c r="O13" s="388"/>
      <c r="P13" s="388">
        <f t="shared" si="6"/>
        <v>7.575757575757576E-2</v>
      </c>
      <c r="Q13" s="388"/>
    </row>
    <row r="15" spans="3:17" x14ac:dyDescent="0.3">
      <c r="H15" s="390" t="s">
        <v>290</v>
      </c>
      <c r="I15" s="390"/>
      <c r="J15" s="390"/>
      <c r="K15" s="390"/>
      <c r="L15" s="390"/>
      <c r="M15" s="390"/>
      <c r="N15" s="390"/>
      <c r="O15" s="390"/>
      <c r="P15" s="390"/>
      <c r="Q15" s="390"/>
    </row>
    <row r="16" spans="3:17" x14ac:dyDescent="0.3">
      <c r="C16" s="386" t="s">
        <v>289</v>
      </c>
      <c r="D16" s="387"/>
      <c r="E16" s="387"/>
      <c r="F16" s="248"/>
      <c r="H16" s="391">
        <v>5</v>
      </c>
      <c r="I16" s="391"/>
      <c r="J16" s="391">
        <v>9</v>
      </c>
      <c r="K16" s="391"/>
      <c r="L16" s="391">
        <v>10</v>
      </c>
      <c r="M16" s="391"/>
      <c r="N16" s="391">
        <v>12</v>
      </c>
      <c r="O16" s="391"/>
      <c r="P16" s="391">
        <v>15</v>
      </c>
      <c r="Q16" s="391"/>
    </row>
    <row r="17" spans="3:17" x14ac:dyDescent="0.3">
      <c r="C17" s="383" t="s">
        <v>289</v>
      </c>
      <c r="D17" s="384"/>
      <c r="E17" s="384"/>
      <c r="F17" s="249"/>
      <c r="H17" s="391">
        <v>6</v>
      </c>
      <c r="I17" s="391"/>
      <c r="J17" s="391">
        <v>9</v>
      </c>
      <c r="K17" s="391"/>
      <c r="L17" s="391">
        <v>12</v>
      </c>
      <c r="M17" s="391"/>
      <c r="N17" s="391">
        <v>12</v>
      </c>
      <c r="O17" s="391"/>
      <c r="P17" s="391">
        <v>16</v>
      </c>
      <c r="Q17" s="391"/>
    </row>
    <row r="18" spans="3:17" x14ac:dyDescent="0.3">
      <c r="C18" s="383" t="s">
        <v>289</v>
      </c>
      <c r="D18" s="384"/>
      <c r="E18" s="384"/>
      <c r="F18" s="249"/>
      <c r="H18" s="391">
        <v>5</v>
      </c>
      <c r="I18" s="391"/>
      <c r="J18" s="391">
        <v>9</v>
      </c>
      <c r="K18" s="391"/>
      <c r="L18" s="391">
        <v>12</v>
      </c>
      <c r="M18" s="391"/>
      <c r="N18" s="391">
        <v>12</v>
      </c>
      <c r="O18" s="391"/>
      <c r="P18" s="391">
        <v>17</v>
      </c>
      <c r="Q18" s="391"/>
    </row>
    <row r="19" spans="3:17" x14ac:dyDescent="0.3">
      <c r="C19" s="383" t="s">
        <v>289</v>
      </c>
      <c r="D19" s="384"/>
      <c r="E19" s="384"/>
      <c r="F19" s="249"/>
      <c r="H19" s="391">
        <v>5</v>
      </c>
      <c r="I19" s="391"/>
      <c r="J19" s="391">
        <v>9</v>
      </c>
      <c r="K19" s="391"/>
      <c r="L19" s="391">
        <v>12</v>
      </c>
      <c r="M19" s="391"/>
      <c r="N19" s="391">
        <v>15</v>
      </c>
      <c r="O19" s="391"/>
      <c r="P19" s="391">
        <v>15</v>
      </c>
      <c r="Q19" s="391"/>
    </row>
    <row r="20" spans="3:17" x14ac:dyDescent="0.3">
      <c r="C20" s="383" t="s">
        <v>289</v>
      </c>
      <c r="D20" s="384"/>
      <c r="E20" s="384"/>
      <c r="F20" s="249"/>
      <c r="H20" s="391">
        <v>7</v>
      </c>
      <c r="I20" s="391"/>
      <c r="J20" s="391">
        <v>9</v>
      </c>
      <c r="K20" s="391"/>
      <c r="L20" s="391">
        <v>12</v>
      </c>
      <c r="M20" s="391"/>
      <c r="N20" s="391">
        <v>15</v>
      </c>
      <c r="O20" s="391"/>
      <c r="P20" s="391">
        <v>15</v>
      </c>
      <c r="Q20" s="391"/>
    </row>
    <row r="21" spans="3:17" x14ac:dyDescent="0.3">
      <c r="C21" s="392" t="s">
        <v>289</v>
      </c>
      <c r="D21" s="393"/>
      <c r="E21" s="393"/>
      <c r="F21" s="250"/>
      <c r="H21" s="391">
        <v>4</v>
      </c>
      <c r="I21" s="391"/>
      <c r="J21" s="391">
        <v>9</v>
      </c>
      <c r="K21" s="391"/>
      <c r="L21" s="391">
        <v>12</v>
      </c>
      <c r="M21" s="391"/>
      <c r="N21" s="391">
        <v>15</v>
      </c>
      <c r="O21" s="391"/>
      <c r="P21" s="391">
        <v>19</v>
      </c>
      <c r="Q21" s="391"/>
    </row>
    <row r="23" spans="3:17" x14ac:dyDescent="0.3">
      <c r="H23" s="390" t="s">
        <v>291</v>
      </c>
      <c r="I23" s="390"/>
      <c r="J23" s="390"/>
      <c r="K23" s="390"/>
      <c r="L23" s="390"/>
      <c r="M23" s="390"/>
      <c r="N23" s="390"/>
      <c r="O23" s="390"/>
      <c r="P23" s="390"/>
      <c r="Q23" s="390"/>
    </row>
    <row r="24" spans="3:17" x14ac:dyDescent="0.3">
      <c r="C24" s="386" t="s">
        <v>289</v>
      </c>
      <c r="D24" s="387"/>
      <c r="E24" s="387"/>
      <c r="F24" s="248"/>
      <c r="H24" s="391">
        <v>200</v>
      </c>
      <c r="I24" s="391"/>
      <c r="J24" s="391">
        <v>225</v>
      </c>
      <c r="K24" s="391"/>
      <c r="L24" s="391">
        <v>235</v>
      </c>
      <c r="M24" s="391"/>
      <c r="N24" s="391">
        <v>240</v>
      </c>
      <c r="O24" s="391"/>
      <c r="P24" s="391">
        <v>250</v>
      </c>
      <c r="Q24" s="391"/>
    </row>
    <row r="25" spans="3:17" x14ac:dyDescent="0.3">
      <c r="C25" s="383" t="s">
        <v>289</v>
      </c>
      <c r="D25" s="384"/>
      <c r="E25" s="384"/>
      <c r="F25" s="249"/>
      <c r="H25" s="391">
        <v>200</v>
      </c>
      <c r="I25" s="391"/>
      <c r="J25" s="391">
        <v>225</v>
      </c>
      <c r="K25" s="391"/>
      <c r="L25" s="391">
        <v>235</v>
      </c>
      <c r="M25" s="391"/>
      <c r="N25" s="391">
        <v>240</v>
      </c>
      <c r="O25" s="391"/>
      <c r="P25" s="391">
        <v>260</v>
      </c>
      <c r="Q25" s="391"/>
    </row>
    <row r="26" spans="3:17" x14ac:dyDescent="0.3">
      <c r="C26" s="383" t="s">
        <v>289</v>
      </c>
      <c r="D26" s="384"/>
      <c r="E26" s="384"/>
      <c r="F26" s="249"/>
      <c r="H26" s="391">
        <v>202</v>
      </c>
      <c r="I26" s="391"/>
      <c r="J26" s="391">
        <v>210</v>
      </c>
      <c r="K26" s="391"/>
      <c r="L26" s="391">
        <v>236</v>
      </c>
      <c r="M26" s="391"/>
      <c r="N26" s="391">
        <v>241</v>
      </c>
      <c r="O26" s="391"/>
      <c r="P26" s="391">
        <v>261</v>
      </c>
      <c r="Q26" s="391"/>
    </row>
    <row r="27" spans="3:17" x14ac:dyDescent="0.3">
      <c r="C27" s="383" t="s">
        <v>289</v>
      </c>
      <c r="D27" s="384"/>
      <c r="E27" s="384"/>
      <c r="F27" s="249"/>
      <c r="H27" s="391">
        <v>203</v>
      </c>
      <c r="I27" s="391"/>
      <c r="J27" s="391">
        <v>210</v>
      </c>
      <c r="K27" s="391"/>
      <c r="L27" s="391">
        <v>237</v>
      </c>
      <c r="M27" s="391"/>
      <c r="N27" s="391">
        <v>242</v>
      </c>
      <c r="O27" s="391"/>
      <c r="P27" s="391">
        <v>262</v>
      </c>
      <c r="Q27" s="391"/>
    </row>
    <row r="28" spans="3:17" x14ac:dyDescent="0.3">
      <c r="C28" s="383" t="s">
        <v>289</v>
      </c>
      <c r="D28" s="384"/>
      <c r="E28" s="384"/>
      <c r="F28" s="249"/>
      <c r="H28" s="391">
        <v>204</v>
      </c>
      <c r="I28" s="391"/>
      <c r="J28" s="391">
        <v>210</v>
      </c>
      <c r="K28" s="391"/>
      <c r="L28" s="391">
        <v>238</v>
      </c>
      <c r="M28" s="391"/>
      <c r="N28" s="391">
        <v>243</v>
      </c>
      <c r="O28" s="391"/>
      <c r="P28" s="391">
        <v>263</v>
      </c>
      <c r="Q28" s="391"/>
    </row>
    <row r="29" spans="3:17" x14ac:dyDescent="0.3">
      <c r="C29" s="392" t="s">
        <v>289</v>
      </c>
      <c r="D29" s="393"/>
      <c r="E29" s="393"/>
      <c r="F29" s="250"/>
      <c r="H29" s="391">
        <v>205</v>
      </c>
      <c r="I29" s="391"/>
      <c r="J29" s="391">
        <v>210</v>
      </c>
      <c r="K29" s="391"/>
      <c r="L29" s="391">
        <v>239</v>
      </c>
      <c r="M29" s="391"/>
      <c r="N29" s="391">
        <v>244</v>
      </c>
      <c r="O29" s="391"/>
      <c r="P29" s="391">
        <v>264</v>
      </c>
      <c r="Q29" s="391"/>
    </row>
    <row r="31" spans="3:17" x14ac:dyDescent="0.3">
      <c r="H31" s="390" t="s">
        <v>292</v>
      </c>
      <c r="I31" s="390"/>
      <c r="J31" s="390"/>
      <c r="K31" s="390"/>
      <c r="L31" s="390"/>
      <c r="M31" s="390"/>
      <c r="N31" s="390"/>
      <c r="O31" s="390"/>
      <c r="P31" s="390"/>
      <c r="Q31" s="390"/>
    </row>
    <row r="32" spans="3:17" x14ac:dyDescent="0.3">
      <c r="C32" s="386" t="s">
        <v>289</v>
      </c>
      <c r="D32" s="387"/>
      <c r="E32" s="387"/>
      <c r="F32" s="248"/>
      <c r="H32" s="391">
        <v>345</v>
      </c>
      <c r="I32" s="391"/>
      <c r="J32" s="391">
        <v>355</v>
      </c>
      <c r="K32" s="391"/>
      <c r="L32" s="391">
        <v>360</v>
      </c>
      <c r="M32" s="391"/>
      <c r="N32" s="391">
        <v>370</v>
      </c>
      <c r="O32" s="391"/>
      <c r="P32" s="391">
        <v>400</v>
      </c>
      <c r="Q32" s="391"/>
    </row>
    <row r="33" spans="3:17" x14ac:dyDescent="0.3">
      <c r="C33" s="383" t="s">
        <v>289</v>
      </c>
      <c r="D33" s="384"/>
      <c r="E33" s="384"/>
      <c r="F33" s="249"/>
      <c r="H33" s="391">
        <v>300</v>
      </c>
      <c r="I33" s="391"/>
      <c r="J33" s="391">
        <v>300</v>
      </c>
      <c r="K33" s="391"/>
      <c r="L33" s="391">
        <v>310</v>
      </c>
      <c r="M33" s="391"/>
      <c r="N33" s="391">
        <v>340</v>
      </c>
      <c r="O33" s="391"/>
      <c r="P33" s="391">
        <v>400</v>
      </c>
      <c r="Q33" s="391"/>
    </row>
    <row r="34" spans="3:17" x14ac:dyDescent="0.3">
      <c r="C34" s="383" t="s">
        <v>289</v>
      </c>
      <c r="D34" s="384"/>
      <c r="E34" s="384"/>
      <c r="F34" s="249"/>
      <c r="H34" s="391">
        <v>280</v>
      </c>
      <c r="I34" s="391"/>
      <c r="J34" s="391">
        <v>281</v>
      </c>
      <c r="K34" s="391"/>
      <c r="L34" s="391">
        <v>282</v>
      </c>
      <c r="M34" s="391"/>
      <c r="N34" s="391">
        <v>290</v>
      </c>
      <c r="O34" s="391"/>
      <c r="P34" s="391">
        <v>320</v>
      </c>
      <c r="Q34" s="391"/>
    </row>
    <row r="35" spans="3:17" x14ac:dyDescent="0.3">
      <c r="C35" s="383" t="s">
        <v>289</v>
      </c>
      <c r="D35" s="384"/>
      <c r="E35" s="384"/>
      <c r="F35" s="249"/>
      <c r="H35" s="391">
        <v>350</v>
      </c>
      <c r="I35" s="391"/>
      <c r="J35" s="391">
        <v>350</v>
      </c>
      <c r="K35" s="391"/>
      <c r="L35" s="391">
        <v>360</v>
      </c>
      <c r="M35" s="391"/>
      <c r="N35" s="391">
        <v>370</v>
      </c>
      <c r="O35" s="391"/>
      <c r="P35" s="391">
        <v>400</v>
      </c>
      <c r="Q35" s="391"/>
    </row>
    <row r="36" spans="3:17" x14ac:dyDescent="0.3">
      <c r="C36" s="383" t="s">
        <v>289</v>
      </c>
      <c r="D36" s="384"/>
      <c r="E36" s="384"/>
      <c r="F36" s="249"/>
      <c r="H36" s="391">
        <v>345</v>
      </c>
      <c r="I36" s="391"/>
      <c r="J36" s="391">
        <v>355</v>
      </c>
      <c r="K36" s="391"/>
      <c r="L36" s="391">
        <v>360</v>
      </c>
      <c r="M36" s="391"/>
      <c r="N36" s="391">
        <v>370</v>
      </c>
      <c r="O36" s="391"/>
      <c r="P36" s="391">
        <v>400</v>
      </c>
      <c r="Q36" s="391"/>
    </row>
    <row r="37" spans="3:17" x14ac:dyDescent="0.3">
      <c r="C37" s="392" t="s">
        <v>289</v>
      </c>
      <c r="D37" s="393"/>
      <c r="E37" s="393"/>
      <c r="F37" s="250"/>
      <c r="H37" s="391">
        <v>345</v>
      </c>
      <c r="I37" s="391"/>
      <c r="J37" s="391">
        <v>355</v>
      </c>
      <c r="K37" s="391"/>
      <c r="L37" s="391">
        <v>360</v>
      </c>
      <c r="M37" s="391"/>
      <c r="N37" s="391">
        <v>370</v>
      </c>
      <c r="O37" s="391"/>
      <c r="P37" s="391">
        <v>400</v>
      </c>
      <c r="Q37" s="391"/>
    </row>
    <row r="38" spans="3:17" x14ac:dyDescent="0.3">
      <c r="H38" s="349" t="s">
        <v>72</v>
      </c>
      <c r="I38" s="349"/>
      <c r="J38" s="349"/>
      <c r="K38" s="349"/>
      <c r="L38" s="349"/>
      <c r="M38" s="349"/>
      <c r="N38" s="349"/>
      <c r="O38" s="349"/>
      <c r="P38" s="349"/>
      <c r="Q38" s="349"/>
    </row>
    <row r="39" spans="3:17" x14ac:dyDescent="0.3">
      <c r="H39" s="394">
        <v>2023</v>
      </c>
      <c r="I39" s="394"/>
      <c r="J39" s="394">
        <v>2024</v>
      </c>
      <c r="K39" s="394"/>
      <c r="L39" s="394">
        <v>2025</v>
      </c>
      <c r="M39" s="394"/>
      <c r="N39" s="394">
        <v>2026</v>
      </c>
      <c r="O39" s="394"/>
      <c r="P39" s="394">
        <v>2027</v>
      </c>
      <c r="Q39" s="394"/>
    </row>
    <row r="40" spans="3:17" x14ac:dyDescent="0.3">
      <c r="C40" s="386" t="s">
        <v>289</v>
      </c>
      <c r="D40" s="387"/>
      <c r="E40" s="387"/>
      <c r="F40" s="248"/>
      <c r="H40" s="395">
        <f>(H16*H24*H32)</f>
        <v>345000</v>
      </c>
      <c r="I40" s="395"/>
      <c r="J40" s="395">
        <f t="shared" ref="J40" si="7">(J16*J24*J32)</f>
        <v>718875</v>
      </c>
      <c r="K40" s="395"/>
      <c r="L40" s="395">
        <f t="shared" ref="L40" si="8">(L16*L24*L32)</f>
        <v>846000</v>
      </c>
      <c r="M40" s="395"/>
      <c r="N40" s="395">
        <f t="shared" ref="N40" si="9">(N16*N24*N32)</f>
        <v>1065600</v>
      </c>
      <c r="O40" s="395"/>
      <c r="P40" s="395">
        <f t="shared" ref="P40" si="10">(P16*P24*P32)</f>
        <v>1500000</v>
      </c>
      <c r="Q40" s="395"/>
    </row>
    <row r="41" spans="3:17" x14ac:dyDescent="0.3">
      <c r="C41" s="383" t="s">
        <v>289</v>
      </c>
      <c r="D41" s="384"/>
      <c r="E41" s="384"/>
      <c r="F41" s="249"/>
      <c r="H41" s="395">
        <f t="shared" ref="H41:P45" si="11">(H17*H25*H33)</f>
        <v>360000</v>
      </c>
      <c r="I41" s="395"/>
      <c r="J41" s="395">
        <f t="shared" si="11"/>
        <v>607500</v>
      </c>
      <c r="K41" s="395"/>
      <c r="L41" s="395">
        <f t="shared" si="11"/>
        <v>874200</v>
      </c>
      <c r="M41" s="395"/>
      <c r="N41" s="395">
        <f t="shared" si="11"/>
        <v>979200</v>
      </c>
      <c r="O41" s="395"/>
      <c r="P41" s="395">
        <f t="shared" si="11"/>
        <v>1664000</v>
      </c>
      <c r="Q41" s="395"/>
    </row>
    <row r="42" spans="3:17" x14ac:dyDescent="0.3">
      <c r="C42" s="383" t="s">
        <v>289</v>
      </c>
      <c r="D42" s="384"/>
      <c r="E42" s="384"/>
      <c r="F42" s="249"/>
      <c r="H42" s="395">
        <f t="shared" si="11"/>
        <v>282800</v>
      </c>
      <c r="I42" s="395"/>
      <c r="J42" s="395">
        <f t="shared" si="11"/>
        <v>531090</v>
      </c>
      <c r="K42" s="395"/>
      <c r="L42" s="395">
        <f t="shared" si="11"/>
        <v>798624</v>
      </c>
      <c r="M42" s="395"/>
      <c r="N42" s="395">
        <f t="shared" si="11"/>
        <v>838680</v>
      </c>
      <c r="O42" s="395"/>
      <c r="P42" s="395">
        <f t="shared" si="11"/>
        <v>1419840</v>
      </c>
      <c r="Q42" s="395"/>
    </row>
    <row r="43" spans="3:17" x14ac:dyDescent="0.3">
      <c r="C43" s="383" t="s">
        <v>289</v>
      </c>
      <c r="D43" s="384"/>
      <c r="E43" s="384"/>
      <c r="F43" s="249"/>
      <c r="H43" s="395">
        <f t="shared" si="11"/>
        <v>355250</v>
      </c>
      <c r="I43" s="395"/>
      <c r="J43" s="395">
        <f t="shared" si="11"/>
        <v>661500</v>
      </c>
      <c r="K43" s="395"/>
      <c r="L43" s="395">
        <f t="shared" si="11"/>
        <v>1023840</v>
      </c>
      <c r="M43" s="395"/>
      <c r="N43" s="395">
        <f t="shared" si="11"/>
        <v>1343100</v>
      </c>
      <c r="O43" s="395"/>
      <c r="P43" s="395">
        <f t="shared" si="11"/>
        <v>1572000</v>
      </c>
      <c r="Q43" s="395"/>
    </row>
    <row r="44" spans="3:17" x14ac:dyDescent="0.3">
      <c r="C44" s="383" t="s">
        <v>289</v>
      </c>
      <c r="D44" s="384"/>
      <c r="E44" s="384"/>
      <c r="F44" s="249"/>
      <c r="H44" s="395">
        <f t="shared" si="11"/>
        <v>492660</v>
      </c>
      <c r="I44" s="395"/>
      <c r="J44" s="395">
        <f t="shared" si="11"/>
        <v>670950</v>
      </c>
      <c r="K44" s="395"/>
      <c r="L44" s="395">
        <f t="shared" si="11"/>
        <v>1028160</v>
      </c>
      <c r="M44" s="395"/>
      <c r="N44" s="395">
        <f t="shared" si="11"/>
        <v>1348650</v>
      </c>
      <c r="O44" s="395"/>
      <c r="P44" s="395">
        <f t="shared" si="11"/>
        <v>1578000</v>
      </c>
      <c r="Q44" s="395"/>
    </row>
    <row r="45" spans="3:17" x14ac:dyDescent="0.3">
      <c r="C45" s="392" t="s">
        <v>289</v>
      </c>
      <c r="D45" s="393"/>
      <c r="E45" s="393"/>
      <c r="F45" s="251"/>
      <c r="H45" s="395">
        <f t="shared" si="11"/>
        <v>282900</v>
      </c>
      <c r="I45" s="395"/>
      <c r="J45" s="395">
        <f t="shared" si="11"/>
        <v>670950</v>
      </c>
      <c r="K45" s="395"/>
      <c r="L45" s="395">
        <f t="shared" si="11"/>
        <v>1032480</v>
      </c>
      <c r="M45" s="395"/>
      <c r="N45" s="395">
        <f t="shared" si="11"/>
        <v>1354200</v>
      </c>
      <c r="O45" s="395"/>
      <c r="P45" s="395">
        <f t="shared" si="11"/>
        <v>2006400</v>
      </c>
      <c r="Q45" s="395"/>
    </row>
    <row r="46" spans="3:17" x14ac:dyDescent="0.3">
      <c r="C46" s="195"/>
      <c r="D46" s="195"/>
      <c r="E46" s="195"/>
      <c r="F46" s="195"/>
    </row>
  </sheetData>
  <mergeCells count="196">
    <mergeCell ref="C45:E45"/>
    <mergeCell ref="H45:I45"/>
    <mergeCell ref="J45:K45"/>
    <mergeCell ref="L45:M45"/>
    <mergeCell ref="N45:O45"/>
    <mergeCell ref="P45:Q45"/>
    <mergeCell ref="C44:E44"/>
    <mergeCell ref="H44:I44"/>
    <mergeCell ref="J44:K44"/>
    <mergeCell ref="L44:M44"/>
    <mergeCell ref="N44:O44"/>
    <mergeCell ref="P44:Q44"/>
    <mergeCell ref="C43:E43"/>
    <mergeCell ref="H43:I43"/>
    <mergeCell ref="J43:K43"/>
    <mergeCell ref="L43:M43"/>
    <mergeCell ref="N43:O43"/>
    <mergeCell ref="P43:Q43"/>
    <mergeCell ref="C42:E42"/>
    <mergeCell ref="H42:I42"/>
    <mergeCell ref="J42:K42"/>
    <mergeCell ref="L42:M42"/>
    <mergeCell ref="N42:O42"/>
    <mergeCell ref="P42:Q42"/>
    <mergeCell ref="C41:E41"/>
    <mergeCell ref="H41:I41"/>
    <mergeCell ref="J41:K41"/>
    <mergeCell ref="L41:M41"/>
    <mergeCell ref="N41:O41"/>
    <mergeCell ref="P41:Q41"/>
    <mergeCell ref="C40:E40"/>
    <mergeCell ref="H40:I40"/>
    <mergeCell ref="J40:K40"/>
    <mergeCell ref="L40:M40"/>
    <mergeCell ref="N40:O40"/>
    <mergeCell ref="P40:Q40"/>
    <mergeCell ref="H38:Q38"/>
    <mergeCell ref="H39:I39"/>
    <mergeCell ref="J39:K39"/>
    <mergeCell ref="L39:M39"/>
    <mergeCell ref="N39:O39"/>
    <mergeCell ref="P39:Q39"/>
    <mergeCell ref="C37:E37"/>
    <mergeCell ref="H37:I37"/>
    <mergeCell ref="J37:K37"/>
    <mergeCell ref="L37:M37"/>
    <mergeCell ref="N37:O37"/>
    <mergeCell ref="P37:Q37"/>
    <mergeCell ref="C36:E36"/>
    <mergeCell ref="H36:I36"/>
    <mergeCell ref="J36:K36"/>
    <mergeCell ref="L36:M36"/>
    <mergeCell ref="N36:O36"/>
    <mergeCell ref="P36:Q36"/>
    <mergeCell ref="C35:E35"/>
    <mergeCell ref="H35:I35"/>
    <mergeCell ref="J35:K35"/>
    <mergeCell ref="L35:M35"/>
    <mergeCell ref="N35:O35"/>
    <mergeCell ref="P35:Q35"/>
    <mergeCell ref="C34:E34"/>
    <mergeCell ref="H34:I34"/>
    <mergeCell ref="J34:K34"/>
    <mergeCell ref="L34:M34"/>
    <mergeCell ref="N34:O34"/>
    <mergeCell ref="P34:Q34"/>
    <mergeCell ref="C33:E33"/>
    <mergeCell ref="H33:I33"/>
    <mergeCell ref="J33:K33"/>
    <mergeCell ref="L33:M33"/>
    <mergeCell ref="N33:O33"/>
    <mergeCell ref="P33:Q33"/>
    <mergeCell ref="H31:Q31"/>
    <mergeCell ref="C32:E32"/>
    <mergeCell ref="H32:I32"/>
    <mergeCell ref="J32:K32"/>
    <mergeCell ref="L32:M32"/>
    <mergeCell ref="N32:O32"/>
    <mergeCell ref="P32:Q32"/>
    <mergeCell ref="C29:E29"/>
    <mergeCell ref="H29:I29"/>
    <mergeCell ref="J29:K29"/>
    <mergeCell ref="L29:M29"/>
    <mergeCell ref="N29:O29"/>
    <mergeCell ref="P29:Q29"/>
    <mergeCell ref="C28:E28"/>
    <mergeCell ref="H28:I28"/>
    <mergeCell ref="J28:K28"/>
    <mergeCell ref="L28:M28"/>
    <mergeCell ref="N28:O28"/>
    <mergeCell ref="P28:Q28"/>
    <mergeCell ref="C27:E27"/>
    <mergeCell ref="H27:I27"/>
    <mergeCell ref="J27:K27"/>
    <mergeCell ref="L27:M27"/>
    <mergeCell ref="N27:O27"/>
    <mergeCell ref="P27:Q27"/>
    <mergeCell ref="C26:E26"/>
    <mergeCell ref="H26:I26"/>
    <mergeCell ref="J26:K26"/>
    <mergeCell ref="L26:M26"/>
    <mergeCell ref="N26:O26"/>
    <mergeCell ref="P26:Q26"/>
    <mergeCell ref="C25:E25"/>
    <mergeCell ref="H25:I25"/>
    <mergeCell ref="J25:K25"/>
    <mergeCell ref="L25:M25"/>
    <mergeCell ref="N25:O25"/>
    <mergeCell ref="P25:Q25"/>
    <mergeCell ref="H23:Q23"/>
    <mergeCell ref="C24:E24"/>
    <mergeCell ref="H24:I24"/>
    <mergeCell ref="J24:K24"/>
    <mergeCell ref="L24:M24"/>
    <mergeCell ref="N24:O24"/>
    <mergeCell ref="P24:Q24"/>
    <mergeCell ref="C21:E21"/>
    <mergeCell ref="H21:I21"/>
    <mergeCell ref="J21:K21"/>
    <mergeCell ref="L21:M21"/>
    <mergeCell ref="N21:O21"/>
    <mergeCell ref="P21:Q21"/>
    <mergeCell ref="C20:E20"/>
    <mergeCell ref="H20:I20"/>
    <mergeCell ref="J20:K20"/>
    <mergeCell ref="L20:M20"/>
    <mergeCell ref="N20:O20"/>
    <mergeCell ref="P20:Q20"/>
    <mergeCell ref="C19:E19"/>
    <mergeCell ref="H19:I19"/>
    <mergeCell ref="J19:K19"/>
    <mergeCell ref="L19:M19"/>
    <mergeCell ref="N19:O19"/>
    <mergeCell ref="P19:Q19"/>
    <mergeCell ref="C18:E18"/>
    <mergeCell ref="H18:I18"/>
    <mergeCell ref="J18:K18"/>
    <mergeCell ref="L18:M18"/>
    <mergeCell ref="N18:O18"/>
    <mergeCell ref="P18:Q18"/>
    <mergeCell ref="C17:E17"/>
    <mergeCell ref="H17:I17"/>
    <mergeCell ref="J17:K17"/>
    <mergeCell ref="L17:M17"/>
    <mergeCell ref="N17:O17"/>
    <mergeCell ref="P17:Q17"/>
    <mergeCell ref="H15:Q15"/>
    <mergeCell ref="C16:E16"/>
    <mergeCell ref="H16:I16"/>
    <mergeCell ref="J16:K16"/>
    <mergeCell ref="L16:M16"/>
    <mergeCell ref="N16:O16"/>
    <mergeCell ref="P16:Q16"/>
    <mergeCell ref="C13:E13"/>
    <mergeCell ref="H13:I13"/>
    <mergeCell ref="J13:K13"/>
    <mergeCell ref="L13:M13"/>
    <mergeCell ref="N13:O13"/>
    <mergeCell ref="P13:Q13"/>
    <mergeCell ref="C12:E12"/>
    <mergeCell ref="H12:I12"/>
    <mergeCell ref="J12:K12"/>
    <mergeCell ref="L12:M12"/>
    <mergeCell ref="N12:O12"/>
    <mergeCell ref="P12:Q12"/>
    <mergeCell ref="C11:E11"/>
    <mergeCell ref="H11:I11"/>
    <mergeCell ref="J11:K11"/>
    <mergeCell ref="L11:M11"/>
    <mergeCell ref="N11:O11"/>
    <mergeCell ref="P11:Q11"/>
    <mergeCell ref="C10:E10"/>
    <mergeCell ref="H10:I10"/>
    <mergeCell ref="J10:K10"/>
    <mergeCell ref="L10:M10"/>
    <mergeCell ref="N10:O10"/>
    <mergeCell ref="P10:Q10"/>
    <mergeCell ref="C9:E9"/>
    <mergeCell ref="H9:I9"/>
    <mergeCell ref="J9:K9"/>
    <mergeCell ref="L9:M9"/>
    <mergeCell ref="N9:O9"/>
    <mergeCell ref="P9:Q9"/>
    <mergeCell ref="C2:I2"/>
    <mergeCell ref="C8:E8"/>
    <mergeCell ref="H8:I8"/>
    <mergeCell ref="J8:K8"/>
    <mergeCell ref="L8:M8"/>
    <mergeCell ref="N8:O8"/>
    <mergeCell ref="P8:Q8"/>
    <mergeCell ref="H6:Q6"/>
    <mergeCell ref="H7:I7"/>
    <mergeCell ref="J7:K7"/>
    <mergeCell ref="L7:M7"/>
    <mergeCell ref="N7:O7"/>
    <mergeCell ref="P7:Q7"/>
  </mergeCells>
  <phoneticPr fontId="7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30"/>
  <sheetViews>
    <sheetView workbookViewId="0">
      <selection activeCell="Q30" sqref="Q30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1" max="21" width="9.88671875" bestFit="1" customWidth="1"/>
  </cols>
  <sheetData>
    <row r="2" spans="2:21" ht="18" x14ac:dyDescent="0.35">
      <c r="B2" s="260"/>
      <c r="C2" s="261" t="s">
        <v>220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3"/>
    </row>
    <row r="3" spans="2:21" x14ac:dyDescent="0.3">
      <c r="B3" s="264"/>
      <c r="C3" s="265" t="s">
        <v>142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6"/>
    </row>
    <row r="4" spans="2:21" x14ac:dyDescent="0.3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6"/>
    </row>
    <row r="5" spans="2:21" x14ac:dyDescent="0.3">
      <c r="B5" s="276"/>
      <c r="C5" s="277" t="s">
        <v>172</v>
      </c>
      <c r="D5" s="278"/>
      <c r="E5" s="278"/>
      <c r="F5" s="278"/>
      <c r="G5" s="279">
        <v>2023</v>
      </c>
      <c r="H5" s="280">
        <v>2024</v>
      </c>
      <c r="I5" s="280">
        <v>2024</v>
      </c>
      <c r="J5" s="280">
        <v>2024</v>
      </c>
      <c r="K5" s="280">
        <v>2024</v>
      </c>
      <c r="L5" s="280">
        <v>2024</v>
      </c>
      <c r="M5" s="280">
        <v>2024</v>
      </c>
      <c r="N5" s="280">
        <v>2024</v>
      </c>
      <c r="O5" s="280">
        <v>2024</v>
      </c>
      <c r="P5" s="280">
        <v>2024</v>
      </c>
      <c r="Q5" s="280">
        <v>2024</v>
      </c>
      <c r="R5" s="280">
        <v>2024</v>
      </c>
      <c r="S5" s="280">
        <v>2024</v>
      </c>
      <c r="T5" s="298">
        <v>2024</v>
      </c>
      <c r="U5" s="200">
        <v>2023</v>
      </c>
    </row>
    <row r="6" spans="2:21" x14ac:dyDescent="0.3">
      <c r="B6" s="281"/>
      <c r="C6" s="282" t="s">
        <v>64</v>
      </c>
      <c r="D6" s="283"/>
      <c r="E6" s="283"/>
      <c r="F6" s="283"/>
      <c r="G6" s="279" t="s">
        <v>36</v>
      </c>
      <c r="H6" s="284" t="s">
        <v>25</v>
      </c>
      <c r="I6" s="284" t="s">
        <v>26</v>
      </c>
      <c r="J6" s="284" t="s">
        <v>27</v>
      </c>
      <c r="K6" s="284" t="s">
        <v>28</v>
      </c>
      <c r="L6" s="284" t="s">
        <v>29</v>
      </c>
      <c r="M6" s="284" t="s">
        <v>30</v>
      </c>
      <c r="N6" s="284" t="s">
        <v>31</v>
      </c>
      <c r="O6" s="284" t="s">
        <v>32</v>
      </c>
      <c r="P6" s="284" t="s">
        <v>33</v>
      </c>
      <c r="Q6" s="284" t="s">
        <v>34</v>
      </c>
      <c r="R6" s="284" t="s">
        <v>35</v>
      </c>
      <c r="S6" s="285" t="s">
        <v>36</v>
      </c>
      <c r="T6" s="295"/>
      <c r="U6" s="162"/>
    </row>
    <row r="7" spans="2:21" x14ac:dyDescent="0.3">
      <c r="B7" s="264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7"/>
    </row>
    <row r="8" spans="2:21" x14ac:dyDescent="0.3">
      <c r="B8" s="268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70"/>
    </row>
    <row r="9" spans="2:21" x14ac:dyDescent="0.3">
      <c r="B9" s="291" t="s">
        <v>116</v>
      </c>
      <c r="C9" s="283"/>
      <c r="D9" s="283"/>
      <c r="E9" s="292"/>
      <c r="F9" s="293" t="s">
        <v>219</v>
      </c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70"/>
    </row>
    <row r="10" spans="2:21" x14ac:dyDescent="0.3">
      <c r="B10" s="271" t="s">
        <v>203</v>
      </c>
      <c r="C10" s="265"/>
      <c r="D10" s="265"/>
      <c r="E10" s="269"/>
      <c r="F10" s="272">
        <v>0.05</v>
      </c>
      <c r="G10" s="265"/>
      <c r="H10" s="273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70"/>
    </row>
    <row r="11" spans="2:21" x14ac:dyDescent="0.3">
      <c r="B11" s="271" t="s">
        <v>204</v>
      </c>
      <c r="C11" s="265"/>
      <c r="D11" s="265"/>
      <c r="E11" s="269"/>
      <c r="F11" s="272">
        <v>0.05</v>
      </c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70"/>
    </row>
    <row r="12" spans="2:21" x14ac:dyDescent="0.3">
      <c r="B12" s="271" t="s">
        <v>205</v>
      </c>
      <c r="C12" s="265"/>
      <c r="D12" s="265"/>
      <c r="E12" s="269"/>
      <c r="F12" s="272">
        <v>0.1</v>
      </c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70"/>
    </row>
    <row r="13" spans="2:21" x14ac:dyDescent="0.3">
      <c r="B13" s="271" t="s">
        <v>206</v>
      </c>
      <c r="C13" s="265"/>
      <c r="D13" s="265"/>
      <c r="E13" s="269"/>
      <c r="F13" s="272">
        <v>0.1</v>
      </c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70"/>
    </row>
    <row r="14" spans="2:21" x14ac:dyDescent="0.3">
      <c r="B14" s="271" t="s">
        <v>207</v>
      </c>
      <c r="C14" s="265"/>
      <c r="D14" s="265"/>
      <c r="E14" s="269"/>
      <c r="F14" s="272">
        <v>0.15</v>
      </c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70"/>
    </row>
    <row r="15" spans="2:21" x14ac:dyDescent="0.3">
      <c r="B15" s="271" t="s">
        <v>208</v>
      </c>
      <c r="C15" s="265"/>
      <c r="D15" s="265"/>
      <c r="E15" s="269"/>
      <c r="F15" s="272">
        <v>0.05</v>
      </c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70"/>
    </row>
    <row r="16" spans="2:21" x14ac:dyDescent="0.3">
      <c r="B16" s="268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396" t="s">
        <v>72</v>
      </c>
      <c r="U16" s="355"/>
    </row>
    <row r="17" spans="2:21" x14ac:dyDescent="0.3">
      <c r="B17" s="276"/>
      <c r="C17" s="278"/>
      <c r="D17" s="277" t="s">
        <v>115</v>
      </c>
      <c r="E17" s="278"/>
      <c r="F17" s="278"/>
      <c r="G17" s="286">
        <v>-1870127</v>
      </c>
      <c r="H17" s="287">
        <v>-1800127</v>
      </c>
      <c r="I17" s="287">
        <v>-1800127</v>
      </c>
      <c r="J17" s="287">
        <v>-1810127</v>
      </c>
      <c r="K17" s="287">
        <v>-1810127</v>
      </c>
      <c r="L17" s="287">
        <v>-1810127</v>
      </c>
      <c r="M17" s="287">
        <v>-1970664</v>
      </c>
      <c r="N17" s="287">
        <v>-1900127</v>
      </c>
      <c r="O17" s="287">
        <v>-2000127</v>
      </c>
      <c r="P17" s="287">
        <v>-1900127</v>
      </c>
      <c r="Q17" s="287">
        <v>-1998126</v>
      </c>
      <c r="R17" s="287">
        <v>-1998126</v>
      </c>
      <c r="S17" s="288">
        <v>-2000144</v>
      </c>
      <c r="T17" s="296"/>
      <c r="U17" s="299">
        <v>18335403</v>
      </c>
    </row>
    <row r="18" spans="2:21" x14ac:dyDescent="0.3">
      <c r="B18" s="281"/>
      <c r="C18" s="283"/>
      <c r="D18" s="282" t="s">
        <v>116</v>
      </c>
      <c r="E18" s="283"/>
      <c r="F18" s="283"/>
      <c r="G18" s="289">
        <v>-38444</v>
      </c>
      <c r="H18" s="290">
        <f>SUM(H19:H24)</f>
        <v>-2045</v>
      </c>
      <c r="I18" s="290">
        <f t="shared" ref="I18:S18" si="0">SUM(I19:I24)</f>
        <v>-2045</v>
      </c>
      <c r="J18" s="290">
        <f t="shared" si="0"/>
        <v>-2045</v>
      </c>
      <c r="K18" s="290">
        <f t="shared" si="0"/>
        <v>-2045</v>
      </c>
      <c r="L18" s="290">
        <f t="shared" si="0"/>
        <v>-2045</v>
      </c>
      <c r="M18" s="290">
        <f t="shared" si="0"/>
        <v>-2045</v>
      </c>
      <c r="N18" s="290">
        <f t="shared" si="0"/>
        <v>-2045</v>
      </c>
      <c r="O18" s="290">
        <f t="shared" si="0"/>
        <v>-2045</v>
      </c>
      <c r="P18" s="290">
        <f t="shared" si="0"/>
        <v>-2045</v>
      </c>
      <c r="Q18" s="290">
        <f t="shared" si="0"/>
        <v>-2045</v>
      </c>
      <c r="R18" s="290">
        <f t="shared" si="0"/>
        <v>-2045</v>
      </c>
      <c r="S18" s="290">
        <f t="shared" si="0"/>
        <v>-2045</v>
      </c>
      <c r="T18" s="297">
        <f t="shared" ref="T18:T22" si="1">SUM(H18:S18)</f>
        <v>-24540</v>
      </c>
      <c r="U18" s="299">
        <v>449528</v>
      </c>
    </row>
    <row r="19" spans="2:21" x14ac:dyDescent="0.3">
      <c r="B19" s="264"/>
      <c r="C19" s="265"/>
      <c r="D19" s="274" t="s">
        <v>203</v>
      </c>
      <c r="E19" s="265"/>
      <c r="F19" s="309"/>
      <c r="G19" s="310">
        <f>'IS 2023'!F26</f>
        <v>-1655</v>
      </c>
      <c r="H19" s="310">
        <f>'IS 2023'!G26</f>
        <v>-1655</v>
      </c>
      <c r="I19" s="310">
        <f>'IS 2023'!H26</f>
        <v>-1655</v>
      </c>
      <c r="J19" s="310">
        <f>'IS 2023'!I26</f>
        <v>-1655</v>
      </c>
      <c r="K19" s="310">
        <f>'IS 2023'!J26</f>
        <v>-1655</v>
      </c>
      <c r="L19" s="310">
        <f>'IS 2023'!K26</f>
        <v>-1655</v>
      </c>
      <c r="M19" s="310">
        <f>'IS 2023'!L26</f>
        <v>-1655</v>
      </c>
      <c r="N19" s="310">
        <f>'IS 2023'!M26</f>
        <v>-1655</v>
      </c>
      <c r="O19" s="310">
        <f>'IS 2023'!N26</f>
        <v>-1655</v>
      </c>
      <c r="P19" s="310">
        <f>'IS 2023'!O26</f>
        <v>-1655</v>
      </c>
      <c r="Q19" s="310">
        <f>'IS 2023'!P26</f>
        <v>-1655</v>
      </c>
      <c r="R19" s="310">
        <f>'IS 2023'!Q26</f>
        <v>-1655</v>
      </c>
      <c r="S19" s="310">
        <f>'IS 2023'!R26</f>
        <v>-1655</v>
      </c>
      <c r="T19" s="294">
        <f t="shared" si="1"/>
        <v>-19860</v>
      </c>
      <c r="U19" s="299">
        <v>438848</v>
      </c>
    </row>
    <row r="20" spans="2:21" x14ac:dyDescent="0.3">
      <c r="B20" s="264"/>
      <c r="C20" s="265"/>
      <c r="D20" s="274" t="s">
        <v>204</v>
      </c>
      <c r="E20" s="265"/>
      <c r="F20" s="311"/>
      <c r="G20" s="310">
        <f>'IS 2023'!F27</f>
        <v>-200</v>
      </c>
      <c r="H20" s="310">
        <f>'IS 2023'!G27</f>
        <v>-200</v>
      </c>
      <c r="I20" s="310">
        <f>'IS 2023'!H27</f>
        <v>-200</v>
      </c>
      <c r="J20" s="310">
        <f>'IS 2023'!I27</f>
        <v>-200</v>
      </c>
      <c r="K20" s="310">
        <f>'IS 2023'!J27</f>
        <v>-200</v>
      </c>
      <c r="L20" s="310">
        <f>'IS 2023'!K27</f>
        <v>-200</v>
      </c>
      <c r="M20" s="310">
        <f>'IS 2023'!L27</f>
        <v>-200</v>
      </c>
      <c r="N20" s="310">
        <f>'IS 2023'!M27</f>
        <v>-200</v>
      </c>
      <c r="O20" s="310">
        <f>'IS 2023'!N27</f>
        <v>-200</v>
      </c>
      <c r="P20" s="310">
        <f>'IS 2023'!O27</f>
        <v>-200</v>
      </c>
      <c r="Q20" s="310">
        <f>'IS 2023'!P27</f>
        <v>-200</v>
      </c>
      <c r="R20" s="310">
        <f>'IS 2023'!Q27</f>
        <v>-200</v>
      </c>
      <c r="S20" s="310">
        <f>'IS 2023'!R27</f>
        <v>-200</v>
      </c>
      <c r="T20" s="294">
        <f t="shared" si="1"/>
        <v>-2400</v>
      </c>
      <c r="U20" s="299">
        <v>8400</v>
      </c>
    </row>
    <row r="21" spans="2:21" x14ac:dyDescent="0.3">
      <c r="B21" s="264"/>
      <c r="C21" s="265"/>
      <c r="D21" s="274" t="s">
        <v>205</v>
      </c>
      <c r="E21" s="265"/>
      <c r="F21" s="311"/>
      <c r="G21" s="310">
        <f>'IS 2023'!F28</f>
        <v>-125</v>
      </c>
      <c r="H21" s="310">
        <f>'IS 2023'!G28</f>
        <v>-125</v>
      </c>
      <c r="I21" s="310">
        <f>'IS 2023'!H28</f>
        <v>-125</v>
      </c>
      <c r="J21" s="310">
        <f>'IS 2023'!I28</f>
        <v>-125</v>
      </c>
      <c r="K21" s="310">
        <f>'IS 2023'!J28</f>
        <v>-125</v>
      </c>
      <c r="L21" s="310">
        <f>'IS 2023'!K28</f>
        <v>-125</v>
      </c>
      <c r="M21" s="310">
        <f>'IS 2023'!L28</f>
        <v>-125</v>
      </c>
      <c r="N21" s="310">
        <f>'IS 2023'!M28</f>
        <v>-125</v>
      </c>
      <c r="O21" s="310">
        <f>'IS 2023'!N28</f>
        <v>-125</v>
      </c>
      <c r="P21" s="310">
        <f>'IS 2023'!O28</f>
        <v>-125</v>
      </c>
      <c r="Q21" s="310">
        <f>'IS 2023'!P28</f>
        <v>-125</v>
      </c>
      <c r="R21" s="310">
        <f>'IS 2023'!Q28</f>
        <v>-125</v>
      </c>
      <c r="S21" s="310">
        <f>'IS 2023'!R28</f>
        <v>-125</v>
      </c>
      <c r="T21" s="294">
        <f t="shared" si="1"/>
        <v>-1500</v>
      </c>
      <c r="U21" s="299">
        <v>1500</v>
      </c>
    </row>
    <row r="22" spans="2:21" x14ac:dyDescent="0.3">
      <c r="B22" s="264"/>
      <c r="C22" s="265"/>
      <c r="D22" s="274" t="s">
        <v>206</v>
      </c>
      <c r="E22" s="265"/>
      <c r="F22" s="312"/>
      <c r="G22" s="310">
        <f>'IS 2023'!F29</f>
        <v>-65</v>
      </c>
      <c r="H22" s="310">
        <f>'IS 2023'!G29</f>
        <v>-65</v>
      </c>
      <c r="I22" s="310">
        <f>'IS 2023'!H29</f>
        <v>-65</v>
      </c>
      <c r="J22" s="310">
        <f>'IS 2023'!I29</f>
        <v>-65</v>
      </c>
      <c r="K22" s="310">
        <f>'IS 2023'!J29</f>
        <v>-65</v>
      </c>
      <c r="L22" s="310">
        <f>'IS 2023'!K29</f>
        <v>-65</v>
      </c>
      <c r="M22" s="310">
        <f>'IS 2023'!L29</f>
        <v>-65</v>
      </c>
      <c r="N22" s="310">
        <f>'IS 2023'!M29</f>
        <v>-65</v>
      </c>
      <c r="O22" s="310">
        <f>'IS 2023'!N29</f>
        <v>-65</v>
      </c>
      <c r="P22" s="310">
        <f>'IS 2023'!O29</f>
        <v>-65</v>
      </c>
      <c r="Q22" s="310">
        <f>'IS 2023'!P29</f>
        <v>-65</v>
      </c>
      <c r="R22" s="310">
        <f>'IS 2023'!Q29</f>
        <v>-65</v>
      </c>
      <c r="S22" s="310">
        <f>'IS 2023'!R29</f>
        <v>-65</v>
      </c>
      <c r="T22" s="294">
        <f t="shared" si="1"/>
        <v>-780</v>
      </c>
      <c r="U22" s="300">
        <v>780</v>
      </c>
    </row>
    <row r="23" spans="2:21" x14ac:dyDescent="0.3">
      <c r="B23" s="264"/>
      <c r="C23" s="265"/>
      <c r="D23" s="274" t="s">
        <v>207</v>
      </c>
      <c r="E23" s="265"/>
      <c r="F23" s="265"/>
      <c r="G23" s="26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94"/>
      <c r="U23" s="300"/>
    </row>
    <row r="24" spans="2:21" x14ac:dyDescent="0.3">
      <c r="B24" s="264"/>
      <c r="C24" s="265"/>
      <c r="D24" s="274" t="s">
        <v>208</v>
      </c>
      <c r="E24" s="265"/>
      <c r="F24" s="265"/>
      <c r="G24" s="26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94"/>
      <c r="U24" s="300"/>
    </row>
    <row r="25" spans="2:21" x14ac:dyDescent="0.3"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</row>
    <row r="26" spans="2:21" x14ac:dyDescent="0.3"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</row>
    <row r="27" spans="2:21" x14ac:dyDescent="0.3"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9"/>
    </row>
    <row r="28" spans="2:21" x14ac:dyDescent="0.3"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</row>
    <row r="29" spans="2:21" x14ac:dyDescent="0.3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</row>
    <row r="30" spans="2:21" x14ac:dyDescent="0.3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</row>
  </sheetData>
  <mergeCells count="1">
    <mergeCell ref="T16:U16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36"/>
  <sheetViews>
    <sheetView showGridLines="0" zoomScale="71" zoomScaleNormal="71" workbookViewId="0">
      <selection activeCell="O51" sqref="O51"/>
    </sheetView>
  </sheetViews>
  <sheetFormatPr defaultColWidth="12" defaultRowHeight="15" x14ac:dyDescent="0.25"/>
  <cols>
    <col min="1" max="1" width="3.33203125" style="67" customWidth="1"/>
    <col min="2" max="2" width="26.6640625" style="67" customWidth="1"/>
    <col min="3" max="6" width="13.33203125" style="67" customWidth="1"/>
    <col min="7" max="7" width="3.33203125" style="67" customWidth="1"/>
    <col min="8" max="9" width="14.109375" style="67" customWidth="1"/>
    <col min="10" max="15" width="12" style="67"/>
    <col min="16" max="16" width="3.33203125" style="67" customWidth="1"/>
    <col min="17" max="24" width="12" style="67"/>
    <col min="25" max="25" width="3.33203125" style="67" customWidth="1"/>
    <col min="26" max="16384" width="12" style="67"/>
  </cols>
  <sheetData>
    <row r="2" spans="1:25" x14ac:dyDescent="0.25">
      <c r="B2" s="82" t="s">
        <v>221</v>
      </c>
      <c r="C2" s="411"/>
      <c r="D2" s="412"/>
      <c r="E2" s="83"/>
      <c r="F2" s="413" t="s">
        <v>264</v>
      </c>
      <c r="G2" s="414"/>
      <c r="H2" s="414"/>
      <c r="I2" s="411"/>
      <c r="J2" s="411"/>
      <c r="K2" s="412"/>
    </row>
    <row r="4" spans="1:25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7.399999999999999" x14ac:dyDescent="0.25">
      <c r="A5" s="84"/>
      <c r="B5" s="397" t="s">
        <v>296</v>
      </c>
      <c r="C5" s="398" t="s">
        <v>293</v>
      </c>
      <c r="D5" s="399"/>
      <c r="E5" s="398" t="s">
        <v>94</v>
      </c>
      <c r="F5" s="402"/>
      <c r="G5" s="84"/>
      <c r="H5" s="404" t="s">
        <v>297</v>
      </c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84"/>
    </row>
    <row r="6" spans="1:25" ht="17.399999999999999" x14ac:dyDescent="0.25">
      <c r="A6" s="84"/>
      <c r="B6" s="397"/>
      <c r="C6" s="400"/>
      <c r="D6" s="401"/>
      <c r="E6" s="400"/>
      <c r="F6" s="403"/>
      <c r="G6" s="84"/>
      <c r="H6" s="68"/>
      <c r="I6" s="68"/>
      <c r="J6" s="68"/>
      <c r="K6" s="68"/>
      <c r="L6" s="68"/>
      <c r="M6" s="68"/>
      <c r="N6" s="68"/>
      <c r="O6" s="68"/>
      <c r="P6" s="69"/>
      <c r="Q6" s="68"/>
      <c r="R6" s="68"/>
      <c r="S6" s="68"/>
      <c r="T6" s="68"/>
      <c r="U6" s="68"/>
      <c r="V6" s="68"/>
      <c r="W6" s="68"/>
      <c r="X6" s="68"/>
      <c r="Y6" s="84"/>
    </row>
    <row r="7" spans="1:25" s="72" customFormat="1" ht="30" x14ac:dyDescent="0.3">
      <c r="A7" s="85"/>
      <c r="B7" s="71">
        <f>SUM(D11:D35)</f>
        <v>332</v>
      </c>
      <c r="C7" s="406">
        <f>SUM(E11:E35)</f>
        <v>325</v>
      </c>
      <c r="D7" s="407"/>
      <c r="E7" s="408">
        <f>SUM(E11:E35)/SUM(D11:D35)</f>
        <v>0.97891566265060237</v>
      </c>
      <c r="F7" s="409"/>
      <c r="G7" s="85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85"/>
    </row>
    <row r="8" spans="1:25" x14ac:dyDescent="0.25">
      <c r="A8" s="84"/>
      <c r="B8" s="84"/>
      <c r="C8" s="84"/>
      <c r="D8" s="84"/>
      <c r="E8" s="84"/>
      <c r="F8" s="84"/>
      <c r="G8" s="84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84"/>
    </row>
    <row r="9" spans="1:25" ht="17.399999999999999" x14ac:dyDescent="0.25">
      <c r="A9" s="84"/>
      <c r="B9" s="416" t="s">
        <v>257</v>
      </c>
      <c r="C9" s="416"/>
      <c r="D9" s="416"/>
      <c r="E9" s="416"/>
      <c r="F9" s="416"/>
      <c r="G9" s="84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84"/>
    </row>
    <row r="10" spans="1:25" ht="26.4" x14ac:dyDescent="0.25">
      <c r="A10" s="84"/>
      <c r="B10" s="417" t="s">
        <v>95</v>
      </c>
      <c r="C10" s="417"/>
      <c r="D10" s="73" t="s">
        <v>294</v>
      </c>
      <c r="E10" s="73" t="s">
        <v>293</v>
      </c>
      <c r="F10" s="73" t="s">
        <v>96</v>
      </c>
      <c r="G10" s="84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84"/>
    </row>
    <row r="11" spans="1:25" ht="19.95" customHeight="1" x14ac:dyDescent="0.25">
      <c r="A11" s="84"/>
      <c r="B11" s="410" t="s">
        <v>295</v>
      </c>
      <c r="C11" s="410"/>
      <c r="D11" s="74">
        <v>14</v>
      </c>
      <c r="E11" s="74">
        <v>13</v>
      </c>
      <c r="F11" s="75">
        <f>D11/E11</f>
        <v>1.0769230769230769</v>
      </c>
      <c r="G11" s="84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84"/>
    </row>
    <row r="12" spans="1:25" ht="19.95" customHeight="1" x14ac:dyDescent="0.25">
      <c r="A12" s="84"/>
      <c r="B12" s="410" t="s">
        <v>295</v>
      </c>
      <c r="C12" s="410"/>
      <c r="D12" s="74">
        <v>12</v>
      </c>
      <c r="E12" s="74">
        <v>13</v>
      </c>
      <c r="F12" s="76">
        <f t="shared" ref="F12:F35" si="0">D12/E12</f>
        <v>0.92307692307692313</v>
      </c>
      <c r="G12" s="84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84"/>
    </row>
    <row r="13" spans="1:25" ht="19.95" customHeight="1" x14ac:dyDescent="0.25">
      <c r="A13" s="84"/>
      <c r="B13" s="410" t="s">
        <v>295</v>
      </c>
      <c r="C13" s="410"/>
      <c r="D13" s="74">
        <v>14</v>
      </c>
      <c r="E13" s="74">
        <v>13</v>
      </c>
      <c r="F13" s="75">
        <f t="shared" si="0"/>
        <v>1.0769230769230769</v>
      </c>
      <c r="G13" s="84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84"/>
    </row>
    <row r="14" spans="1:25" ht="19.95" customHeight="1" x14ac:dyDescent="0.25">
      <c r="A14" s="84"/>
      <c r="B14" s="410" t="s">
        <v>295</v>
      </c>
      <c r="C14" s="410"/>
      <c r="D14" s="74">
        <v>15</v>
      </c>
      <c r="E14" s="74">
        <v>13</v>
      </c>
      <c r="F14" s="76">
        <f t="shared" si="0"/>
        <v>1.1538461538461537</v>
      </c>
      <c r="G14" s="84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84"/>
    </row>
    <row r="15" spans="1:25" ht="19.95" customHeight="1" x14ac:dyDescent="0.25">
      <c r="A15" s="84"/>
      <c r="B15" s="410" t="s">
        <v>295</v>
      </c>
      <c r="C15" s="410"/>
      <c r="D15" s="74">
        <v>13</v>
      </c>
      <c r="E15" s="74">
        <v>13</v>
      </c>
      <c r="F15" s="75">
        <f t="shared" si="0"/>
        <v>1</v>
      </c>
      <c r="G15" s="84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84"/>
    </row>
    <row r="16" spans="1:25" ht="19.95" customHeight="1" x14ac:dyDescent="0.25">
      <c r="A16" s="84"/>
      <c r="B16" s="410" t="s">
        <v>295</v>
      </c>
      <c r="C16" s="410"/>
      <c r="D16" s="74">
        <v>13</v>
      </c>
      <c r="E16" s="74">
        <v>13</v>
      </c>
      <c r="F16" s="76">
        <f t="shared" si="0"/>
        <v>1</v>
      </c>
      <c r="G16" s="84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84"/>
    </row>
    <row r="17" spans="1:28" ht="19.95" customHeight="1" x14ac:dyDescent="0.25">
      <c r="A17" s="84"/>
      <c r="B17" s="410" t="s">
        <v>295</v>
      </c>
      <c r="C17" s="410"/>
      <c r="D17" s="74">
        <v>13</v>
      </c>
      <c r="E17" s="74">
        <v>13</v>
      </c>
      <c r="F17" s="75">
        <f t="shared" si="0"/>
        <v>1</v>
      </c>
      <c r="G17" s="84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84"/>
    </row>
    <row r="18" spans="1:28" ht="19.95" customHeight="1" x14ac:dyDescent="0.25">
      <c r="A18" s="84"/>
      <c r="B18" s="410" t="s">
        <v>295</v>
      </c>
      <c r="C18" s="410"/>
      <c r="D18" s="74">
        <v>13</v>
      </c>
      <c r="E18" s="74">
        <v>13</v>
      </c>
      <c r="F18" s="76">
        <f t="shared" si="0"/>
        <v>1</v>
      </c>
      <c r="G18" s="84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84"/>
    </row>
    <row r="19" spans="1:28" ht="19.95" customHeight="1" x14ac:dyDescent="0.25">
      <c r="A19" s="84"/>
      <c r="B19" s="410" t="s">
        <v>295</v>
      </c>
      <c r="C19" s="410"/>
      <c r="D19" s="74">
        <v>13</v>
      </c>
      <c r="E19" s="74">
        <v>13</v>
      </c>
      <c r="F19" s="75">
        <f t="shared" si="0"/>
        <v>1</v>
      </c>
      <c r="G19" s="84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84"/>
    </row>
    <row r="20" spans="1:28" ht="19.95" customHeight="1" x14ac:dyDescent="0.25">
      <c r="A20" s="84"/>
      <c r="B20" s="410" t="s">
        <v>295</v>
      </c>
      <c r="C20" s="410"/>
      <c r="D20" s="74">
        <v>13</v>
      </c>
      <c r="E20" s="74">
        <v>13</v>
      </c>
      <c r="F20" s="76">
        <f t="shared" si="0"/>
        <v>1</v>
      </c>
      <c r="G20" s="84"/>
      <c r="H20" s="404" t="s">
        <v>213</v>
      </c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84"/>
    </row>
    <row r="21" spans="1:28" ht="19.95" customHeight="1" x14ac:dyDescent="0.25">
      <c r="A21" s="84"/>
      <c r="B21" s="410" t="s">
        <v>295</v>
      </c>
      <c r="C21" s="410"/>
      <c r="D21" s="74">
        <v>13</v>
      </c>
      <c r="E21" s="74">
        <v>13</v>
      </c>
      <c r="F21" s="75">
        <f t="shared" si="0"/>
        <v>1</v>
      </c>
      <c r="G21" s="84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84"/>
    </row>
    <row r="22" spans="1:28" ht="19.95" customHeight="1" x14ac:dyDescent="0.25">
      <c r="A22" s="84"/>
      <c r="B22" s="410" t="s">
        <v>295</v>
      </c>
      <c r="C22" s="410"/>
      <c r="D22" s="74">
        <v>13</v>
      </c>
      <c r="E22" s="74">
        <v>13</v>
      </c>
      <c r="F22" s="76">
        <f t="shared" si="0"/>
        <v>1</v>
      </c>
      <c r="G22" s="84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84"/>
    </row>
    <row r="23" spans="1:28" ht="19.95" customHeight="1" x14ac:dyDescent="0.25">
      <c r="A23" s="84"/>
      <c r="B23" s="410" t="s">
        <v>295</v>
      </c>
      <c r="C23" s="410"/>
      <c r="D23" s="74">
        <v>13</v>
      </c>
      <c r="E23" s="74">
        <v>13</v>
      </c>
      <c r="F23" s="75">
        <f t="shared" si="0"/>
        <v>1</v>
      </c>
      <c r="G23" s="84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84"/>
    </row>
    <row r="24" spans="1:28" ht="19.95" customHeight="1" x14ac:dyDescent="0.25">
      <c r="A24" s="84"/>
      <c r="B24" s="410" t="s">
        <v>295</v>
      </c>
      <c r="C24" s="410"/>
      <c r="D24" s="74">
        <v>14</v>
      </c>
      <c r="E24" s="74">
        <v>13</v>
      </c>
      <c r="F24" s="76">
        <f t="shared" si="0"/>
        <v>1.0769230769230769</v>
      </c>
      <c r="G24" s="84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84"/>
    </row>
    <row r="25" spans="1:28" ht="19.95" customHeight="1" x14ac:dyDescent="0.25">
      <c r="A25" s="84"/>
      <c r="B25" s="410" t="s">
        <v>295</v>
      </c>
      <c r="C25" s="410"/>
      <c r="D25" s="74">
        <v>12</v>
      </c>
      <c r="E25" s="74">
        <v>13</v>
      </c>
      <c r="F25" s="75">
        <f t="shared" si="0"/>
        <v>0.92307692307692313</v>
      </c>
      <c r="G25" s="84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84"/>
    </row>
    <row r="26" spans="1:28" ht="19.95" customHeight="1" x14ac:dyDescent="0.25">
      <c r="A26" s="84"/>
      <c r="B26" s="410" t="s">
        <v>295</v>
      </c>
      <c r="C26" s="410"/>
      <c r="D26" s="74">
        <v>14</v>
      </c>
      <c r="E26" s="74">
        <v>13</v>
      </c>
      <c r="F26" s="76">
        <f t="shared" si="0"/>
        <v>1.0769230769230769</v>
      </c>
      <c r="G26" s="84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84"/>
    </row>
    <row r="27" spans="1:28" ht="19.95" customHeight="1" x14ac:dyDescent="0.25">
      <c r="A27" s="84"/>
      <c r="B27" s="410" t="s">
        <v>295</v>
      </c>
      <c r="C27" s="410"/>
      <c r="D27" s="74">
        <v>12</v>
      </c>
      <c r="E27" s="74">
        <v>13</v>
      </c>
      <c r="F27" s="75">
        <f t="shared" si="0"/>
        <v>0.92307692307692313</v>
      </c>
      <c r="G27" s="84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84"/>
    </row>
    <row r="28" spans="1:28" ht="19.95" customHeight="1" x14ac:dyDescent="0.25">
      <c r="A28" s="84"/>
      <c r="B28" s="410" t="s">
        <v>295</v>
      </c>
      <c r="C28" s="410"/>
      <c r="D28" s="74">
        <v>14</v>
      </c>
      <c r="E28" s="74">
        <v>13</v>
      </c>
      <c r="F28" s="76">
        <f t="shared" si="0"/>
        <v>1.0769230769230769</v>
      </c>
      <c r="G28" s="84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84"/>
      <c r="AB28" s="77"/>
    </row>
    <row r="29" spans="1:28" ht="19.95" customHeight="1" x14ac:dyDescent="0.25">
      <c r="A29" s="84"/>
      <c r="B29" s="410" t="s">
        <v>295</v>
      </c>
      <c r="C29" s="410"/>
      <c r="D29" s="74">
        <v>15</v>
      </c>
      <c r="E29" s="74">
        <v>13</v>
      </c>
      <c r="F29" s="75">
        <f t="shared" si="0"/>
        <v>1.1538461538461537</v>
      </c>
      <c r="G29" s="84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84"/>
    </row>
    <row r="30" spans="1:28" ht="19.95" customHeight="1" x14ac:dyDescent="0.25">
      <c r="A30" s="84"/>
      <c r="B30" s="410" t="s">
        <v>295</v>
      </c>
      <c r="C30" s="410"/>
      <c r="D30" s="74">
        <v>12</v>
      </c>
      <c r="E30" s="74">
        <v>13</v>
      </c>
      <c r="F30" s="76">
        <f t="shared" si="0"/>
        <v>0.92307692307692313</v>
      </c>
      <c r="G30" s="84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84"/>
    </row>
    <row r="31" spans="1:28" ht="19.95" customHeight="1" x14ac:dyDescent="0.25">
      <c r="A31" s="84"/>
      <c r="B31" s="410" t="s">
        <v>295</v>
      </c>
      <c r="C31" s="410"/>
      <c r="D31" s="74">
        <v>13</v>
      </c>
      <c r="E31" s="74">
        <v>13</v>
      </c>
      <c r="F31" s="75">
        <f t="shared" si="0"/>
        <v>1</v>
      </c>
      <c r="G31" s="84"/>
      <c r="H31" s="78"/>
      <c r="I31" s="78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84"/>
    </row>
    <row r="32" spans="1:28" ht="19.95" customHeight="1" x14ac:dyDescent="0.25">
      <c r="A32" s="84"/>
      <c r="B32" s="410" t="s">
        <v>295</v>
      </c>
      <c r="C32" s="410"/>
      <c r="D32" s="74">
        <v>14</v>
      </c>
      <c r="E32" s="74">
        <v>13</v>
      </c>
      <c r="F32" s="76">
        <f t="shared" si="0"/>
        <v>1.0769230769230769</v>
      </c>
      <c r="G32" s="84"/>
      <c r="H32" s="79"/>
      <c r="I32" s="80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4"/>
    </row>
    <row r="33" spans="1:25" ht="19.95" customHeight="1" x14ac:dyDescent="0.25">
      <c r="A33" s="84"/>
      <c r="B33" s="410" t="s">
        <v>295</v>
      </c>
      <c r="C33" s="410"/>
      <c r="D33" s="74">
        <v>13</v>
      </c>
      <c r="E33" s="74">
        <v>13</v>
      </c>
      <c r="F33" s="75">
        <f t="shared" si="0"/>
        <v>1</v>
      </c>
      <c r="G33" s="84"/>
      <c r="H33" s="81"/>
      <c r="I33" s="80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84"/>
    </row>
    <row r="34" spans="1:25" ht="19.95" customHeight="1" x14ac:dyDescent="0.25">
      <c r="A34" s="84"/>
      <c r="B34" s="410" t="s">
        <v>295</v>
      </c>
      <c r="C34" s="410"/>
      <c r="D34" s="74">
        <v>14</v>
      </c>
      <c r="E34" s="74">
        <v>13</v>
      </c>
      <c r="F34" s="76">
        <f t="shared" si="0"/>
        <v>1.0769230769230769</v>
      </c>
      <c r="G34" s="84"/>
      <c r="H34" s="81"/>
      <c r="I34" s="80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84"/>
    </row>
    <row r="35" spans="1:25" ht="19.95" customHeight="1" x14ac:dyDescent="0.25">
      <c r="A35" s="84"/>
      <c r="B35" s="410" t="s">
        <v>295</v>
      </c>
      <c r="C35" s="410"/>
      <c r="D35" s="74">
        <v>13</v>
      </c>
      <c r="E35" s="74">
        <v>13</v>
      </c>
      <c r="F35" s="75">
        <f t="shared" si="0"/>
        <v>1</v>
      </c>
      <c r="G35" s="84"/>
      <c r="H35" s="81"/>
      <c r="I35" s="80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84"/>
    </row>
    <row r="36" spans="1:25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</sheetData>
  <mergeCells count="38">
    <mergeCell ref="F2:H2"/>
    <mergeCell ref="I2:K2"/>
    <mergeCell ref="B31:C31"/>
    <mergeCell ref="B32:C32"/>
    <mergeCell ref="B33:C33"/>
    <mergeCell ref="H30:X30"/>
    <mergeCell ref="H20:X20"/>
    <mergeCell ref="B18:C18"/>
    <mergeCell ref="B19:C19"/>
    <mergeCell ref="B20:C20"/>
    <mergeCell ref="B9:F9"/>
    <mergeCell ref="B10:C10"/>
    <mergeCell ref="B11:C11"/>
    <mergeCell ref="B12:C12"/>
    <mergeCell ref="B13:C13"/>
    <mergeCell ref="B14:C14"/>
    <mergeCell ref="B34:C34"/>
    <mergeCell ref="B35:C35"/>
    <mergeCell ref="C2:D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B5:B6"/>
    <mergeCell ref="C5:D6"/>
    <mergeCell ref="E5:F6"/>
    <mergeCell ref="H5:X5"/>
    <mergeCell ref="C7:D7"/>
    <mergeCell ref="E7:F7"/>
  </mergeCells>
  <phoneticPr fontId="7" type="noConversion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Q46"/>
  <sheetViews>
    <sheetView showGridLines="0" zoomScale="93" zoomScaleNormal="93" workbookViewId="0">
      <selection activeCell="M46" sqref="M46"/>
    </sheetView>
  </sheetViews>
  <sheetFormatPr defaultRowHeight="14.4" x14ac:dyDescent="0.3"/>
  <cols>
    <col min="1" max="1" width="4.44140625" customWidth="1"/>
    <col min="2" max="2" width="2.6640625" customWidth="1"/>
    <col min="3" max="3" width="17.6640625" customWidth="1"/>
    <col min="4" max="11" width="21.77734375" customWidth="1"/>
  </cols>
  <sheetData>
    <row r="2" spans="3:17" ht="16.2" customHeight="1" x14ac:dyDescent="0.3">
      <c r="C2" s="418" t="s">
        <v>215</v>
      </c>
      <c r="D2" s="421"/>
      <c r="E2" s="418" t="s">
        <v>216</v>
      </c>
      <c r="F2" s="419"/>
      <c r="G2" s="419"/>
      <c r="H2" s="96"/>
      <c r="I2" s="97">
        <f>D21/E21</f>
        <v>1.0018429782528566</v>
      </c>
      <c r="J2" s="94" t="s">
        <v>97</v>
      </c>
      <c r="K2" s="98">
        <f>D21/K21</f>
        <v>52.606451612903228</v>
      </c>
    </row>
    <row r="3" spans="3:17" ht="7.8" customHeight="1" x14ac:dyDescent="0.3">
      <c r="C3" s="86"/>
    </row>
    <row r="4" spans="3:17" ht="20.399999999999999" customHeight="1" x14ac:dyDescent="0.4">
      <c r="C4" s="87"/>
      <c r="D4" s="422" t="s">
        <v>298</v>
      </c>
      <c r="E4" s="422"/>
      <c r="F4" s="95"/>
      <c r="G4" s="423" t="s">
        <v>98</v>
      </c>
      <c r="H4" s="423"/>
      <c r="I4" s="423" t="s">
        <v>104</v>
      </c>
      <c r="J4" s="423"/>
      <c r="K4" s="87"/>
    </row>
    <row r="5" spans="3:17" x14ac:dyDescent="0.3">
      <c r="C5" s="88" t="s">
        <v>253</v>
      </c>
      <c r="D5" s="89" t="s">
        <v>93</v>
      </c>
      <c r="E5" s="89" t="s">
        <v>99</v>
      </c>
      <c r="F5" s="89" t="s">
        <v>105</v>
      </c>
      <c r="G5" s="89" t="s">
        <v>100</v>
      </c>
      <c r="H5" s="89" t="s">
        <v>101</v>
      </c>
      <c r="I5" s="100" t="s">
        <v>72</v>
      </c>
      <c r="J5" s="100" t="s">
        <v>103</v>
      </c>
      <c r="K5" s="101" t="s">
        <v>102</v>
      </c>
      <c r="L5" s="469" t="s">
        <v>306</v>
      </c>
      <c r="M5" s="469"/>
      <c r="N5" s="469"/>
      <c r="O5" s="469"/>
      <c r="P5" s="469"/>
      <c r="Q5" s="469"/>
    </row>
    <row r="6" spans="3:17" ht="15" customHeight="1" x14ac:dyDescent="0.3">
      <c r="C6" s="54" t="s">
        <v>307</v>
      </c>
      <c r="D6" s="231">
        <v>2760</v>
      </c>
      <c r="E6" s="231">
        <v>2760</v>
      </c>
      <c r="F6" s="102">
        <f t="shared" ref="F6:F21" si="0">D6/E6</f>
        <v>1</v>
      </c>
      <c r="G6" s="232">
        <f>IF(ISBLANK(D6-E6),"",(D6-E6))</f>
        <v>0</v>
      </c>
      <c r="H6" s="233">
        <f>AVERAGE($G$6:$G$20)</f>
        <v>5</v>
      </c>
      <c r="I6" s="231">
        <v>35</v>
      </c>
      <c r="J6" s="231">
        <v>15</v>
      </c>
      <c r="K6" s="234">
        <f>SUM(Table132[[#This Row],[Totals]:[Overuns]])</f>
        <v>50</v>
      </c>
      <c r="L6" s="467"/>
      <c r="M6" s="467"/>
      <c r="N6" s="467"/>
      <c r="O6" s="467"/>
      <c r="P6" s="467"/>
      <c r="Q6" s="468"/>
    </row>
    <row r="7" spans="3:17" ht="15" customHeight="1" x14ac:dyDescent="0.3">
      <c r="C7" s="54" t="s">
        <v>308</v>
      </c>
      <c r="D7" s="231">
        <v>2660</v>
      </c>
      <c r="E7" s="231">
        <v>2760</v>
      </c>
      <c r="F7" s="102">
        <f t="shared" si="0"/>
        <v>0.96376811594202894</v>
      </c>
      <c r="G7" s="232">
        <f t="shared" ref="G7:G20" si="1">IF(ISBLANK(D7-E7),"",(D7-E7))</f>
        <v>-100</v>
      </c>
      <c r="H7" s="233">
        <f t="shared" ref="H7:H20" si="2">AVERAGE($G$6:$G$20)</f>
        <v>5</v>
      </c>
      <c r="I7" s="231">
        <v>35</v>
      </c>
      <c r="J7" s="231">
        <v>16</v>
      </c>
      <c r="K7" s="234">
        <f>SUM(Table132[[#This Row],[Totals]:[Overuns]])</f>
        <v>51</v>
      </c>
      <c r="L7" s="467"/>
      <c r="M7" s="467"/>
      <c r="N7" s="467"/>
      <c r="O7" s="467"/>
      <c r="P7" s="467"/>
      <c r="Q7" s="468"/>
    </row>
    <row r="8" spans="3:17" ht="15" customHeight="1" x14ac:dyDescent="0.3">
      <c r="C8" s="54" t="s">
        <v>309</v>
      </c>
      <c r="D8" s="231">
        <v>2560</v>
      </c>
      <c r="E8" s="231">
        <v>2660</v>
      </c>
      <c r="F8" s="102">
        <f t="shared" si="0"/>
        <v>0.96240601503759393</v>
      </c>
      <c r="G8" s="232">
        <f t="shared" si="1"/>
        <v>-100</v>
      </c>
      <c r="H8" s="233">
        <f t="shared" si="2"/>
        <v>5</v>
      </c>
      <c r="I8" s="231">
        <v>35</v>
      </c>
      <c r="J8" s="231">
        <v>16</v>
      </c>
      <c r="K8" s="234">
        <f>SUM(Table132[[#This Row],[Totals]:[Overuns]])</f>
        <v>51</v>
      </c>
      <c r="L8" s="467"/>
      <c r="M8" s="467"/>
      <c r="N8" s="467"/>
      <c r="O8" s="467"/>
      <c r="P8" s="467"/>
      <c r="Q8" s="468"/>
    </row>
    <row r="9" spans="3:17" ht="15" customHeight="1" x14ac:dyDescent="0.3">
      <c r="C9" s="54" t="s">
        <v>310</v>
      </c>
      <c r="D9" s="231">
        <v>2550</v>
      </c>
      <c r="E9" s="231">
        <v>2450</v>
      </c>
      <c r="F9" s="102">
        <f t="shared" si="0"/>
        <v>1.0408163265306123</v>
      </c>
      <c r="G9" s="232">
        <f t="shared" si="1"/>
        <v>100</v>
      </c>
      <c r="H9" s="233">
        <f t="shared" si="2"/>
        <v>5</v>
      </c>
      <c r="I9" s="231">
        <v>35</v>
      </c>
      <c r="J9" s="231">
        <v>16</v>
      </c>
      <c r="K9" s="234">
        <f>SUM(Table132[[#This Row],[Totals]:[Overuns]])</f>
        <v>51</v>
      </c>
      <c r="L9" s="467"/>
      <c r="M9" s="467"/>
      <c r="N9" s="467"/>
      <c r="O9" s="467"/>
      <c r="P9" s="467"/>
      <c r="Q9" s="468"/>
    </row>
    <row r="10" spans="3:17" ht="15" customHeight="1" x14ac:dyDescent="0.3">
      <c r="C10" s="54" t="s">
        <v>311</v>
      </c>
      <c r="D10" s="231">
        <v>2550</v>
      </c>
      <c r="E10" s="231">
        <v>2500</v>
      </c>
      <c r="F10" s="102">
        <f t="shared" si="0"/>
        <v>1.02</v>
      </c>
      <c r="G10" s="232">
        <f t="shared" si="1"/>
        <v>50</v>
      </c>
      <c r="H10" s="233">
        <f t="shared" si="2"/>
        <v>5</v>
      </c>
      <c r="I10" s="231">
        <v>35</v>
      </c>
      <c r="J10" s="231">
        <v>16</v>
      </c>
      <c r="K10" s="234">
        <f>SUM(Table132[[#This Row],[Totals]:[Overuns]])</f>
        <v>51</v>
      </c>
      <c r="L10" s="467"/>
      <c r="M10" s="467"/>
      <c r="N10" s="467"/>
      <c r="O10" s="467"/>
      <c r="P10" s="467"/>
      <c r="Q10" s="468"/>
    </row>
    <row r="11" spans="3:17" ht="15" customHeight="1" x14ac:dyDescent="0.3">
      <c r="C11" s="54" t="s">
        <v>312</v>
      </c>
      <c r="D11" s="231">
        <v>2760</v>
      </c>
      <c r="E11" s="231">
        <v>2760</v>
      </c>
      <c r="F11" s="102">
        <f t="shared" si="0"/>
        <v>1</v>
      </c>
      <c r="G11" s="232">
        <f t="shared" si="1"/>
        <v>0</v>
      </c>
      <c r="H11" s="233">
        <f t="shared" si="2"/>
        <v>5</v>
      </c>
      <c r="I11" s="231">
        <v>35</v>
      </c>
      <c r="J11" s="231">
        <v>15</v>
      </c>
      <c r="K11" s="234">
        <f>SUM(Table132[[#This Row],[Totals]:[Overuns]])</f>
        <v>50</v>
      </c>
      <c r="L11" s="467"/>
      <c r="M11" s="467"/>
      <c r="N11" s="467"/>
      <c r="O11" s="467"/>
      <c r="P11" s="467"/>
      <c r="Q11" s="468"/>
    </row>
    <row r="12" spans="3:17" ht="15" customHeight="1" x14ac:dyDescent="0.3">
      <c r="C12" s="54" t="s">
        <v>313</v>
      </c>
      <c r="D12" s="231">
        <v>2760</v>
      </c>
      <c r="E12" s="231">
        <v>2760</v>
      </c>
      <c r="F12" s="102">
        <f t="shared" si="0"/>
        <v>1</v>
      </c>
      <c r="G12" s="232">
        <f t="shared" si="1"/>
        <v>0</v>
      </c>
      <c r="H12" s="233">
        <f t="shared" si="2"/>
        <v>5</v>
      </c>
      <c r="I12" s="231">
        <v>35</v>
      </c>
      <c r="J12" s="231">
        <v>20</v>
      </c>
      <c r="K12" s="234">
        <f>SUM(Table132[[#This Row],[Totals]:[Overuns]])</f>
        <v>55</v>
      </c>
      <c r="L12" s="467"/>
      <c r="M12" s="467"/>
      <c r="N12" s="467"/>
      <c r="O12" s="467"/>
      <c r="P12" s="467"/>
      <c r="Q12" s="468"/>
    </row>
    <row r="13" spans="3:17" ht="15" customHeight="1" x14ac:dyDescent="0.3">
      <c r="C13" s="54" t="s">
        <v>314</v>
      </c>
      <c r="D13" s="231">
        <v>2760</v>
      </c>
      <c r="E13" s="231">
        <v>2700</v>
      </c>
      <c r="F13" s="102">
        <f t="shared" si="0"/>
        <v>1.0222222222222221</v>
      </c>
      <c r="G13" s="232">
        <f t="shared" si="1"/>
        <v>60</v>
      </c>
      <c r="H13" s="233">
        <f t="shared" si="2"/>
        <v>5</v>
      </c>
      <c r="I13" s="231">
        <v>35</v>
      </c>
      <c r="J13" s="231">
        <v>20</v>
      </c>
      <c r="K13" s="234">
        <f>SUM(Table132[[#This Row],[Totals]:[Overuns]])</f>
        <v>55</v>
      </c>
      <c r="L13" s="467"/>
      <c r="M13" s="467"/>
      <c r="N13" s="467"/>
      <c r="O13" s="467"/>
      <c r="P13" s="467"/>
      <c r="Q13" s="468"/>
    </row>
    <row r="14" spans="3:17" ht="15" customHeight="1" x14ac:dyDescent="0.3">
      <c r="C14" s="54" t="s">
        <v>315</v>
      </c>
      <c r="D14" s="231">
        <v>2760</v>
      </c>
      <c r="E14" s="231">
        <v>2750</v>
      </c>
      <c r="F14" s="102">
        <f t="shared" si="0"/>
        <v>1.0036363636363637</v>
      </c>
      <c r="G14" s="232">
        <f t="shared" si="1"/>
        <v>10</v>
      </c>
      <c r="H14" s="233">
        <f t="shared" si="2"/>
        <v>5</v>
      </c>
      <c r="I14" s="231">
        <v>35</v>
      </c>
      <c r="J14" s="231">
        <v>20</v>
      </c>
      <c r="K14" s="234">
        <f>SUM(Table132[[#This Row],[Totals]:[Overuns]])</f>
        <v>55</v>
      </c>
      <c r="L14" s="467"/>
      <c r="M14" s="467"/>
      <c r="N14" s="467"/>
      <c r="O14" s="467"/>
      <c r="P14" s="467"/>
      <c r="Q14" s="468"/>
    </row>
    <row r="15" spans="3:17" ht="15" customHeight="1" x14ac:dyDescent="0.3">
      <c r="C15" s="54" t="s">
        <v>316</v>
      </c>
      <c r="D15" s="231">
        <v>3000</v>
      </c>
      <c r="E15" s="231">
        <v>3005</v>
      </c>
      <c r="F15" s="102">
        <f t="shared" si="0"/>
        <v>0.99833610648918469</v>
      </c>
      <c r="G15" s="232">
        <f t="shared" si="1"/>
        <v>-5</v>
      </c>
      <c r="H15" s="233">
        <f t="shared" si="2"/>
        <v>5</v>
      </c>
      <c r="I15" s="231">
        <v>35</v>
      </c>
      <c r="J15" s="231">
        <v>15</v>
      </c>
      <c r="K15" s="234">
        <f>SUM(Table132[[#This Row],[Totals]:[Overuns]])</f>
        <v>50</v>
      </c>
      <c r="L15" s="467"/>
      <c r="M15" s="467"/>
      <c r="N15" s="467"/>
      <c r="O15" s="467"/>
      <c r="P15" s="467"/>
      <c r="Q15" s="468"/>
    </row>
    <row r="16" spans="3:17" ht="15" customHeight="1" x14ac:dyDescent="0.3">
      <c r="C16" s="54" t="s">
        <v>317</v>
      </c>
      <c r="D16" s="231">
        <v>2970</v>
      </c>
      <c r="E16" s="231">
        <v>2970</v>
      </c>
      <c r="F16" s="102">
        <f t="shared" si="0"/>
        <v>1</v>
      </c>
      <c r="G16" s="232">
        <f t="shared" si="1"/>
        <v>0</v>
      </c>
      <c r="H16" s="233">
        <f t="shared" si="2"/>
        <v>5</v>
      </c>
      <c r="I16" s="231">
        <v>35</v>
      </c>
      <c r="J16" s="231">
        <v>22</v>
      </c>
      <c r="K16" s="234">
        <f>SUM(Table132[[#This Row],[Totals]:[Overuns]])</f>
        <v>57</v>
      </c>
      <c r="L16" s="467"/>
      <c r="M16" s="467"/>
      <c r="N16" s="467"/>
      <c r="O16" s="467"/>
      <c r="P16" s="467"/>
      <c r="Q16" s="468"/>
    </row>
    <row r="17" spans="3:17" ht="15" customHeight="1" x14ac:dyDescent="0.3">
      <c r="C17" s="54" t="s">
        <v>318</v>
      </c>
      <c r="D17" s="231">
        <v>2760</v>
      </c>
      <c r="E17" s="231">
        <v>2760</v>
      </c>
      <c r="F17" s="102">
        <f t="shared" si="0"/>
        <v>1</v>
      </c>
      <c r="G17" s="232">
        <f>IF(ISBLANK(D17-E17),"",(D17-E17))</f>
        <v>0</v>
      </c>
      <c r="H17" s="233">
        <f t="shared" si="2"/>
        <v>5</v>
      </c>
      <c r="I17" s="231">
        <v>35</v>
      </c>
      <c r="J17" s="231">
        <v>15</v>
      </c>
      <c r="K17" s="231">
        <f>SUM(Table132[[#This Row],[Totals]:[Overuns]])</f>
        <v>50</v>
      </c>
      <c r="L17" s="467"/>
      <c r="M17" s="467"/>
      <c r="N17" s="467"/>
      <c r="O17" s="467"/>
      <c r="P17" s="467"/>
      <c r="Q17" s="468"/>
    </row>
    <row r="18" spans="3:17" ht="15" customHeight="1" x14ac:dyDescent="0.3">
      <c r="C18" s="54" t="s">
        <v>319</v>
      </c>
      <c r="D18" s="231">
        <v>2760</v>
      </c>
      <c r="E18" s="231">
        <v>2760</v>
      </c>
      <c r="F18" s="102">
        <f t="shared" si="0"/>
        <v>1</v>
      </c>
      <c r="G18" s="232">
        <f>IF(ISBLANK(D18-E18),"",(D18-E18))</f>
        <v>0</v>
      </c>
      <c r="H18" s="233">
        <f t="shared" si="2"/>
        <v>5</v>
      </c>
      <c r="I18" s="231">
        <v>35</v>
      </c>
      <c r="J18" s="231">
        <v>16</v>
      </c>
      <c r="K18" s="231">
        <f>SUM(Table132[[#This Row],[Totals]:[Overuns]])</f>
        <v>51</v>
      </c>
      <c r="L18" s="467"/>
      <c r="M18" s="467"/>
      <c r="N18" s="467"/>
      <c r="O18" s="467"/>
      <c r="P18" s="467"/>
      <c r="Q18" s="468"/>
    </row>
    <row r="19" spans="3:17" ht="15" customHeight="1" x14ac:dyDescent="0.3">
      <c r="C19" s="54" t="s">
        <v>320</v>
      </c>
      <c r="D19" s="231">
        <v>2400</v>
      </c>
      <c r="E19" s="231">
        <v>2350</v>
      </c>
      <c r="F19" s="102">
        <f t="shared" si="0"/>
        <v>1.0212765957446808</v>
      </c>
      <c r="G19" s="232">
        <f>IF(ISBLANK(D19-E19),"",(D19-E19))</f>
        <v>50</v>
      </c>
      <c r="H19" s="233">
        <f t="shared" si="2"/>
        <v>5</v>
      </c>
      <c r="I19" s="231">
        <v>35</v>
      </c>
      <c r="J19" s="231">
        <v>14</v>
      </c>
      <c r="K19" s="231">
        <f>SUM(Table132[[#This Row],[Totals]:[Overuns]])</f>
        <v>49</v>
      </c>
      <c r="L19" s="467"/>
      <c r="M19" s="467"/>
      <c r="N19" s="467"/>
      <c r="O19" s="467"/>
      <c r="P19" s="467"/>
      <c r="Q19" s="468"/>
    </row>
    <row r="20" spans="3:17" ht="15" customHeight="1" x14ac:dyDescent="0.3">
      <c r="C20" s="54" t="s">
        <v>321</v>
      </c>
      <c r="D20" s="231">
        <v>2760</v>
      </c>
      <c r="E20" s="231">
        <v>2750</v>
      </c>
      <c r="F20" s="102">
        <f t="shared" si="0"/>
        <v>1.0036363636363637</v>
      </c>
      <c r="G20" s="232">
        <f t="shared" si="1"/>
        <v>10</v>
      </c>
      <c r="H20" s="233">
        <f t="shared" si="2"/>
        <v>5</v>
      </c>
      <c r="I20" s="231">
        <v>35</v>
      </c>
      <c r="J20" s="231">
        <v>14</v>
      </c>
      <c r="K20" s="234">
        <f>SUM(Table132[[#This Row],[Totals]:[Overuns]])</f>
        <v>49</v>
      </c>
      <c r="L20" s="467"/>
      <c r="M20" s="467"/>
      <c r="N20" s="467"/>
      <c r="O20" s="467"/>
      <c r="P20" s="467"/>
      <c r="Q20" s="468"/>
    </row>
    <row r="21" spans="3:17" ht="15" x14ac:dyDescent="0.3">
      <c r="C21" s="99" t="s">
        <v>72</v>
      </c>
      <c r="D21" s="235">
        <f>SUBTOTAL(109,D6:D20)</f>
        <v>40770</v>
      </c>
      <c r="E21" s="235">
        <f>SUBTOTAL(109,E6:E20)</f>
        <v>40695</v>
      </c>
      <c r="F21" s="103">
        <f t="shared" si="0"/>
        <v>1.0018429782528566</v>
      </c>
      <c r="G21" s="236">
        <f>IF(ISBLANK(D21-E21),"",(D21-E21))</f>
        <v>75</v>
      </c>
      <c r="H21" s="235">
        <f>SUBTOTAL(109,H6:H20)</f>
        <v>75</v>
      </c>
      <c r="I21" s="235">
        <f>SUBTOTAL(109,I6:I20)</f>
        <v>525</v>
      </c>
      <c r="J21" s="235">
        <f>SUBTOTAL(109,J6:J20)</f>
        <v>250</v>
      </c>
      <c r="K21" s="235">
        <f>SUM(Table132[[#This Row],[Totals]:[Overuns]])</f>
        <v>775</v>
      </c>
      <c r="L21" s="470"/>
      <c r="M21" s="470"/>
      <c r="N21" s="470"/>
      <c r="O21" s="470"/>
      <c r="P21" s="470"/>
      <c r="Q21" s="470"/>
    </row>
    <row r="22" spans="3:17" x14ac:dyDescent="0.3">
      <c r="C22" s="90"/>
      <c r="D22" s="91"/>
      <c r="E22" s="91"/>
      <c r="F22" s="91"/>
      <c r="G22" s="91"/>
      <c r="H22" s="91"/>
      <c r="I22" s="91"/>
      <c r="J22" s="91"/>
      <c r="K22" s="91"/>
    </row>
    <row r="23" spans="3:17" ht="18" x14ac:dyDescent="0.3">
      <c r="C23" s="420"/>
      <c r="D23" s="420"/>
      <c r="E23" s="420"/>
      <c r="F23" s="420"/>
      <c r="G23" s="420"/>
      <c r="H23" s="420"/>
      <c r="I23" s="420"/>
      <c r="J23" s="420"/>
      <c r="K23" s="420"/>
    </row>
    <row r="24" spans="3:17" ht="15.6" x14ac:dyDescent="0.3">
      <c r="C24" s="93"/>
      <c r="D24" s="92"/>
      <c r="E24" s="92"/>
      <c r="F24" s="92"/>
      <c r="G24" s="92"/>
      <c r="H24" s="92"/>
      <c r="I24" s="92"/>
      <c r="J24" s="92"/>
      <c r="K24" s="93"/>
    </row>
    <row r="25" spans="3:17" ht="15.6" x14ac:dyDescent="0.3">
      <c r="C25" s="93"/>
      <c r="D25" s="92"/>
      <c r="E25" s="92"/>
      <c r="F25" s="92"/>
      <c r="G25" s="92"/>
      <c r="H25" s="92"/>
      <c r="I25" s="92"/>
      <c r="J25" s="92"/>
      <c r="K25" s="93"/>
    </row>
    <row r="26" spans="3:17" ht="15.6" x14ac:dyDescent="0.3">
      <c r="C26" s="93"/>
      <c r="D26" s="92"/>
      <c r="E26" s="92"/>
      <c r="F26" s="92"/>
      <c r="G26" s="92"/>
      <c r="H26" s="92"/>
      <c r="I26" s="92"/>
      <c r="J26" s="92"/>
      <c r="K26" s="93"/>
    </row>
    <row r="27" spans="3:17" ht="15.6" x14ac:dyDescent="0.3">
      <c r="C27" s="93"/>
      <c r="D27" s="92"/>
      <c r="E27" s="92"/>
      <c r="F27" s="92"/>
      <c r="G27" s="92"/>
      <c r="H27" s="92"/>
      <c r="I27" s="92"/>
      <c r="J27" s="92"/>
      <c r="K27" s="93"/>
    </row>
    <row r="28" spans="3:17" ht="15.6" x14ac:dyDescent="0.3">
      <c r="C28" s="93"/>
      <c r="D28" s="92"/>
      <c r="E28" s="92"/>
      <c r="F28" s="92"/>
      <c r="G28" s="92"/>
      <c r="H28" s="92"/>
      <c r="I28" s="92"/>
      <c r="J28" s="92"/>
      <c r="K28" s="93"/>
    </row>
    <row r="29" spans="3:17" ht="15.6" x14ac:dyDescent="0.3">
      <c r="C29" s="93"/>
      <c r="D29" s="92"/>
      <c r="E29" s="92"/>
      <c r="F29" s="92"/>
      <c r="G29" s="92"/>
      <c r="H29" s="92"/>
      <c r="I29" s="92"/>
      <c r="J29" s="92"/>
      <c r="K29" s="93"/>
    </row>
    <row r="30" spans="3:17" ht="15.6" x14ac:dyDescent="0.3">
      <c r="C30" s="93"/>
      <c r="D30" s="92"/>
      <c r="E30" s="92"/>
      <c r="F30" s="92"/>
      <c r="G30" s="92"/>
      <c r="H30" s="92"/>
      <c r="I30" s="92"/>
      <c r="J30" s="92"/>
      <c r="K30" s="93"/>
    </row>
    <row r="31" spans="3:17" ht="15.6" x14ac:dyDescent="0.3">
      <c r="C31" s="93"/>
      <c r="D31" s="92"/>
      <c r="E31" s="92"/>
      <c r="F31" s="92"/>
      <c r="G31" s="92"/>
      <c r="H31" s="92"/>
      <c r="I31" s="92"/>
      <c r="J31" s="92"/>
      <c r="K31" s="93"/>
    </row>
    <row r="32" spans="3:17" ht="15.6" x14ac:dyDescent="0.3">
      <c r="C32" s="93"/>
      <c r="D32" s="92"/>
      <c r="E32" s="92"/>
      <c r="F32" s="92"/>
      <c r="G32" s="92"/>
      <c r="H32" s="92"/>
      <c r="I32" s="92"/>
      <c r="J32" s="92"/>
      <c r="K32" s="93"/>
    </row>
    <row r="33" spans="3:11" ht="15.6" x14ac:dyDescent="0.3">
      <c r="C33" s="93"/>
      <c r="D33" s="92"/>
      <c r="E33" s="92"/>
      <c r="F33" s="92"/>
      <c r="G33" s="92"/>
      <c r="H33" s="92"/>
      <c r="I33" s="92"/>
      <c r="J33" s="92"/>
      <c r="K33" s="93"/>
    </row>
    <row r="34" spans="3:11" ht="15.6" x14ac:dyDescent="0.3">
      <c r="C34" s="93"/>
      <c r="D34" s="92"/>
      <c r="E34" s="92"/>
      <c r="F34" s="92"/>
      <c r="G34" s="92"/>
      <c r="H34" s="92"/>
      <c r="I34" s="92"/>
      <c r="J34" s="92"/>
      <c r="K34" s="93"/>
    </row>
    <row r="35" spans="3:11" ht="15.6" x14ac:dyDescent="0.3">
      <c r="C35" s="93"/>
      <c r="D35" s="92"/>
      <c r="E35" s="92"/>
      <c r="F35" s="92"/>
      <c r="G35" s="92"/>
      <c r="H35" s="92"/>
      <c r="I35" s="92"/>
      <c r="J35" s="92"/>
      <c r="K35" s="93"/>
    </row>
    <row r="36" spans="3:11" ht="15.6" x14ac:dyDescent="0.3">
      <c r="C36" s="93"/>
      <c r="D36" s="92"/>
      <c r="E36" s="92"/>
      <c r="F36" s="92"/>
      <c r="G36" s="92"/>
      <c r="H36" s="92"/>
      <c r="I36" s="92"/>
      <c r="J36" s="92"/>
      <c r="K36" s="93"/>
    </row>
    <row r="37" spans="3:11" ht="15.6" x14ac:dyDescent="0.3">
      <c r="C37" s="93"/>
      <c r="D37" s="92"/>
      <c r="E37" s="92"/>
      <c r="F37" s="92"/>
      <c r="G37" s="92"/>
      <c r="H37" s="92"/>
      <c r="I37" s="92"/>
      <c r="J37" s="92"/>
      <c r="K37" s="93"/>
    </row>
    <row r="38" spans="3:11" ht="15.6" x14ac:dyDescent="0.3">
      <c r="C38" s="93"/>
      <c r="D38" s="92"/>
      <c r="E38" s="92"/>
      <c r="F38" s="92"/>
      <c r="G38" s="92"/>
      <c r="H38" s="92"/>
      <c r="I38" s="92"/>
      <c r="J38" s="92"/>
      <c r="K38" s="93"/>
    </row>
    <row r="39" spans="3:11" ht="15.6" x14ac:dyDescent="0.3">
      <c r="C39" s="93"/>
      <c r="D39" s="92"/>
      <c r="E39" s="92"/>
      <c r="F39" s="92"/>
      <c r="G39" s="92"/>
      <c r="H39" s="92"/>
      <c r="I39" s="92"/>
      <c r="J39" s="92"/>
      <c r="K39" s="93"/>
    </row>
    <row r="40" spans="3:11" ht="15.6" x14ac:dyDescent="0.3">
      <c r="C40" s="93"/>
      <c r="D40" s="92"/>
      <c r="E40" s="92"/>
      <c r="F40" s="92"/>
      <c r="G40" s="92"/>
      <c r="H40" s="92"/>
      <c r="I40" s="92"/>
      <c r="J40" s="92"/>
      <c r="K40" s="93"/>
    </row>
    <row r="41" spans="3:11" ht="15.6" x14ac:dyDescent="0.3">
      <c r="C41" s="93"/>
      <c r="D41" s="92"/>
      <c r="E41" s="92"/>
      <c r="F41" s="92"/>
      <c r="G41" s="92"/>
      <c r="H41" s="92"/>
      <c r="I41" s="92"/>
      <c r="J41" s="92"/>
      <c r="K41" s="93"/>
    </row>
    <row r="42" spans="3:11" ht="15.6" x14ac:dyDescent="0.3">
      <c r="C42" s="93"/>
      <c r="D42" s="92"/>
      <c r="E42" s="92"/>
      <c r="F42" s="92"/>
      <c r="G42" s="92"/>
      <c r="H42" s="92"/>
      <c r="I42" s="92"/>
      <c r="J42" s="92"/>
      <c r="K42" s="93"/>
    </row>
    <row r="43" spans="3:11" ht="15.6" x14ac:dyDescent="0.3">
      <c r="C43" s="93"/>
      <c r="D43" s="92"/>
      <c r="E43" s="92"/>
      <c r="F43" s="92"/>
      <c r="G43" s="92"/>
      <c r="H43" s="92"/>
      <c r="I43" s="92"/>
      <c r="J43" s="92"/>
      <c r="K43" s="93"/>
    </row>
    <row r="44" spans="3:11" ht="15.6" x14ac:dyDescent="0.3">
      <c r="C44" s="93"/>
      <c r="D44" s="92"/>
      <c r="E44" s="92"/>
      <c r="F44" s="92"/>
      <c r="G44" s="92"/>
      <c r="H44" s="92"/>
      <c r="I44" s="92"/>
      <c r="J44" s="92"/>
      <c r="K44" s="93"/>
    </row>
    <row r="45" spans="3:11" ht="15.6" x14ac:dyDescent="0.3">
      <c r="C45" s="93"/>
      <c r="D45" s="93"/>
      <c r="E45" s="93"/>
      <c r="F45" s="93"/>
      <c r="G45" s="93"/>
      <c r="H45" s="93"/>
      <c r="I45" s="93"/>
      <c r="J45" s="93"/>
      <c r="K45" s="93"/>
    </row>
    <row r="46" spans="3:11" x14ac:dyDescent="0.3">
      <c r="D46" s="9"/>
      <c r="E46" s="9"/>
      <c r="F46" s="9"/>
      <c r="G46" s="9"/>
      <c r="H46" s="9"/>
      <c r="I46" s="9"/>
      <c r="J46" s="9"/>
    </row>
  </sheetData>
  <mergeCells count="7">
    <mergeCell ref="L5:Q5"/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C44" sqref="C44"/>
    </sheetView>
  </sheetViews>
  <sheetFormatPr defaultRowHeight="14.4" x14ac:dyDescent="0.3"/>
  <cols>
    <col min="1" max="1" width="1.44140625" customWidth="1"/>
    <col min="2" max="2" width="29.55468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1" width="11.33203125" customWidth="1"/>
    <col min="12" max="12" width="10.44140625" customWidth="1"/>
    <col min="13" max="13" width="10" customWidth="1"/>
    <col min="14" max="14" width="10.77734375" customWidth="1"/>
    <col min="15" max="15" width="12.33203125" customWidth="1"/>
    <col min="16" max="16" width="14.21875" customWidth="1"/>
  </cols>
  <sheetData>
    <row r="2" spans="2:15" x14ac:dyDescent="0.3">
      <c r="B2" s="104" t="s">
        <v>265</v>
      </c>
      <c r="C2" s="105" t="s">
        <v>266</v>
      </c>
      <c r="D2" s="106"/>
      <c r="E2" s="106" t="s">
        <v>216</v>
      </c>
      <c r="F2" s="106"/>
      <c r="G2" s="107"/>
    </row>
    <row r="4" spans="2:15" x14ac:dyDescent="0.3">
      <c r="B4" s="57" t="s">
        <v>64</v>
      </c>
      <c r="C4" s="58" t="s">
        <v>25</v>
      </c>
      <c r="D4" s="58" t="s">
        <v>26</v>
      </c>
      <c r="E4" s="58" t="s">
        <v>27</v>
      </c>
      <c r="F4" s="58" t="s">
        <v>28</v>
      </c>
      <c r="G4" s="58" t="s">
        <v>29</v>
      </c>
      <c r="H4" s="58" t="s">
        <v>30</v>
      </c>
      <c r="I4" s="58" t="s">
        <v>31</v>
      </c>
      <c r="J4" s="58" t="s">
        <v>32</v>
      </c>
      <c r="K4" s="58" t="s">
        <v>33</v>
      </c>
      <c r="L4" s="58" t="s">
        <v>34</v>
      </c>
      <c r="M4" s="58">
        <v>3500</v>
      </c>
      <c r="N4" s="58" t="s">
        <v>36</v>
      </c>
      <c r="O4" s="58" t="s">
        <v>72</v>
      </c>
    </row>
    <row r="5" spans="2:15" x14ac:dyDescent="0.3">
      <c r="B5" s="59" t="s">
        <v>92</v>
      </c>
      <c r="C5" s="242">
        <v>3500</v>
      </c>
      <c r="D5" s="242">
        <v>4000</v>
      </c>
      <c r="E5" s="242">
        <v>4500</v>
      </c>
      <c r="F5" s="242">
        <v>5500</v>
      </c>
      <c r="G5" s="242">
        <v>6500</v>
      </c>
      <c r="H5" s="242">
        <v>7500</v>
      </c>
      <c r="I5" s="242">
        <v>8500</v>
      </c>
      <c r="J5" s="242">
        <v>11000</v>
      </c>
      <c r="K5" s="242">
        <v>9500</v>
      </c>
      <c r="L5" s="242">
        <v>9600</v>
      </c>
      <c r="M5" s="242">
        <v>9700</v>
      </c>
      <c r="N5" s="242">
        <v>9900</v>
      </c>
      <c r="O5" s="243">
        <f>SUM(C5:N5)</f>
        <v>89700</v>
      </c>
    </row>
    <row r="6" spans="2:15" x14ac:dyDescent="0.3">
      <c r="B6" s="60" t="s">
        <v>300</v>
      </c>
      <c r="C6" s="242">
        <v>4400</v>
      </c>
      <c r="D6" s="242">
        <v>3800</v>
      </c>
      <c r="E6" s="242">
        <v>4500</v>
      </c>
      <c r="F6" s="242">
        <v>5500</v>
      </c>
      <c r="G6" s="242">
        <v>6000</v>
      </c>
      <c r="H6" s="242">
        <v>8500</v>
      </c>
      <c r="I6" s="242">
        <v>9500</v>
      </c>
      <c r="J6" s="242"/>
      <c r="K6" s="242"/>
      <c r="L6" s="242"/>
      <c r="M6" s="242"/>
      <c r="N6" s="242"/>
      <c r="O6" s="243">
        <f t="shared" ref="O6:O11" si="0">SUM(C6:N6)</f>
        <v>42200</v>
      </c>
    </row>
    <row r="7" spans="2:15" x14ac:dyDescent="0.3">
      <c r="B7" s="61" t="s">
        <v>301</v>
      </c>
      <c r="C7" s="242">
        <v>3100</v>
      </c>
      <c r="D7" s="242">
        <v>4150</v>
      </c>
      <c r="E7" s="242">
        <v>4700</v>
      </c>
      <c r="F7" s="242">
        <v>5600</v>
      </c>
      <c r="G7" s="242">
        <v>6900</v>
      </c>
      <c r="H7" s="242">
        <v>7700</v>
      </c>
      <c r="I7" s="242">
        <v>8600</v>
      </c>
      <c r="J7" s="242"/>
      <c r="K7" s="242"/>
      <c r="L7" s="242"/>
      <c r="M7" s="242"/>
      <c r="N7" s="242"/>
      <c r="O7" s="243">
        <f t="shared" si="0"/>
        <v>40750</v>
      </c>
    </row>
    <row r="8" spans="2:15" x14ac:dyDescent="0.3">
      <c r="B8" s="62" t="s">
        <v>302</v>
      </c>
      <c r="C8" s="242">
        <v>6000</v>
      </c>
      <c r="D8" s="242">
        <v>6500</v>
      </c>
      <c r="E8" s="242">
        <v>6700</v>
      </c>
      <c r="F8" s="242">
        <v>6900</v>
      </c>
      <c r="G8" s="242">
        <v>7200</v>
      </c>
      <c r="H8" s="242">
        <v>7800</v>
      </c>
      <c r="I8" s="242">
        <v>8900</v>
      </c>
      <c r="J8" s="242"/>
      <c r="K8" s="242"/>
      <c r="L8" s="242"/>
      <c r="M8" s="242"/>
      <c r="N8" s="242"/>
      <c r="O8" s="243">
        <f t="shared" si="0"/>
        <v>50000</v>
      </c>
    </row>
    <row r="9" spans="2:15" x14ac:dyDescent="0.3">
      <c r="B9" s="63" t="s">
        <v>303</v>
      </c>
      <c r="C9" s="242">
        <v>5700</v>
      </c>
      <c r="D9" s="242">
        <v>6250</v>
      </c>
      <c r="E9" s="242">
        <v>6400</v>
      </c>
      <c r="F9" s="242">
        <v>6500</v>
      </c>
      <c r="G9" s="242">
        <v>7000</v>
      </c>
      <c r="H9" s="242">
        <v>7550</v>
      </c>
      <c r="I9" s="242">
        <v>8600</v>
      </c>
      <c r="J9" s="242"/>
      <c r="K9" s="242"/>
      <c r="L9" s="242"/>
      <c r="M9" s="242"/>
      <c r="N9" s="242"/>
      <c r="O9" s="243">
        <f t="shared" si="0"/>
        <v>48000</v>
      </c>
    </row>
    <row r="10" spans="2:15" x14ac:dyDescent="0.3">
      <c r="B10" s="64" t="s">
        <v>304</v>
      </c>
      <c r="C10" s="242">
        <v>2700</v>
      </c>
      <c r="D10" s="242">
        <v>3100</v>
      </c>
      <c r="E10" s="242">
        <v>3500</v>
      </c>
      <c r="F10" s="242">
        <v>4300</v>
      </c>
      <c r="G10" s="242">
        <v>5100</v>
      </c>
      <c r="H10" s="242">
        <v>6500</v>
      </c>
      <c r="I10" s="242">
        <v>7500</v>
      </c>
      <c r="J10" s="242"/>
      <c r="K10" s="242"/>
      <c r="L10" s="242"/>
      <c r="M10" s="242"/>
      <c r="N10" s="242"/>
      <c r="O10" s="243">
        <f t="shared" si="0"/>
        <v>32700</v>
      </c>
    </row>
    <row r="11" spans="2:15" x14ac:dyDescent="0.3">
      <c r="B11" s="65" t="s">
        <v>305</v>
      </c>
      <c r="C11" s="242">
        <v>3600</v>
      </c>
      <c r="D11" s="242">
        <v>3950</v>
      </c>
      <c r="E11" s="242">
        <v>4100</v>
      </c>
      <c r="F11" s="242">
        <v>5500</v>
      </c>
      <c r="G11" s="242">
        <v>7100</v>
      </c>
      <c r="H11" s="242">
        <v>7450</v>
      </c>
      <c r="I11" s="242">
        <v>8800</v>
      </c>
      <c r="J11" s="242"/>
      <c r="K11" s="242"/>
      <c r="L11" s="242"/>
      <c r="M11" s="242"/>
      <c r="N11" s="242"/>
      <c r="O11" s="243">
        <f t="shared" si="0"/>
        <v>40500</v>
      </c>
    </row>
    <row r="32" spans="2:16" ht="37.799999999999997" customHeight="1" x14ac:dyDescent="0.3">
      <c r="B32" s="424" t="s">
        <v>214</v>
      </c>
      <c r="C32" s="426"/>
      <c r="D32" s="424" t="s">
        <v>74</v>
      </c>
      <c r="E32" s="425"/>
      <c r="F32" s="426"/>
      <c r="G32" s="424" t="s">
        <v>75</v>
      </c>
      <c r="H32" s="426"/>
      <c r="I32" s="424" t="s">
        <v>76</v>
      </c>
      <c r="J32" s="425"/>
      <c r="K32" s="426"/>
      <c r="L32" s="424" t="s">
        <v>77</v>
      </c>
      <c r="M32" s="426"/>
      <c r="N32" s="424" t="s">
        <v>78</v>
      </c>
      <c r="O32" s="425"/>
      <c r="P32" s="426"/>
    </row>
    <row r="33" spans="2:16" ht="25.2" x14ac:dyDescent="0.3">
      <c r="B33" s="43" t="s">
        <v>79</v>
      </c>
      <c r="C33" s="43" t="s">
        <v>80</v>
      </c>
      <c r="D33" s="44" t="s">
        <v>81</v>
      </c>
      <c r="E33" s="45" t="s">
        <v>82</v>
      </c>
      <c r="F33" s="43" t="s">
        <v>83</v>
      </c>
      <c r="G33" s="43" t="s">
        <v>84</v>
      </c>
      <c r="H33" s="43" t="s">
        <v>85</v>
      </c>
      <c r="I33" s="44" t="s">
        <v>81</v>
      </c>
      <c r="J33" s="45" t="s">
        <v>82</v>
      </c>
      <c r="K33" s="43" t="s">
        <v>83</v>
      </c>
      <c r="L33" s="46" t="s">
        <v>86</v>
      </c>
      <c r="M33" s="47" t="s">
        <v>87</v>
      </c>
      <c r="N33" s="48" t="s">
        <v>88</v>
      </c>
      <c r="O33" s="49" t="s">
        <v>89</v>
      </c>
      <c r="P33" s="50" t="s">
        <v>90</v>
      </c>
    </row>
    <row r="34" spans="2:16" x14ac:dyDescent="0.3">
      <c r="B34" s="51">
        <v>1</v>
      </c>
      <c r="C34" s="51" t="s">
        <v>239</v>
      </c>
      <c r="D34" s="237">
        <v>15860</v>
      </c>
      <c r="E34" s="237">
        <v>15650</v>
      </c>
      <c r="F34" s="237">
        <f t="shared" ref="F34:F43" si="1">(D34-E34)</f>
        <v>210</v>
      </c>
      <c r="G34" s="238">
        <v>9283</v>
      </c>
      <c r="H34" s="238">
        <f t="shared" ref="H34:H43" si="2">G34+E34</f>
        <v>24933</v>
      </c>
      <c r="I34" s="237">
        <v>35916</v>
      </c>
      <c r="J34" s="237">
        <v>37957</v>
      </c>
      <c r="K34" s="237">
        <f t="shared" ref="K34:K43" si="3">J34-I34</f>
        <v>2041</v>
      </c>
      <c r="L34" s="52">
        <f t="shared" ref="L34:L43" si="4">(J34-E34)/J34</f>
        <v>0.58769133493163317</v>
      </c>
      <c r="M34" s="52">
        <f t="shared" ref="M34:M43" si="5">(J34-H34)/J34</f>
        <v>0.34312511526200701</v>
      </c>
      <c r="N34" s="53" t="s">
        <v>26</v>
      </c>
      <c r="O34" s="238">
        <v>3613439</v>
      </c>
      <c r="P34" s="238">
        <v>3293202</v>
      </c>
    </row>
    <row r="35" spans="2:16" x14ac:dyDescent="0.3">
      <c r="B35" s="54">
        <v>2</v>
      </c>
      <c r="C35" s="51" t="s">
        <v>240</v>
      </c>
      <c r="D35" s="239">
        <v>13760</v>
      </c>
      <c r="E35" s="239">
        <v>13018</v>
      </c>
      <c r="F35" s="239">
        <f t="shared" si="1"/>
        <v>742</v>
      </c>
      <c r="G35" s="240">
        <v>6598</v>
      </c>
      <c r="H35" s="240">
        <f t="shared" si="2"/>
        <v>19616</v>
      </c>
      <c r="I35" s="239">
        <v>15534</v>
      </c>
      <c r="J35" s="239">
        <v>15900</v>
      </c>
      <c r="K35" s="239">
        <f t="shared" si="3"/>
        <v>366</v>
      </c>
      <c r="L35" s="55">
        <f t="shared" si="4"/>
        <v>0.18125786163522012</v>
      </c>
      <c r="M35" s="55">
        <f t="shared" si="5"/>
        <v>-0.23371069182389936</v>
      </c>
      <c r="N35" s="53" t="s">
        <v>27</v>
      </c>
      <c r="O35" s="240">
        <v>3508776</v>
      </c>
      <c r="P35" s="240">
        <v>3441854</v>
      </c>
    </row>
    <row r="36" spans="2:16" x14ac:dyDescent="0.3">
      <c r="B36" s="51">
        <v>3</v>
      </c>
      <c r="C36" s="51" t="s">
        <v>241</v>
      </c>
      <c r="D36" s="237">
        <v>14940</v>
      </c>
      <c r="E36" s="237">
        <v>13259</v>
      </c>
      <c r="F36" s="237">
        <f t="shared" si="1"/>
        <v>1681</v>
      </c>
      <c r="G36" s="238">
        <v>7527</v>
      </c>
      <c r="H36" s="238">
        <f t="shared" si="2"/>
        <v>20786</v>
      </c>
      <c r="I36" s="237">
        <v>20719</v>
      </c>
      <c r="J36" s="237">
        <v>22784</v>
      </c>
      <c r="K36" s="237">
        <f t="shared" si="3"/>
        <v>2065</v>
      </c>
      <c r="L36" s="52">
        <f t="shared" si="4"/>
        <v>0.4180565308988764</v>
      </c>
      <c r="M36" s="52">
        <f t="shared" si="5"/>
        <v>8.7693117977528087E-2</v>
      </c>
      <c r="N36" s="53" t="s">
        <v>28</v>
      </c>
      <c r="O36" s="238">
        <v>3719457</v>
      </c>
      <c r="P36" s="238">
        <v>3531844</v>
      </c>
    </row>
    <row r="37" spans="2:16" x14ac:dyDescent="0.3">
      <c r="B37" s="54">
        <v>4</v>
      </c>
      <c r="C37" s="51" t="s">
        <v>242</v>
      </c>
      <c r="D37" s="239">
        <v>12653</v>
      </c>
      <c r="E37" s="239">
        <v>11368</v>
      </c>
      <c r="F37" s="239">
        <f t="shared" si="1"/>
        <v>1285</v>
      </c>
      <c r="G37" s="240">
        <v>9592</v>
      </c>
      <c r="H37" s="240">
        <f t="shared" si="2"/>
        <v>20960</v>
      </c>
      <c r="I37" s="239">
        <v>20242</v>
      </c>
      <c r="J37" s="239">
        <v>26000</v>
      </c>
      <c r="K37" s="239">
        <f t="shared" si="3"/>
        <v>5758</v>
      </c>
      <c r="L37" s="55">
        <f t="shared" si="4"/>
        <v>0.5627692307692308</v>
      </c>
      <c r="M37" s="55">
        <f t="shared" si="5"/>
        <v>0.19384615384615383</v>
      </c>
      <c r="N37" s="53" t="s">
        <v>29</v>
      </c>
      <c r="O37" s="240">
        <v>3310212</v>
      </c>
      <c r="P37" s="240">
        <v>3354051</v>
      </c>
    </row>
    <row r="38" spans="2:16" x14ac:dyDescent="0.3">
      <c r="B38" s="51">
        <v>5</v>
      </c>
      <c r="C38" s="51" t="s">
        <v>243</v>
      </c>
      <c r="D38" s="237">
        <v>9478</v>
      </c>
      <c r="E38" s="237">
        <v>9003</v>
      </c>
      <c r="F38" s="237">
        <f t="shared" si="1"/>
        <v>475</v>
      </c>
      <c r="G38" s="238">
        <v>8392</v>
      </c>
      <c r="H38" s="238">
        <f t="shared" si="2"/>
        <v>17395</v>
      </c>
      <c r="I38" s="237">
        <v>15177</v>
      </c>
      <c r="J38" s="237">
        <v>17581</v>
      </c>
      <c r="K38" s="237">
        <f t="shared" si="3"/>
        <v>2404</v>
      </c>
      <c r="L38" s="52">
        <f t="shared" si="4"/>
        <v>0.48791308799271943</v>
      </c>
      <c r="M38" s="52">
        <f t="shared" si="5"/>
        <v>1.0579602980490302E-2</v>
      </c>
      <c r="N38" s="53" t="s">
        <v>30</v>
      </c>
      <c r="O38" s="238">
        <v>3945202</v>
      </c>
      <c r="P38" s="238">
        <v>3476155</v>
      </c>
    </row>
    <row r="39" spans="2:16" x14ac:dyDescent="0.3">
      <c r="B39" s="54">
        <v>6</v>
      </c>
      <c r="C39" s="51" t="s">
        <v>244</v>
      </c>
      <c r="D39" s="239">
        <v>11600</v>
      </c>
      <c r="E39" s="239">
        <v>10900</v>
      </c>
      <c r="F39" s="239">
        <f t="shared" si="1"/>
        <v>700</v>
      </c>
      <c r="G39" s="240">
        <v>6490</v>
      </c>
      <c r="H39" s="240">
        <f t="shared" si="2"/>
        <v>17390</v>
      </c>
      <c r="I39" s="239">
        <v>11263</v>
      </c>
      <c r="J39" s="239">
        <v>15766</v>
      </c>
      <c r="K39" s="239">
        <f t="shared" si="3"/>
        <v>4503</v>
      </c>
      <c r="L39" s="55">
        <f t="shared" si="4"/>
        <v>0.30863884308004569</v>
      </c>
      <c r="M39" s="55">
        <f t="shared" si="5"/>
        <v>-0.10300646961816567</v>
      </c>
      <c r="N39" s="53" t="s">
        <v>31</v>
      </c>
      <c r="O39" s="240">
        <v>3938152</v>
      </c>
      <c r="P39" s="240">
        <v>3538468</v>
      </c>
    </row>
    <row r="40" spans="2:16" x14ac:dyDescent="0.3">
      <c r="B40" s="51">
        <v>7</v>
      </c>
      <c r="C40" s="51" t="s">
        <v>245</v>
      </c>
      <c r="D40" s="237">
        <v>13785</v>
      </c>
      <c r="E40" s="237">
        <v>12550</v>
      </c>
      <c r="F40" s="237">
        <f t="shared" si="1"/>
        <v>1235</v>
      </c>
      <c r="G40" s="238">
        <v>6582</v>
      </c>
      <c r="H40" s="238">
        <f t="shared" si="2"/>
        <v>19132</v>
      </c>
      <c r="I40" s="237">
        <v>18852</v>
      </c>
      <c r="J40" s="237">
        <v>20375</v>
      </c>
      <c r="K40" s="237">
        <f t="shared" si="3"/>
        <v>1523</v>
      </c>
      <c r="L40" s="52">
        <f t="shared" si="4"/>
        <v>0.38404907975460123</v>
      </c>
      <c r="M40" s="52">
        <f t="shared" si="5"/>
        <v>6.1006134969325151E-2</v>
      </c>
      <c r="N40" s="53" t="s">
        <v>32</v>
      </c>
      <c r="O40" s="238">
        <v>3733706</v>
      </c>
      <c r="P40" s="238">
        <v>3727037</v>
      </c>
    </row>
    <row r="41" spans="2:16" x14ac:dyDescent="0.3">
      <c r="B41" s="54">
        <v>8</v>
      </c>
      <c r="C41" s="51" t="s">
        <v>246</v>
      </c>
      <c r="D41" s="239">
        <v>28283</v>
      </c>
      <c r="E41" s="239">
        <v>26300</v>
      </c>
      <c r="F41" s="239">
        <f t="shared" si="1"/>
        <v>1983</v>
      </c>
      <c r="G41" s="240">
        <v>7606</v>
      </c>
      <c r="H41" s="240">
        <f t="shared" si="2"/>
        <v>33906</v>
      </c>
      <c r="I41" s="239">
        <v>38380</v>
      </c>
      <c r="J41" s="239">
        <v>39983</v>
      </c>
      <c r="K41" s="239">
        <f t="shared" si="3"/>
        <v>1603</v>
      </c>
      <c r="L41" s="55">
        <f t="shared" si="4"/>
        <v>0.34222044368856763</v>
      </c>
      <c r="M41" s="55">
        <f t="shared" si="5"/>
        <v>0.1519895955781207</v>
      </c>
      <c r="N41" s="53" t="s">
        <v>33</v>
      </c>
      <c r="O41" s="240">
        <v>3526698</v>
      </c>
      <c r="P41" s="240">
        <v>3425405</v>
      </c>
    </row>
    <row r="42" spans="2:16" x14ac:dyDescent="0.3">
      <c r="B42" s="51">
        <v>9</v>
      </c>
      <c r="C42" s="51" t="s">
        <v>247</v>
      </c>
      <c r="D42" s="237">
        <v>15438</v>
      </c>
      <c r="E42" s="237">
        <v>14400</v>
      </c>
      <c r="F42" s="237">
        <f t="shared" si="1"/>
        <v>1038</v>
      </c>
      <c r="G42" s="238">
        <v>5667</v>
      </c>
      <c r="H42" s="238">
        <f t="shared" si="2"/>
        <v>20067</v>
      </c>
      <c r="I42" s="237">
        <v>9731</v>
      </c>
      <c r="J42" s="237">
        <v>14240</v>
      </c>
      <c r="K42" s="237">
        <f t="shared" si="3"/>
        <v>4509</v>
      </c>
      <c r="L42" s="52">
        <f t="shared" si="4"/>
        <v>-1.1235955056179775E-2</v>
      </c>
      <c r="M42" s="52">
        <f t="shared" si="5"/>
        <v>-0.40919943820224719</v>
      </c>
      <c r="N42" s="53" t="s">
        <v>34</v>
      </c>
      <c r="O42" s="238">
        <v>3632971</v>
      </c>
      <c r="P42" s="238">
        <v>3734041</v>
      </c>
    </row>
    <row r="43" spans="2:16" x14ac:dyDescent="0.3">
      <c r="B43" s="54">
        <v>10</v>
      </c>
      <c r="C43" s="51" t="s">
        <v>248</v>
      </c>
      <c r="D43" s="239">
        <v>9755</v>
      </c>
      <c r="E43" s="239">
        <v>9187</v>
      </c>
      <c r="F43" s="239">
        <f t="shared" si="1"/>
        <v>568</v>
      </c>
      <c r="G43" s="240">
        <v>6347</v>
      </c>
      <c r="H43" s="240">
        <f t="shared" si="2"/>
        <v>15534</v>
      </c>
      <c r="I43" s="239">
        <v>9410</v>
      </c>
      <c r="J43" s="239">
        <v>12610</v>
      </c>
      <c r="K43" s="239">
        <f t="shared" si="3"/>
        <v>3200</v>
      </c>
      <c r="L43" s="55">
        <f t="shared" si="4"/>
        <v>0.27145122918318793</v>
      </c>
      <c r="M43" s="55">
        <f t="shared" si="5"/>
        <v>-0.23187946074544014</v>
      </c>
      <c r="N43" s="53" t="s">
        <v>35</v>
      </c>
      <c r="O43" s="240">
        <v>3206487</v>
      </c>
      <c r="P43" s="240">
        <v>3677074</v>
      </c>
    </row>
    <row r="44" spans="2:16" ht="25.2" customHeight="1" x14ac:dyDescent="0.3">
      <c r="B44" s="42"/>
      <c r="C44" s="42"/>
      <c r="D44" s="241">
        <f t="shared" ref="D44:K44" si="6">SUM(D34:D43)</f>
        <v>145552</v>
      </c>
      <c r="E44" s="241">
        <f t="shared" si="6"/>
        <v>135635</v>
      </c>
      <c r="F44" s="241">
        <f t="shared" si="6"/>
        <v>9917</v>
      </c>
      <c r="G44" s="241">
        <f t="shared" si="6"/>
        <v>74084</v>
      </c>
      <c r="H44" s="241">
        <f t="shared" si="6"/>
        <v>209719</v>
      </c>
      <c r="I44" s="241">
        <f t="shared" si="6"/>
        <v>195224</v>
      </c>
      <c r="J44" s="241">
        <f t="shared" si="6"/>
        <v>223196</v>
      </c>
      <c r="K44" s="241">
        <f t="shared" si="6"/>
        <v>27972</v>
      </c>
      <c r="L44" s="56">
        <f>SUM(L34:L43)/10</f>
        <v>0.3532811686877903</v>
      </c>
      <c r="M44" s="56">
        <f>SUM(M34:M43)/10</f>
        <v>-1.2955633977612725E-2</v>
      </c>
      <c r="N44" s="42"/>
      <c r="O44" s="42"/>
      <c r="P44" s="42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J2" sqref="J2"/>
    </sheetView>
  </sheetViews>
  <sheetFormatPr defaultRowHeight="14.4" x14ac:dyDescent="0.3"/>
  <cols>
    <col min="1" max="1" width="1.77734375" style="110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10" customFormat="1" ht="10.8" customHeight="1" x14ac:dyDescent="0.3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9"/>
      <c r="AF1" s="109"/>
    </row>
    <row r="2" spans="1:32" s="110" customFormat="1" ht="13.8" customHeight="1" x14ac:dyDescent="0.3">
      <c r="A2" s="108"/>
      <c r="B2" s="116" t="s">
        <v>258</v>
      </c>
      <c r="C2" s="117"/>
      <c r="D2" s="117"/>
      <c r="E2" s="117"/>
      <c r="F2" s="117"/>
      <c r="G2" s="118"/>
      <c r="H2" s="11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9"/>
      <c r="AF2" s="109"/>
    </row>
    <row r="3" spans="1:32" s="110" customFormat="1" ht="10.199999999999999" customHeight="1" x14ac:dyDescent="0.3">
      <c r="A3" s="108"/>
      <c r="B3" s="428"/>
      <c r="C3" s="428"/>
      <c r="D3" s="428"/>
      <c r="E3" s="428"/>
      <c r="F3" s="428"/>
      <c r="G3" s="42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9"/>
      <c r="AF3" s="109"/>
    </row>
    <row r="4" spans="1:32" s="110" customFormat="1" ht="21" customHeight="1" x14ac:dyDescent="0.3">
      <c r="A4" s="108"/>
      <c r="B4" s="427" t="str">
        <f>"  "&amp;TimeData!B3</f>
        <v xml:space="preserve">  Location 1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112"/>
      <c r="N4" s="427" t="str">
        <f>"  "&amp;TimeData!B6</f>
        <v xml:space="preserve">  Location 2</v>
      </c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108"/>
      <c r="Z4" s="108"/>
      <c r="AA4" s="108"/>
      <c r="AB4" s="108"/>
      <c r="AC4" s="108"/>
      <c r="AD4" s="108"/>
      <c r="AE4" s="109"/>
      <c r="AF4" s="109"/>
    </row>
    <row r="5" spans="1:32" s="110" customFormat="1" ht="21" customHeight="1" x14ac:dyDescent="0.3">
      <c r="A5" s="108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2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08"/>
      <c r="Z5" s="108"/>
      <c r="AA5" s="108"/>
      <c r="AB5" s="108"/>
      <c r="AC5" s="108"/>
      <c r="AD5" s="108"/>
      <c r="AE5" s="109"/>
      <c r="AF5" s="109"/>
    </row>
    <row r="6" spans="1:32" s="110" customFormat="1" ht="21" customHeight="1" x14ac:dyDescent="0.3">
      <c r="A6" s="108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2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08"/>
      <c r="Z6" s="108"/>
      <c r="AA6" s="108"/>
      <c r="AB6" s="108"/>
      <c r="AC6" s="108"/>
      <c r="AD6" s="108"/>
      <c r="AE6" s="109"/>
      <c r="AF6" s="109"/>
    </row>
    <row r="7" spans="1:32" s="110" customFormat="1" ht="21" customHeight="1" x14ac:dyDescent="0.3">
      <c r="A7" s="108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2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08"/>
      <c r="Z7" s="108"/>
      <c r="AA7" s="108"/>
      <c r="AB7" s="108"/>
      <c r="AC7" s="108"/>
      <c r="AD7" s="108"/>
      <c r="AE7" s="109"/>
      <c r="AF7" s="109"/>
    </row>
    <row r="8" spans="1:32" s="110" customFormat="1" ht="21" customHeight="1" x14ac:dyDescent="0.3">
      <c r="A8" s="108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2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08"/>
      <c r="Z8" s="108"/>
      <c r="AA8" s="108"/>
      <c r="AB8" s="108"/>
      <c r="AC8" s="108"/>
      <c r="AD8" s="108"/>
      <c r="AE8" s="109"/>
      <c r="AF8" s="109"/>
    </row>
    <row r="9" spans="1:32" s="110" customFormat="1" ht="21" customHeight="1" x14ac:dyDescent="0.3">
      <c r="A9" s="10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2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08"/>
      <c r="Z9" s="108"/>
      <c r="AA9" s="108"/>
      <c r="AB9" s="108"/>
      <c r="AC9" s="108"/>
      <c r="AD9" s="108"/>
      <c r="AE9" s="109"/>
      <c r="AF9" s="109"/>
    </row>
    <row r="10" spans="1:32" s="110" customFormat="1" ht="21" customHeight="1" x14ac:dyDescent="0.3">
      <c r="A10" s="108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08"/>
      <c r="Z10" s="108"/>
      <c r="AA10" s="108"/>
      <c r="AB10" s="108"/>
      <c r="AC10" s="108"/>
      <c r="AD10" s="108"/>
      <c r="AE10" s="109"/>
      <c r="AF10" s="109"/>
    </row>
    <row r="11" spans="1:32" s="110" customFormat="1" ht="21" customHeight="1" x14ac:dyDescent="0.3">
      <c r="A11" s="108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2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08"/>
      <c r="Z11" s="108"/>
      <c r="AA11" s="108"/>
      <c r="AB11" s="108"/>
      <c r="AC11" s="108"/>
      <c r="AD11" s="108"/>
      <c r="AE11" s="109"/>
      <c r="AF11" s="109"/>
    </row>
    <row r="12" spans="1:32" s="110" customFormat="1" ht="21" customHeight="1" x14ac:dyDescent="0.3">
      <c r="A12" s="108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2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08"/>
      <c r="Z12" s="108"/>
      <c r="AA12" s="108"/>
      <c r="AB12" s="108"/>
      <c r="AC12" s="108"/>
      <c r="AD12" s="108"/>
      <c r="AE12" s="109"/>
      <c r="AF12" s="109"/>
    </row>
    <row r="13" spans="1:32" s="110" customFormat="1" ht="21" customHeight="1" x14ac:dyDescent="0.3">
      <c r="A13" s="108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2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08"/>
      <c r="Z13" s="108"/>
      <c r="AA13" s="108"/>
      <c r="AB13" s="108"/>
      <c r="AC13" s="108"/>
      <c r="AD13" s="108"/>
      <c r="AE13" s="109"/>
      <c r="AF13" s="109"/>
    </row>
    <row r="14" spans="1:32" s="110" customFormat="1" ht="13.8" customHeight="1" x14ac:dyDescent="0.3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9"/>
      <c r="AF14" s="109"/>
    </row>
    <row r="15" spans="1:32" s="110" customFormat="1" ht="21" customHeight="1" x14ac:dyDescent="0.3">
      <c r="A15" s="108"/>
      <c r="B15" s="427" t="str">
        <f>"  "&amp;TimeData!B9</f>
        <v xml:space="preserve">  Location 3</v>
      </c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108"/>
      <c r="N15" s="427" t="str">
        <f>"  "&amp;TimeData!B12</f>
        <v xml:space="preserve">  Location 4</v>
      </c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108"/>
      <c r="Z15" s="108"/>
      <c r="AA15" s="108"/>
      <c r="AB15" s="108"/>
      <c r="AC15" s="108"/>
      <c r="AD15" s="108"/>
      <c r="AE15" s="109"/>
      <c r="AF15" s="109"/>
    </row>
    <row r="16" spans="1:32" s="110" customFormat="1" ht="21" customHeight="1" x14ac:dyDescent="0.3">
      <c r="A16" s="108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08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08"/>
      <c r="Z16" s="108"/>
      <c r="AA16" s="108"/>
      <c r="AB16" s="108"/>
      <c r="AC16" s="108"/>
      <c r="AD16" s="108"/>
      <c r="AE16" s="109"/>
      <c r="AF16" s="109"/>
    </row>
    <row r="17" spans="1:32" s="110" customFormat="1" ht="21" customHeight="1" x14ac:dyDescent="0.3">
      <c r="A17" s="108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08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08"/>
      <c r="Z17" s="108"/>
      <c r="AA17" s="108"/>
      <c r="AB17" s="108"/>
      <c r="AC17" s="108"/>
      <c r="AD17" s="108"/>
      <c r="AE17" s="109"/>
      <c r="AF17" s="109"/>
    </row>
    <row r="18" spans="1:32" s="110" customFormat="1" ht="21" customHeight="1" x14ac:dyDescent="0.3">
      <c r="A18" s="108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08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08"/>
      <c r="Z18" s="108"/>
      <c r="AA18" s="108"/>
      <c r="AB18" s="108"/>
      <c r="AC18" s="108"/>
      <c r="AD18" s="108"/>
      <c r="AE18" s="109"/>
      <c r="AF18" s="109"/>
    </row>
    <row r="19" spans="1:32" s="110" customFormat="1" ht="21" customHeight="1" x14ac:dyDescent="0.3">
      <c r="A19" s="108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08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08"/>
      <c r="Z19" s="108"/>
      <c r="AA19" s="108"/>
      <c r="AB19" s="108"/>
      <c r="AC19" s="108"/>
      <c r="AD19" s="108"/>
      <c r="AE19" s="109"/>
      <c r="AF19" s="109"/>
    </row>
    <row r="20" spans="1:32" s="110" customFormat="1" ht="21" customHeight="1" x14ac:dyDescent="0.3">
      <c r="A20" s="108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08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08"/>
      <c r="Z20" s="108"/>
      <c r="AA20" s="108"/>
      <c r="AB20" s="108"/>
      <c r="AC20" s="108"/>
      <c r="AD20" s="108"/>
      <c r="AE20" s="109"/>
      <c r="AF20" s="109"/>
    </row>
    <row r="21" spans="1:32" s="110" customFormat="1" ht="21" customHeight="1" x14ac:dyDescent="0.3">
      <c r="A21" s="108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08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08"/>
      <c r="Z21" s="108"/>
      <c r="AA21" s="108"/>
      <c r="AB21" s="108"/>
      <c r="AC21" s="108"/>
      <c r="AD21" s="108"/>
      <c r="AE21" s="109"/>
      <c r="AF21" s="109"/>
    </row>
    <row r="22" spans="1:32" s="110" customFormat="1" ht="21" customHeight="1" x14ac:dyDescent="0.3">
      <c r="A22" s="108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08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08"/>
      <c r="Z22" s="108"/>
      <c r="AA22" s="108"/>
      <c r="AB22" s="108"/>
      <c r="AC22" s="108"/>
      <c r="AD22" s="108"/>
      <c r="AE22" s="109"/>
      <c r="AF22" s="109"/>
    </row>
    <row r="23" spans="1:32" s="110" customFormat="1" ht="21" customHeight="1" x14ac:dyDescent="0.3">
      <c r="A23" s="108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08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08"/>
      <c r="Z23" s="108"/>
      <c r="AA23" s="108"/>
      <c r="AB23" s="108"/>
      <c r="AC23" s="108"/>
      <c r="AD23" s="108"/>
      <c r="AE23" s="109"/>
      <c r="AF23" s="109"/>
    </row>
    <row r="24" spans="1:32" s="110" customFormat="1" ht="21" customHeight="1" x14ac:dyDescent="0.3">
      <c r="A24" s="108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08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08"/>
      <c r="Z24" s="108"/>
      <c r="AA24" s="108"/>
      <c r="AB24" s="108"/>
      <c r="AC24" s="108"/>
      <c r="AD24" s="108"/>
      <c r="AE24" s="109"/>
      <c r="AF24" s="109"/>
    </row>
    <row r="25" spans="1:32" s="110" customFormat="1" ht="13.8" customHeight="1" x14ac:dyDescent="0.3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9"/>
      <c r="AF25" s="109"/>
    </row>
    <row r="26" spans="1:32" s="110" customFormat="1" ht="21" customHeight="1" x14ac:dyDescent="0.3">
      <c r="A26" s="108"/>
      <c r="B26" s="111" t="str">
        <f>"  "&amp;TimeData!B15</f>
        <v xml:space="preserve">  Location 5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08"/>
      <c r="N26" s="427" t="str">
        <f>"  "&amp;TimeData!B18</f>
        <v xml:space="preserve">  Location 6</v>
      </c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108"/>
      <c r="Z26" s="108"/>
      <c r="AA26" s="108"/>
      <c r="AB26" s="108"/>
      <c r="AC26" s="108"/>
      <c r="AD26" s="108"/>
      <c r="AE26" s="109"/>
      <c r="AF26" s="109"/>
    </row>
    <row r="27" spans="1:32" s="110" customFormat="1" ht="21" customHeight="1" x14ac:dyDescent="0.3">
      <c r="A27" s="108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08"/>
      <c r="Z27" s="108"/>
      <c r="AA27" s="108"/>
      <c r="AB27" s="108"/>
      <c r="AC27" s="108"/>
      <c r="AD27" s="108"/>
      <c r="AE27" s="109"/>
      <c r="AF27" s="109"/>
    </row>
    <row r="28" spans="1:32" s="110" customFormat="1" ht="21" customHeight="1" x14ac:dyDescent="0.3">
      <c r="A28" s="108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08"/>
      <c r="Z28" s="108"/>
      <c r="AA28" s="108"/>
      <c r="AB28" s="108"/>
      <c r="AC28" s="108"/>
      <c r="AD28" s="108"/>
      <c r="AE28" s="109"/>
      <c r="AF28" s="109"/>
    </row>
    <row r="29" spans="1:32" s="110" customFormat="1" ht="21" customHeight="1" x14ac:dyDescent="0.3">
      <c r="A29" s="108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08"/>
      <c r="Z29" s="108"/>
      <c r="AA29" s="108"/>
      <c r="AB29" s="108"/>
      <c r="AC29" s="108"/>
      <c r="AD29" s="108"/>
      <c r="AE29" s="109"/>
      <c r="AF29" s="109"/>
    </row>
    <row r="30" spans="1:32" s="110" customFormat="1" ht="21" customHeight="1" x14ac:dyDescent="0.3">
      <c r="A30" s="108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08"/>
      <c r="Z30" s="108"/>
      <c r="AA30" s="108"/>
      <c r="AB30" s="108"/>
      <c r="AC30" s="108"/>
      <c r="AD30" s="108"/>
      <c r="AE30" s="109"/>
      <c r="AF30" s="109"/>
    </row>
    <row r="31" spans="1:32" s="110" customFormat="1" ht="21" customHeight="1" x14ac:dyDescent="0.3">
      <c r="A31" s="108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08"/>
      <c r="Z31" s="108"/>
      <c r="AA31" s="108"/>
      <c r="AB31" s="108"/>
      <c r="AC31" s="108"/>
      <c r="AD31" s="108"/>
      <c r="AE31" s="109"/>
      <c r="AF31" s="109"/>
    </row>
    <row r="32" spans="1:32" s="110" customFormat="1" ht="21" customHeight="1" x14ac:dyDescent="0.3">
      <c r="A32" s="108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08"/>
      <c r="Z32" s="108"/>
      <c r="AA32" s="108"/>
      <c r="AB32" s="108"/>
      <c r="AC32" s="108"/>
      <c r="AD32" s="108"/>
      <c r="AE32" s="109"/>
      <c r="AF32" s="109"/>
    </row>
    <row r="33" spans="1:32" s="110" customFormat="1" ht="21" customHeight="1" x14ac:dyDescent="0.3">
      <c r="A33" s="108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08"/>
      <c r="Z33" s="108"/>
      <c r="AA33" s="108"/>
      <c r="AB33" s="108"/>
      <c r="AC33" s="108"/>
      <c r="AD33" s="108"/>
      <c r="AE33" s="109"/>
      <c r="AF33" s="109"/>
    </row>
    <row r="34" spans="1:32" s="110" customFormat="1" ht="21" customHeight="1" x14ac:dyDescent="0.3">
      <c r="A34" s="108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08"/>
      <c r="Z34" s="108"/>
      <c r="AA34" s="108"/>
      <c r="AB34" s="108"/>
      <c r="AC34" s="108"/>
      <c r="AD34" s="108"/>
      <c r="AE34" s="109"/>
      <c r="AF34" s="109"/>
    </row>
    <row r="35" spans="1:32" s="110" customFormat="1" ht="21" customHeight="1" x14ac:dyDescent="0.3">
      <c r="A35" s="108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08"/>
      <c r="Z35" s="108"/>
      <c r="AA35" s="108"/>
      <c r="AB35" s="108"/>
      <c r="AC35" s="108"/>
      <c r="AD35" s="108"/>
      <c r="AE35" s="109"/>
      <c r="AF35" s="109"/>
    </row>
    <row r="36" spans="1:32" s="110" customFormat="1" ht="13.8" customHeight="1" x14ac:dyDescent="0.3">
      <c r="A36" s="108"/>
      <c r="B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9"/>
      <c r="AF36" s="109"/>
    </row>
    <row r="37" spans="1:32" s="110" customFormat="1" ht="13.8" customHeight="1" x14ac:dyDescent="0.3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9"/>
      <c r="AF37" s="109"/>
    </row>
    <row r="38" spans="1:32" s="110" customFormat="1" ht="21" customHeight="1" x14ac:dyDescent="0.3"/>
    <row r="39" spans="1:32" s="110" customFormat="1" ht="21" customHeight="1" x14ac:dyDescent="0.3"/>
    <row r="40" spans="1:32" s="110" customFormat="1" ht="21" customHeight="1" x14ac:dyDescent="0.3"/>
    <row r="41" spans="1:32" s="110" customFormat="1" ht="21" customHeight="1" x14ac:dyDescent="0.3"/>
    <row r="42" spans="1:32" s="110" customFormat="1" ht="21" customHeight="1" x14ac:dyDescent="0.3"/>
    <row r="43" spans="1:32" s="110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E26" sqref="E26"/>
    </sheetView>
  </sheetViews>
  <sheetFormatPr defaultRowHeight="14.4" x14ac:dyDescent="0.3"/>
  <cols>
    <col min="1" max="1" width="1.77734375" style="110" customWidth="1"/>
    <col min="2" max="2" width="28.5546875" style="110" customWidth="1"/>
    <col min="3" max="3" width="13.109375" style="110" bestFit="1" customWidth="1"/>
    <col min="4" max="4" width="16.77734375" style="110" customWidth="1"/>
    <col min="5" max="16" width="11" style="110" customWidth="1"/>
    <col min="17" max="16384" width="8.88671875" style="110"/>
  </cols>
  <sheetData>
    <row r="2" spans="2:17" x14ac:dyDescent="0.3">
      <c r="B2" s="119" t="s">
        <v>106</v>
      </c>
      <c r="C2" s="119" t="s">
        <v>107</v>
      </c>
      <c r="D2" s="246" t="s">
        <v>239</v>
      </c>
      <c r="E2" s="246" t="s">
        <v>240</v>
      </c>
      <c r="F2" s="246" t="s">
        <v>241</v>
      </c>
      <c r="G2" s="246" t="s">
        <v>242</v>
      </c>
      <c r="H2" s="246" t="s">
        <v>243</v>
      </c>
      <c r="I2" s="246" t="s">
        <v>244</v>
      </c>
      <c r="J2" s="246" t="s">
        <v>245</v>
      </c>
      <c r="K2" s="246" t="s">
        <v>246</v>
      </c>
      <c r="L2" s="246" t="s">
        <v>247</v>
      </c>
      <c r="M2" s="246" t="s">
        <v>248</v>
      </c>
      <c r="N2" s="246" t="s">
        <v>249</v>
      </c>
      <c r="O2" s="246" t="s">
        <v>250</v>
      </c>
      <c r="P2" s="247" t="s">
        <v>85</v>
      </c>
    </row>
    <row r="3" spans="2:17" x14ac:dyDescent="0.3">
      <c r="B3" s="429" t="s">
        <v>109</v>
      </c>
      <c r="C3" s="120" t="s">
        <v>259</v>
      </c>
      <c r="D3" s="125">
        <v>37</v>
      </c>
      <c r="E3" s="121">
        <v>41</v>
      </c>
      <c r="F3" s="121">
        <v>46</v>
      </c>
      <c r="G3" s="121">
        <v>48</v>
      </c>
      <c r="H3" s="121">
        <v>45</v>
      </c>
      <c r="I3" s="121">
        <v>48</v>
      </c>
      <c r="J3" s="121">
        <v>51</v>
      </c>
      <c r="K3" s="121">
        <v>39</v>
      </c>
      <c r="L3" s="121">
        <v>45</v>
      </c>
      <c r="M3" s="121">
        <v>44</v>
      </c>
      <c r="N3" s="121">
        <v>44</v>
      </c>
      <c r="O3" s="121">
        <v>43</v>
      </c>
      <c r="P3" s="122">
        <f>SUM(D3:O3)</f>
        <v>531</v>
      </c>
    </row>
    <row r="4" spans="2:17" x14ac:dyDescent="0.3">
      <c r="B4" s="429"/>
      <c r="C4" s="120" t="s">
        <v>260</v>
      </c>
      <c r="D4" s="121">
        <v>45</v>
      </c>
      <c r="E4" s="121">
        <v>45</v>
      </c>
      <c r="F4" s="121">
        <v>45</v>
      </c>
      <c r="G4" s="121">
        <v>45</v>
      </c>
      <c r="H4" s="121">
        <v>45</v>
      </c>
      <c r="I4" s="121">
        <v>50</v>
      </c>
      <c r="J4" s="121">
        <v>50</v>
      </c>
      <c r="K4" s="121">
        <v>42</v>
      </c>
      <c r="L4" s="121">
        <v>45</v>
      </c>
      <c r="M4" s="121">
        <v>45</v>
      </c>
      <c r="N4" s="121">
        <v>45</v>
      </c>
      <c r="O4" s="121">
        <v>45</v>
      </c>
      <c r="P4" s="122">
        <f t="shared" ref="P4:P13" si="0">SUM(D4:O4)</f>
        <v>547</v>
      </c>
    </row>
    <row r="5" spans="2:17" x14ac:dyDescent="0.3">
      <c r="B5" s="429"/>
      <c r="C5" s="120" t="s">
        <v>108</v>
      </c>
      <c r="D5" s="123">
        <f>D3/D4</f>
        <v>0.82222222222222219</v>
      </c>
      <c r="E5" s="123">
        <f t="shared" ref="E5:P5" si="1">E3/E4</f>
        <v>0.91111111111111109</v>
      </c>
      <c r="F5" s="123">
        <f t="shared" si="1"/>
        <v>1.0222222222222221</v>
      </c>
      <c r="G5" s="123">
        <f t="shared" si="1"/>
        <v>1.0666666666666667</v>
      </c>
      <c r="H5" s="123">
        <f t="shared" si="1"/>
        <v>1</v>
      </c>
      <c r="I5" s="123">
        <f t="shared" si="1"/>
        <v>0.96</v>
      </c>
      <c r="J5" s="123">
        <f t="shared" si="1"/>
        <v>1.02</v>
      </c>
      <c r="K5" s="123">
        <f t="shared" si="1"/>
        <v>0.9285714285714286</v>
      </c>
      <c r="L5" s="123">
        <f t="shared" si="1"/>
        <v>1</v>
      </c>
      <c r="M5" s="123">
        <f t="shared" si="1"/>
        <v>0.97777777777777775</v>
      </c>
      <c r="N5" s="123">
        <f t="shared" si="1"/>
        <v>0.97777777777777775</v>
      </c>
      <c r="O5" s="123">
        <f t="shared" si="1"/>
        <v>0.9555555555555556</v>
      </c>
      <c r="P5" s="124">
        <f t="shared" si="1"/>
        <v>0.97074954296160876</v>
      </c>
      <c r="Q5" s="114">
        <f>IF(P5&gt;=1,0,1-P5)</f>
        <v>2.9250457038391242E-2</v>
      </c>
    </row>
    <row r="6" spans="2:17" x14ac:dyDescent="0.3">
      <c r="B6" s="429" t="s">
        <v>110</v>
      </c>
      <c r="C6" s="120" t="s">
        <v>259</v>
      </c>
      <c r="D6" s="121">
        <v>75</v>
      </c>
      <c r="E6" s="121">
        <v>52</v>
      </c>
      <c r="F6" s="121">
        <v>90</v>
      </c>
      <c r="G6" s="121">
        <v>81</v>
      </c>
      <c r="H6" s="121">
        <v>46</v>
      </c>
      <c r="I6" s="121">
        <v>44</v>
      </c>
      <c r="J6" s="121">
        <v>72</v>
      </c>
      <c r="K6" s="121">
        <v>72</v>
      </c>
      <c r="L6" s="121">
        <v>60</v>
      </c>
      <c r="M6" s="121">
        <v>80</v>
      </c>
      <c r="N6" s="121">
        <v>40</v>
      </c>
      <c r="O6" s="121">
        <v>55</v>
      </c>
      <c r="P6" s="122">
        <f t="shared" si="0"/>
        <v>767</v>
      </c>
      <c r="Q6" s="115"/>
    </row>
    <row r="7" spans="2:17" x14ac:dyDescent="0.3">
      <c r="B7" s="429"/>
      <c r="C7" s="120" t="s">
        <v>260</v>
      </c>
      <c r="D7" s="121">
        <v>72</v>
      </c>
      <c r="E7" s="121">
        <v>56</v>
      </c>
      <c r="F7" s="121">
        <v>90</v>
      </c>
      <c r="G7" s="121">
        <v>81</v>
      </c>
      <c r="H7" s="121">
        <v>46</v>
      </c>
      <c r="I7" s="121">
        <v>45</v>
      </c>
      <c r="J7" s="121">
        <v>72</v>
      </c>
      <c r="K7" s="121">
        <v>72</v>
      </c>
      <c r="L7" s="121">
        <v>60</v>
      </c>
      <c r="M7" s="121">
        <v>80</v>
      </c>
      <c r="N7" s="121">
        <v>48</v>
      </c>
      <c r="O7" s="121">
        <v>60</v>
      </c>
      <c r="P7" s="122">
        <f t="shared" si="0"/>
        <v>782</v>
      </c>
      <c r="Q7" s="115"/>
    </row>
    <row r="8" spans="2:17" x14ac:dyDescent="0.3">
      <c r="B8" s="429"/>
      <c r="C8" s="120" t="s">
        <v>108</v>
      </c>
      <c r="D8" s="123">
        <f>D6/D7</f>
        <v>1.0416666666666667</v>
      </c>
      <c r="E8" s="123">
        <f t="shared" ref="E8:P8" si="2">E6/E7</f>
        <v>0.9285714285714286</v>
      </c>
      <c r="F8" s="123">
        <f t="shared" si="2"/>
        <v>1</v>
      </c>
      <c r="G8" s="123">
        <f t="shared" si="2"/>
        <v>1</v>
      </c>
      <c r="H8" s="123">
        <f t="shared" si="2"/>
        <v>1</v>
      </c>
      <c r="I8" s="123">
        <f t="shared" si="2"/>
        <v>0.97777777777777775</v>
      </c>
      <c r="J8" s="123">
        <f t="shared" si="2"/>
        <v>1</v>
      </c>
      <c r="K8" s="123">
        <f t="shared" si="2"/>
        <v>1</v>
      </c>
      <c r="L8" s="123">
        <f t="shared" si="2"/>
        <v>1</v>
      </c>
      <c r="M8" s="123">
        <f t="shared" si="2"/>
        <v>1</v>
      </c>
      <c r="N8" s="123">
        <f t="shared" si="2"/>
        <v>0.83333333333333337</v>
      </c>
      <c r="O8" s="123">
        <f t="shared" si="2"/>
        <v>0.91666666666666663</v>
      </c>
      <c r="P8" s="124">
        <f t="shared" si="2"/>
        <v>0.98081841432225059</v>
      </c>
      <c r="Q8" s="114">
        <f>IF(P8&gt;=1,0,1-P8)</f>
        <v>1.9181585677749413E-2</v>
      </c>
    </row>
    <row r="9" spans="2:17" x14ac:dyDescent="0.3">
      <c r="B9" s="429" t="s">
        <v>111</v>
      </c>
      <c r="C9" s="120" t="s">
        <v>259</v>
      </c>
      <c r="D9" s="121">
        <v>50</v>
      </c>
      <c r="E9" s="121">
        <v>74</v>
      </c>
      <c r="F9" s="121">
        <v>80</v>
      </c>
      <c r="G9" s="121">
        <v>75</v>
      </c>
      <c r="H9" s="121">
        <v>92</v>
      </c>
      <c r="I9" s="121">
        <v>91</v>
      </c>
      <c r="J9" s="121">
        <v>96</v>
      </c>
      <c r="K9" s="121">
        <v>96</v>
      </c>
      <c r="L9" s="121">
        <v>65</v>
      </c>
      <c r="M9" s="121">
        <v>40</v>
      </c>
      <c r="N9" s="121">
        <v>66</v>
      </c>
      <c r="O9" s="121">
        <v>48</v>
      </c>
      <c r="P9" s="122">
        <f t="shared" si="0"/>
        <v>873</v>
      </c>
      <c r="Q9" s="115"/>
    </row>
    <row r="10" spans="2:17" x14ac:dyDescent="0.3">
      <c r="B10" s="429"/>
      <c r="C10" s="120" t="s">
        <v>260</v>
      </c>
      <c r="D10" s="121">
        <v>50</v>
      </c>
      <c r="E10" s="121">
        <v>74</v>
      </c>
      <c r="F10" s="121">
        <v>86</v>
      </c>
      <c r="G10" s="121">
        <v>92</v>
      </c>
      <c r="H10" s="121">
        <v>100</v>
      </c>
      <c r="I10" s="121">
        <v>100</v>
      </c>
      <c r="J10" s="121">
        <v>100</v>
      </c>
      <c r="K10" s="121">
        <v>95</v>
      </c>
      <c r="L10" s="121">
        <v>72</v>
      </c>
      <c r="M10" s="121">
        <v>48</v>
      </c>
      <c r="N10" s="121">
        <v>65</v>
      </c>
      <c r="O10" s="121">
        <v>48</v>
      </c>
      <c r="P10" s="122">
        <f t="shared" si="0"/>
        <v>930</v>
      </c>
      <c r="Q10" s="115"/>
    </row>
    <row r="11" spans="2:17" x14ac:dyDescent="0.3">
      <c r="B11" s="429"/>
      <c r="C11" s="120" t="s">
        <v>108</v>
      </c>
      <c r="D11" s="123">
        <f>D9/D10</f>
        <v>1</v>
      </c>
      <c r="E11" s="123">
        <f t="shared" ref="E11:P11" si="3">E9/E10</f>
        <v>1</v>
      </c>
      <c r="F11" s="123">
        <f t="shared" si="3"/>
        <v>0.93023255813953487</v>
      </c>
      <c r="G11" s="123">
        <f t="shared" si="3"/>
        <v>0.81521739130434778</v>
      </c>
      <c r="H11" s="123">
        <f t="shared" si="3"/>
        <v>0.92</v>
      </c>
      <c r="I11" s="123">
        <f t="shared" si="3"/>
        <v>0.91</v>
      </c>
      <c r="J11" s="123">
        <f t="shared" si="3"/>
        <v>0.96</v>
      </c>
      <c r="K11" s="123">
        <f t="shared" si="3"/>
        <v>1.0105263157894737</v>
      </c>
      <c r="L11" s="123">
        <f t="shared" si="3"/>
        <v>0.90277777777777779</v>
      </c>
      <c r="M11" s="123">
        <f t="shared" si="3"/>
        <v>0.83333333333333337</v>
      </c>
      <c r="N11" s="123">
        <f t="shared" si="3"/>
        <v>1.0153846153846153</v>
      </c>
      <c r="O11" s="123">
        <f t="shared" si="3"/>
        <v>1</v>
      </c>
      <c r="P11" s="124">
        <f t="shared" si="3"/>
        <v>0.93870967741935485</v>
      </c>
      <c r="Q11" s="114">
        <f>IF(P11&gt;=1,0,1-P11)</f>
        <v>6.1290322580645151E-2</v>
      </c>
    </row>
    <row r="12" spans="2:17" x14ac:dyDescent="0.3">
      <c r="B12" s="429" t="s">
        <v>112</v>
      </c>
      <c r="C12" s="120" t="s">
        <v>259</v>
      </c>
      <c r="D12" s="121">
        <v>102</v>
      </c>
      <c r="E12" s="121">
        <v>92</v>
      </c>
      <c r="F12" s="121">
        <v>99</v>
      </c>
      <c r="G12" s="121">
        <v>98</v>
      </c>
      <c r="H12" s="121">
        <v>102</v>
      </c>
      <c r="I12" s="121">
        <v>102</v>
      </c>
      <c r="J12" s="121">
        <v>86</v>
      </c>
      <c r="K12" s="121">
        <v>86</v>
      </c>
      <c r="L12" s="121">
        <v>89</v>
      </c>
      <c r="M12" s="121">
        <v>108</v>
      </c>
      <c r="N12" s="121">
        <v>107</v>
      </c>
      <c r="O12" s="121">
        <v>94</v>
      </c>
      <c r="P12" s="122">
        <f t="shared" si="0"/>
        <v>1165</v>
      </c>
      <c r="Q12" s="115"/>
    </row>
    <row r="13" spans="2:17" x14ac:dyDescent="0.3">
      <c r="B13" s="429"/>
      <c r="C13" s="120" t="s">
        <v>260</v>
      </c>
      <c r="D13" s="121">
        <v>102</v>
      </c>
      <c r="E13" s="121">
        <v>102</v>
      </c>
      <c r="F13" s="121">
        <v>102</v>
      </c>
      <c r="G13" s="121">
        <v>106</v>
      </c>
      <c r="H13" s="121">
        <v>109</v>
      </c>
      <c r="I13" s="121">
        <v>102</v>
      </c>
      <c r="J13" s="121">
        <v>102</v>
      </c>
      <c r="K13" s="121">
        <v>110</v>
      </c>
      <c r="L13" s="121">
        <v>95</v>
      </c>
      <c r="M13" s="121">
        <v>102</v>
      </c>
      <c r="N13" s="121">
        <v>102</v>
      </c>
      <c r="O13" s="121">
        <v>102</v>
      </c>
      <c r="P13" s="122">
        <f t="shared" si="0"/>
        <v>1236</v>
      </c>
      <c r="Q13" s="115"/>
    </row>
    <row r="14" spans="2:17" x14ac:dyDescent="0.3">
      <c r="B14" s="429"/>
      <c r="C14" s="120" t="s">
        <v>108</v>
      </c>
      <c r="D14" s="123">
        <f>D12/D13</f>
        <v>1</v>
      </c>
      <c r="E14" s="123">
        <f t="shared" ref="E14:P14" si="4">E12/E13</f>
        <v>0.90196078431372551</v>
      </c>
      <c r="F14" s="123">
        <f t="shared" si="4"/>
        <v>0.97058823529411764</v>
      </c>
      <c r="G14" s="123">
        <f t="shared" si="4"/>
        <v>0.92452830188679247</v>
      </c>
      <c r="H14" s="123">
        <f t="shared" si="4"/>
        <v>0.93577981651376152</v>
      </c>
      <c r="I14" s="123">
        <f t="shared" si="4"/>
        <v>1</v>
      </c>
      <c r="J14" s="123">
        <f t="shared" si="4"/>
        <v>0.84313725490196079</v>
      </c>
      <c r="K14" s="123">
        <f t="shared" si="4"/>
        <v>0.78181818181818186</v>
      </c>
      <c r="L14" s="123">
        <f t="shared" si="4"/>
        <v>0.93684210526315792</v>
      </c>
      <c r="M14" s="123">
        <f t="shared" si="4"/>
        <v>1.0588235294117647</v>
      </c>
      <c r="N14" s="123">
        <f t="shared" si="4"/>
        <v>1.0490196078431373</v>
      </c>
      <c r="O14" s="123">
        <f t="shared" si="4"/>
        <v>0.92156862745098034</v>
      </c>
      <c r="P14" s="124">
        <f t="shared" si="4"/>
        <v>0.94255663430420711</v>
      </c>
      <c r="Q14" s="114">
        <f>IF(P14&gt;=1,0,1-P14)</f>
        <v>5.7443365695792892E-2</v>
      </c>
    </row>
    <row r="15" spans="2:17" x14ac:dyDescent="0.3">
      <c r="B15" s="429" t="s">
        <v>113</v>
      </c>
      <c r="C15" s="120" t="s">
        <v>259</v>
      </c>
      <c r="D15" s="121">
        <v>55</v>
      </c>
      <c r="E15" s="121">
        <v>55</v>
      </c>
      <c r="F15" s="121">
        <v>55</v>
      </c>
      <c r="G15" s="121">
        <v>55</v>
      </c>
      <c r="H15" s="121">
        <v>50</v>
      </c>
      <c r="I15" s="121">
        <v>60</v>
      </c>
      <c r="J15" s="121">
        <v>30</v>
      </c>
      <c r="K15" s="121">
        <v>23</v>
      </c>
      <c r="L15" s="121">
        <v>90</v>
      </c>
      <c r="M15" s="121">
        <v>66</v>
      </c>
      <c r="N15" s="121">
        <v>45</v>
      </c>
      <c r="O15" s="121">
        <v>40</v>
      </c>
      <c r="P15" s="122">
        <f t="shared" ref="P15:P16" si="5">SUM(D15:O15)</f>
        <v>624</v>
      </c>
      <c r="Q15" s="115"/>
    </row>
    <row r="16" spans="2:17" x14ac:dyDescent="0.3">
      <c r="B16" s="429"/>
      <c r="C16" s="120" t="s">
        <v>260</v>
      </c>
      <c r="D16" s="121">
        <v>48</v>
      </c>
      <c r="E16" s="121">
        <v>48</v>
      </c>
      <c r="F16" s="121">
        <v>56</v>
      </c>
      <c r="G16" s="121">
        <v>56</v>
      </c>
      <c r="H16" s="121">
        <v>56</v>
      </c>
      <c r="I16" s="121">
        <v>67</v>
      </c>
      <c r="J16" s="121">
        <v>32</v>
      </c>
      <c r="K16" s="121">
        <v>24</v>
      </c>
      <c r="L16" s="121">
        <v>90</v>
      </c>
      <c r="M16" s="121">
        <v>66</v>
      </c>
      <c r="N16" s="121">
        <v>48</v>
      </c>
      <c r="O16" s="121">
        <v>40</v>
      </c>
      <c r="P16" s="122">
        <f t="shared" si="5"/>
        <v>631</v>
      </c>
      <c r="Q16" s="115"/>
    </row>
    <row r="17" spans="2:17" x14ac:dyDescent="0.3">
      <c r="B17" s="429"/>
      <c r="C17" s="120" t="s">
        <v>108</v>
      </c>
      <c r="D17" s="123">
        <f>D15/D16</f>
        <v>1.1458333333333333</v>
      </c>
      <c r="E17" s="123">
        <f t="shared" ref="E17:P17" si="6">E15/E16</f>
        <v>1.1458333333333333</v>
      </c>
      <c r="F17" s="123">
        <f t="shared" si="6"/>
        <v>0.9821428571428571</v>
      </c>
      <c r="G17" s="123">
        <f t="shared" si="6"/>
        <v>0.9821428571428571</v>
      </c>
      <c r="H17" s="123">
        <f t="shared" si="6"/>
        <v>0.8928571428571429</v>
      </c>
      <c r="I17" s="123">
        <f t="shared" si="6"/>
        <v>0.89552238805970152</v>
      </c>
      <c r="J17" s="123">
        <f t="shared" si="6"/>
        <v>0.9375</v>
      </c>
      <c r="K17" s="123">
        <f t="shared" si="6"/>
        <v>0.95833333333333337</v>
      </c>
      <c r="L17" s="123">
        <f t="shared" si="6"/>
        <v>1</v>
      </c>
      <c r="M17" s="123">
        <f t="shared" si="6"/>
        <v>1</v>
      </c>
      <c r="N17" s="123">
        <f t="shared" si="6"/>
        <v>0.9375</v>
      </c>
      <c r="O17" s="123">
        <f t="shared" si="6"/>
        <v>1</v>
      </c>
      <c r="P17" s="124">
        <f t="shared" si="6"/>
        <v>0.9889064976228209</v>
      </c>
      <c r="Q17" s="114">
        <f>IF(P17&gt;=1,0,1-P17)</f>
        <v>1.1093502377179099E-2</v>
      </c>
    </row>
    <row r="18" spans="2:17" x14ac:dyDescent="0.3">
      <c r="B18" s="429" t="s">
        <v>114</v>
      </c>
      <c r="C18" s="120" t="s">
        <v>259</v>
      </c>
      <c r="D18" s="121">
        <v>16</v>
      </c>
      <c r="E18" s="121">
        <v>9</v>
      </c>
      <c r="F18" s="121">
        <v>21</v>
      </c>
      <c r="G18" s="121">
        <v>24</v>
      </c>
      <c r="H18" s="121">
        <v>24</v>
      </c>
      <c r="I18" s="121">
        <v>34</v>
      </c>
      <c r="J18" s="121">
        <v>52</v>
      </c>
      <c r="K18" s="121">
        <v>72</v>
      </c>
      <c r="L18" s="121">
        <v>70</v>
      </c>
      <c r="M18" s="121">
        <v>24</v>
      </c>
      <c r="N18" s="121">
        <v>40</v>
      </c>
      <c r="O18" s="121">
        <v>24</v>
      </c>
      <c r="P18" s="122">
        <f t="shared" ref="P18:P19" si="7">SUM(D18:O18)</f>
        <v>410</v>
      </c>
      <c r="Q18" s="115"/>
    </row>
    <row r="19" spans="2:17" x14ac:dyDescent="0.3">
      <c r="B19" s="429"/>
      <c r="C19" s="120" t="s">
        <v>260</v>
      </c>
      <c r="D19" s="121">
        <v>16</v>
      </c>
      <c r="E19" s="121">
        <v>10</v>
      </c>
      <c r="F19" s="121">
        <v>21</v>
      </c>
      <c r="G19" s="121">
        <v>24</v>
      </c>
      <c r="H19" s="121">
        <v>26</v>
      </c>
      <c r="I19" s="121">
        <v>32</v>
      </c>
      <c r="J19" s="121">
        <v>48</v>
      </c>
      <c r="K19" s="121">
        <v>72</v>
      </c>
      <c r="L19" s="121">
        <v>72</v>
      </c>
      <c r="M19" s="121">
        <v>24</v>
      </c>
      <c r="N19" s="121">
        <v>48</v>
      </c>
      <c r="O19" s="121">
        <v>30</v>
      </c>
      <c r="P19" s="122">
        <f t="shared" si="7"/>
        <v>423</v>
      </c>
      <c r="Q19" s="115"/>
    </row>
    <row r="20" spans="2:17" x14ac:dyDescent="0.3">
      <c r="B20" s="429"/>
      <c r="C20" s="120" t="s">
        <v>108</v>
      </c>
      <c r="D20" s="123">
        <f>D18/D19</f>
        <v>1</v>
      </c>
      <c r="E20" s="123">
        <f t="shared" ref="E20:P20" si="8">E18/E19</f>
        <v>0.9</v>
      </c>
      <c r="F20" s="123">
        <f t="shared" si="8"/>
        <v>1</v>
      </c>
      <c r="G20" s="123">
        <f t="shared" si="8"/>
        <v>1</v>
      </c>
      <c r="H20" s="123">
        <f t="shared" si="8"/>
        <v>0.92307692307692313</v>
      </c>
      <c r="I20" s="123">
        <f t="shared" si="8"/>
        <v>1.0625</v>
      </c>
      <c r="J20" s="123">
        <f t="shared" si="8"/>
        <v>1.0833333333333333</v>
      </c>
      <c r="K20" s="123">
        <f t="shared" si="8"/>
        <v>1</v>
      </c>
      <c r="L20" s="123">
        <f t="shared" si="8"/>
        <v>0.97222222222222221</v>
      </c>
      <c r="M20" s="123">
        <f t="shared" si="8"/>
        <v>1</v>
      </c>
      <c r="N20" s="123">
        <f t="shared" si="8"/>
        <v>0.83333333333333337</v>
      </c>
      <c r="O20" s="123">
        <f t="shared" si="8"/>
        <v>0.8</v>
      </c>
      <c r="P20" s="124">
        <f t="shared" si="8"/>
        <v>0.96926713947990539</v>
      </c>
      <c r="Q20" s="114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DB57-8DA6-4AA4-B0FB-3FAA557C6960}">
  <sheetPr codeName="Sheet18"/>
  <dimension ref="B2:P30"/>
  <sheetViews>
    <sheetView showGridLines="0" workbookViewId="0">
      <selection activeCell="T21" sqref="T21"/>
    </sheetView>
  </sheetViews>
  <sheetFormatPr defaultRowHeight="14.4" x14ac:dyDescent="0.3"/>
  <sheetData>
    <row r="2" spans="2:16" ht="18" x14ac:dyDescent="0.35">
      <c r="B2" s="351" t="s">
        <v>251</v>
      </c>
      <c r="C2" s="352"/>
      <c r="D2" s="352"/>
      <c r="E2" s="352"/>
      <c r="F2" s="352"/>
      <c r="G2" s="353"/>
    </row>
    <row r="6" spans="2:16" ht="18" x14ac:dyDescent="0.35">
      <c r="B6" s="351" t="s">
        <v>252</v>
      </c>
      <c r="C6" s="352"/>
      <c r="D6" s="352"/>
      <c r="E6" s="352"/>
      <c r="F6" s="352"/>
      <c r="G6" s="353"/>
    </row>
    <row r="9" spans="2:16" x14ac:dyDescent="0.3">
      <c r="B9" s="379" t="s">
        <v>64</v>
      </c>
      <c r="C9" s="381"/>
      <c r="E9" s="222" t="s">
        <v>25</v>
      </c>
      <c r="F9" s="223" t="s">
        <v>26</v>
      </c>
      <c r="G9" s="223" t="s">
        <v>27</v>
      </c>
      <c r="H9" s="223" t="s">
        <v>28</v>
      </c>
      <c r="I9" s="223" t="s">
        <v>29</v>
      </c>
      <c r="J9" s="223" t="s">
        <v>30</v>
      </c>
      <c r="K9" s="223" t="s">
        <v>31</v>
      </c>
      <c r="L9" s="223" t="s">
        <v>32</v>
      </c>
      <c r="M9" s="223" t="s">
        <v>33</v>
      </c>
      <c r="N9" s="223" t="s">
        <v>34</v>
      </c>
      <c r="O9" s="223" t="s">
        <v>35</v>
      </c>
      <c r="P9" s="224" t="s">
        <v>36</v>
      </c>
    </row>
    <row r="10" spans="2:16" x14ac:dyDescent="0.3">
      <c r="B10" s="379" t="s">
        <v>65</v>
      </c>
      <c r="C10" s="381"/>
      <c r="E10" s="36">
        <f>Calculations!D19</f>
        <v>0.91111111111111109</v>
      </c>
      <c r="F10" s="33">
        <f>Calculations!E19</f>
        <v>0.97777777777777775</v>
      </c>
      <c r="G10" s="33">
        <f>Calculations!F19</f>
        <v>1</v>
      </c>
      <c r="H10" s="33">
        <f>Calculations!G19</f>
        <v>1</v>
      </c>
      <c r="I10" s="33">
        <f>Calculations!H19</f>
        <v>1</v>
      </c>
      <c r="J10" s="33">
        <f>Calculations!I19</f>
        <v>1</v>
      </c>
      <c r="K10" s="33">
        <f>Calculations!J19</f>
        <v>1</v>
      </c>
      <c r="L10" s="33">
        <f>Calculations!K19</f>
        <v>1</v>
      </c>
      <c r="M10" s="33">
        <f>Calculations!L19</f>
        <v>1</v>
      </c>
      <c r="N10" s="33">
        <f>Calculations!M19</f>
        <v>1</v>
      </c>
      <c r="O10" s="33">
        <f>Calculations!N19</f>
        <v>1</v>
      </c>
      <c r="P10" s="37">
        <f>Calculations!O19</f>
        <v>1</v>
      </c>
    </row>
    <row r="11" spans="2:16" x14ac:dyDescent="0.3">
      <c r="B11" s="379" t="s">
        <v>66</v>
      </c>
      <c r="C11" s="381"/>
      <c r="E11" s="36">
        <f>Calculations!D20</f>
        <v>0.72222222222222221</v>
      </c>
      <c r="F11" s="33">
        <f>Calculations!E20</f>
        <v>0.72222222222222221</v>
      </c>
      <c r="G11" s="33">
        <f>Calculations!F20</f>
        <v>0.72222222222222221</v>
      </c>
      <c r="H11" s="33">
        <f>Calculations!G20</f>
        <v>0.77777777777777779</v>
      </c>
      <c r="I11" s="33">
        <f>Calculations!H20</f>
        <v>0.77777777777777779</v>
      </c>
      <c r="J11" s="33">
        <f>Calculations!I20</f>
        <v>0.77777777777777779</v>
      </c>
      <c r="K11" s="33">
        <f>Calculations!J20</f>
        <v>0.88888888888888884</v>
      </c>
      <c r="L11" s="33">
        <f>Calculations!K20</f>
        <v>0.88888888888888884</v>
      </c>
      <c r="M11" s="33">
        <f>Calculations!L20</f>
        <v>0.88888888888888884</v>
      </c>
      <c r="N11" s="33">
        <f>Calculations!M20</f>
        <v>0.88888888888888884</v>
      </c>
      <c r="O11" s="33">
        <f>Calculations!N20</f>
        <v>0.88888888888888884</v>
      </c>
      <c r="P11" s="37">
        <f>Calculations!O20</f>
        <v>1</v>
      </c>
    </row>
    <row r="12" spans="2:16" x14ac:dyDescent="0.3">
      <c r="B12" s="379" t="s">
        <v>1</v>
      </c>
      <c r="C12" s="381"/>
      <c r="E12" s="36">
        <f>Calculations!D21</f>
        <v>0.3888888888888889</v>
      </c>
      <c r="F12" s="33">
        <f>Calculations!E21</f>
        <v>0.3888888888888889</v>
      </c>
      <c r="G12" s="33">
        <f>Calculations!F21</f>
        <v>0.3888888888888889</v>
      </c>
      <c r="H12" s="33">
        <f>Calculations!G21</f>
        <v>0.3888888888888889</v>
      </c>
      <c r="I12" s="33">
        <f>Calculations!H21</f>
        <v>0.44444444444444442</v>
      </c>
      <c r="J12" s="33">
        <f>Calculations!I21</f>
        <v>0.44444444444444442</v>
      </c>
      <c r="K12" s="33">
        <f>Calculations!J21</f>
        <v>0.44444444444444442</v>
      </c>
      <c r="L12" s="33">
        <f>Calculations!K21</f>
        <v>0.5</v>
      </c>
      <c r="M12" s="33">
        <f>Calculations!L21</f>
        <v>0.5</v>
      </c>
      <c r="N12" s="33">
        <f>Calculations!M21</f>
        <v>0.5</v>
      </c>
      <c r="O12" s="33">
        <f>Calculations!N21</f>
        <v>0.5</v>
      </c>
      <c r="P12" s="37">
        <f>Calculations!O21</f>
        <v>0.5</v>
      </c>
    </row>
    <row r="13" spans="2:16" x14ac:dyDescent="0.3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ht="18" x14ac:dyDescent="0.35">
      <c r="B14" s="351" t="s">
        <v>67</v>
      </c>
      <c r="C14" s="352"/>
      <c r="D14" s="352"/>
      <c r="E14" s="352"/>
      <c r="F14" s="352"/>
      <c r="G14" s="353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3">
      <c r="B16" s="379" t="s">
        <v>64</v>
      </c>
      <c r="C16" s="381"/>
      <c r="E16" s="222" t="s">
        <v>25</v>
      </c>
      <c r="F16" s="223" t="s">
        <v>26</v>
      </c>
      <c r="G16" s="223" t="s">
        <v>27</v>
      </c>
      <c r="H16" s="223" t="s">
        <v>28</v>
      </c>
      <c r="I16" s="223" t="s">
        <v>29</v>
      </c>
      <c r="J16" s="223" t="s">
        <v>30</v>
      </c>
      <c r="K16" s="223" t="s">
        <v>31</v>
      </c>
      <c r="L16" s="223" t="s">
        <v>32</v>
      </c>
      <c r="M16" s="223" t="s">
        <v>33</v>
      </c>
      <c r="N16" s="223" t="s">
        <v>34</v>
      </c>
      <c r="O16" s="223" t="s">
        <v>35</v>
      </c>
      <c r="P16" s="224" t="s">
        <v>36</v>
      </c>
    </row>
    <row r="17" spans="2:16" x14ac:dyDescent="0.3">
      <c r="E17" s="36">
        <v>0.1</v>
      </c>
      <c r="F17" s="33">
        <v>0.1</v>
      </c>
      <c r="G17" s="33">
        <v>0.1</v>
      </c>
      <c r="H17" s="33">
        <v>0.1</v>
      </c>
      <c r="I17" s="33">
        <v>0.1</v>
      </c>
      <c r="J17" s="33">
        <v>0.15</v>
      </c>
      <c r="K17" s="33">
        <v>0.2</v>
      </c>
      <c r="L17" s="33">
        <v>0.2</v>
      </c>
      <c r="M17" s="33">
        <v>0.1</v>
      </c>
      <c r="N17" s="33">
        <v>0.1</v>
      </c>
      <c r="O17" s="33">
        <v>0.1</v>
      </c>
      <c r="P17" s="37">
        <v>0.15</v>
      </c>
    </row>
    <row r="18" spans="2:16" x14ac:dyDescent="0.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ht="18" x14ac:dyDescent="0.35">
      <c r="B19" s="351" t="s">
        <v>68</v>
      </c>
      <c r="C19" s="352"/>
      <c r="D19" s="352"/>
      <c r="E19" s="352"/>
      <c r="F19" s="352"/>
      <c r="G19" s="353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3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3">
      <c r="B21" s="379" t="s">
        <v>64</v>
      </c>
      <c r="C21" s="381"/>
      <c r="E21" s="222" t="s">
        <v>25</v>
      </c>
      <c r="F21" s="223" t="s">
        <v>26</v>
      </c>
      <c r="G21" s="223" t="s">
        <v>27</v>
      </c>
      <c r="H21" s="223" t="s">
        <v>28</v>
      </c>
      <c r="I21" s="223" t="s">
        <v>29</v>
      </c>
      <c r="J21" s="223" t="s">
        <v>30</v>
      </c>
      <c r="K21" s="223" t="s">
        <v>31</v>
      </c>
      <c r="L21" s="223" t="s">
        <v>32</v>
      </c>
      <c r="M21" s="223" t="s">
        <v>33</v>
      </c>
      <c r="N21" s="223" t="s">
        <v>34</v>
      </c>
      <c r="O21" s="223" t="s">
        <v>35</v>
      </c>
      <c r="P21" s="224" t="s">
        <v>36</v>
      </c>
    </row>
    <row r="22" spans="2:16" x14ac:dyDescent="0.3">
      <c r="B22" s="15" t="s">
        <v>237</v>
      </c>
      <c r="C22" s="11"/>
      <c r="E22" s="38">
        <f>Calculations!E36</f>
        <v>0.58333333333333337</v>
      </c>
      <c r="F22" s="34">
        <f>Calculations!F36</f>
        <v>0.58333333333333337</v>
      </c>
      <c r="G22" s="34">
        <f>Calculations!G36</f>
        <v>0.91666666666666663</v>
      </c>
      <c r="H22" s="34">
        <f>Calculations!H36</f>
        <v>1</v>
      </c>
      <c r="I22" s="34">
        <f>Calculations!I36</f>
        <v>1</v>
      </c>
      <c r="J22" s="34">
        <f>Calculations!J36</f>
        <v>1</v>
      </c>
      <c r="K22" s="34">
        <f>Calculations!K36</f>
        <v>1</v>
      </c>
      <c r="L22" s="34">
        <f>Calculations!L36</f>
        <v>1</v>
      </c>
      <c r="M22" s="34">
        <f>Calculations!M36</f>
        <v>0.66666666666666663</v>
      </c>
      <c r="N22" s="34">
        <f>Calculations!N36</f>
        <v>1</v>
      </c>
      <c r="O22" s="34">
        <f>Calculations!O36</f>
        <v>1</v>
      </c>
      <c r="P22" s="39">
        <f>Calculations!P36</f>
        <v>1</v>
      </c>
    </row>
    <row r="23" spans="2:16" x14ac:dyDescent="0.3">
      <c r="B23" s="15" t="s">
        <v>238</v>
      </c>
      <c r="C23" s="11"/>
      <c r="E23" s="40">
        <f>Calculations!E37</f>
        <v>0.66666666666666663</v>
      </c>
      <c r="F23" s="35">
        <f>Calculations!F37</f>
        <v>0.66666666666666663</v>
      </c>
      <c r="G23" s="35">
        <f>Calculations!G37</f>
        <v>0.66666666666666663</v>
      </c>
      <c r="H23" s="35">
        <f>Calculations!H37</f>
        <v>1</v>
      </c>
      <c r="I23" s="35">
        <f>Calculations!I37</f>
        <v>1</v>
      </c>
      <c r="J23" s="35">
        <f>Calculations!J37</f>
        <v>1</v>
      </c>
      <c r="K23" s="35">
        <f>Calculations!K37</f>
        <v>1</v>
      </c>
      <c r="L23" s="35">
        <f>Calculations!L37</f>
        <v>1</v>
      </c>
      <c r="M23" s="35">
        <f>Calculations!M37</f>
        <v>0.66666666666666663</v>
      </c>
      <c r="N23" s="35">
        <f>Calculations!N37</f>
        <v>1</v>
      </c>
      <c r="O23" s="35">
        <f>Calculations!O37</f>
        <v>1</v>
      </c>
      <c r="P23" s="41">
        <f>Calculations!P37</f>
        <v>1</v>
      </c>
    </row>
    <row r="24" spans="2:16" x14ac:dyDescent="0.3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3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3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3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3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mergeCells count="10">
    <mergeCell ref="B21:C21"/>
    <mergeCell ref="B16:C16"/>
    <mergeCell ref="B2:G2"/>
    <mergeCell ref="B6:G6"/>
    <mergeCell ref="B14:G14"/>
    <mergeCell ref="B19:G19"/>
    <mergeCell ref="B9:C9"/>
    <mergeCell ref="B10:C10"/>
    <mergeCell ref="B11:C11"/>
    <mergeCell ref="B12:C12"/>
  </mergeCells>
  <phoneticPr fontId="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5:P37"/>
  <sheetViews>
    <sheetView workbookViewId="0">
      <selection activeCell="P44" sqref="P44"/>
    </sheetView>
  </sheetViews>
  <sheetFormatPr defaultRowHeight="14.4" x14ac:dyDescent="0.3"/>
  <cols>
    <col min="2" max="2" width="23.5546875" customWidth="1"/>
    <col min="3" max="3" width="9.5546875" customWidth="1"/>
  </cols>
  <sheetData>
    <row r="5" spans="2:15" x14ac:dyDescent="0.3">
      <c r="B5" s="151" t="s">
        <v>261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2:15" x14ac:dyDescent="0.3">
      <c r="B6" s="244" t="s">
        <v>64</v>
      </c>
      <c r="C6" s="244"/>
      <c r="D6" s="245" t="s">
        <v>25</v>
      </c>
      <c r="E6" s="245" t="s">
        <v>26</v>
      </c>
      <c r="F6" s="245" t="s">
        <v>27</v>
      </c>
      <c r="G6" s="245" t="s">
        <v>28</v>
      </c>
      <c r="H6" s="245" t="s">
        <v>29</v>
      </c>
      <c r="I6" s="245" t="s">
        <v>30</v>
      </c>
      <c r="J6" s="245" t="s">
        <v>31</v>
      </c>
      <c r="K6" s="245" t="s">
        <v>32</v>
      </c>
      <c r="L6" s="245" t="s">
        <v>33</v>
      </c>
      <c r="M6" s="245" t="s">
        <v>34</v>
      </c>
      <c r="N6" s="245" t="s">
        <v>35</v>
      </c>
      <c r="O6" s="245" t="s">
        <v>36</v>
      </c>
    </row>
    <row r="7" spans="2:15" x14ac:dyDescent="0.3">
      <c r="B7" t="s">
        <v>65</v>
      </c>
      <c r="D7" s="5">
        <v>82</v>
      </c>
      <c r="E7" s="5">
        <v>88</v>
      </c>
      <c r="F7" s="5">
        <v>90</v>
      </c>
      <c r="G7" s="5">
        <v>90</v>
      </c>
      <c r="H7" s="5">
        <v>90</v>
      </c>
      <c r="I7" s="5">
        <v>90</v>
      </c>
      <c r="J7" s="5">
        <v>90</v>
      </c>
      <c r="K7" s="5">
        <v>90</v>
      </c>
      <c r="L7" s="5">
        <v>90</v>
      </c>
      <c r="M7" s="5">
        <v>90</v>
      </c>
      <c r="N7" s="5">
        <v>90</v>
      </c>
      <c r="O7" s="5">
        <v>90</v>
      </c>
    </row>
    <row r="8" spans="2:15" x14ac:dyDescent="0.3">
      <c r="B8" t="s">
        <v>66</v>
      </c>
      <c r="D8" s="5">
        <v>90</v>
      </c>
      <c r="E8" s="5">
        <v>90</v>
      </c>
      <c r="F8" s="5">
        <v>90</v>
      </c>
      <c r="G8" s="5">
        <v>90</v>
      </c>
      <c r="H8" s="5">
        <v>90</v>
      </c>
      <c r="I8" s="5">
        <v>90</v>
      </c>
      <c r="J8" s="5">
        <v>90</v>
      </c>
      <c r="K8" s="5">
        <v>90</v>
      </c>
      <c r="L8" s="5">
        <v>90</v>
      </c>
      <c r="M8" s="5">
        <v>90</v>
      </c>
      <c r="N8" s="5">
        <v>90</v>
      </c>
      <c r="O8" s="5">
        <v>90</v>
      </c>
    </row>
    <row r="9" spans="2:15" x14ac:dyDescent="0.3">
      <c r="B9" t="s">
        <v>1</v>
      </c>
      <c r="D9" s="5">
        <v>90</v>
      </c>
      <c r="E9" s="5">
        <v>90</v>
      </c>
      <c r="F9" s="5">
        <v>90</v>
      </c>
      <c r="G9" s="5">
        <v>90</v>
      </c>
      <c r="H9" s="5">
        <v>90</v>
      </c>
      <c r="I9" s="5">
        <v>90</v>
      </c>
      <c r="J9" s="5">
        <v>90</v>
      </c>
      <c r="K9" s="5">
        <v>90</v>
      </c>
      <c r="L9" s="5">
        <v>90</v>
      </c>
      <c r="M9" s="5">
        <v>90</v>
      </c>
      <c r="N9" s="5">
        <v>90</v>
      </c>
      <c r="O9" s="5">
        <v>90</v>
      </c>
    </row>
    <row r="11" spans="2:15" x14ac:dyDescent="0.3">
      <c r="B11" s="151" t="s">
        <v>262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2:15" x14ac:dyDescent="0.3">
      <c r="B12" s="244" t="s">
        <v>64</v>
      </c>
      <c r="C12" s="244"/>
      <c r="D12" s="245" t="s">
        <v>25</v>
      </c>
      <c r="E12" s="245" t="s">
        <v>26</v>
      </c>
      <c r="F12" s="245" t="s">
        <v>27</v>
      </c>
      <c r="G12" s="245" t="s">
        <v>28</v>
      </c>
      <c r="H12" s="245" t="s">
        <v>29</v>
      </c>
      <c r="I12" s="245" t="s">
        <v>30</v>
      </c>
      <c r="J12" s="245" t="s">
        <v>31</v>
      </c>
      <c r="K12" s="245" t="s">
        <v>32</v>
      </c>
      <c r="L12" s="245" t="s">
        <v>33</v>
      </c>
      <c r="M12" s="245" t="s">
        <v>34</v>
      </c>
      <c r="N12" s="245" t="s">
        <v>35</v>
      </c>
      <c r="O12" s="245" t="s">
        <v>36</v>
      </c>
    </row>
    <row r="13" spans="2:15" x14ac:dyDescent="0.3">
      <c r="B13" t="s">
        <v>65</v>
      </c>
      <c r="D13" s="5">
        <v>90</v>
      </c>
      <c r="E13" s="5">
        <v>90</v>
      </c>
      <c r="F13" s="5">
        <v>90</v>
      </c>
      <c r="G13" s="5">
        <v>90</v>
      </c>
      <c r="H13" s="5">
        <v>90</v>
      </c>
      <c r="I13" s="5">
        <v>90</v>
      </c>
      <c r="J13" s="5">
        <v>90</v>
      </c>
      <c r="K13" s="5">
        <v>90</v>
      </c>
      <c r="L13" s="5">
        <v>90</v>
      </c>
      <c r="M13" s="5">
        <v>90</v>
      </c>
      <c r="N13" s="5">
        <v>90</v>
      </c>
      <c r="O13" s="5">
        <v>90</v>
      </c>
    </row>
    <row r="14" spans="2:15" x14ac:dyDescent="0.3">
      <c r="B14" t="s">
        <v>66</v>
      </c>
      <c r="D14" s="5">
        <v>65</v>
      </c>
      <c r="E14" s="5">
        <v>65</v>
      </c>
      <c r="F14" s="5">
        <v>65</v>
      </c>
      <c r="G14" s="5">
        <v>70</v>
      </c>
      <c r="H14" s="5">
        <v>70</v>
      </c>
      <c r="I14" s="5">
        <v>70</v>
      </c>
      <c r="J14" s="5">
        <v>80</v>
      </c>
      <c r="K14" s="5">
        <v>80</v>
      </c>
      <c r="L14" s="5">
        <v>80</v>
      </c>
      <c r="M14" s="5">
        <v>80</v>
      </c>
      <c r="N14" s="5">
        <v>80</v>
      </c>
      <c r="O14" s="5">
        <v>90</v>
      </c>
    </row>
    <row r="15" spans="2:15" x14ac:dyDescent="0.3">
      <c r="B15" t="s">
        <v>1</v>
      </c>
      <c r="D15" s="5">
        <v>35</v>
      </c>
      <c r="E15" s="5">
        <v>35</v>
      </c>
      <c r="F15" s="5">
        <v>35</v>
      </c>
      <c r="G15" s="5">
        <v>35</v>
      </c>
      <c r="H15" s="5">
        <v>40</v>
      </c>
      <c r="I15" s="5">
        <v>40</v>
      </c>
      <c r="J15" s="5">
        <v>40</v>
      </c>
      <c r="K15" s="5">
        <v>45</v>
      </c>
      <c r="L15" s="5">
        <v>45</v>
      </c>
      <c r="M15" s="5">
        <v>45</v>
      </c>
      <c r="N15" s="5">
        <v>45</v>
      </c>
      <c r="O15" s="5">
        <v>45</v>
      </c>
    </row>
    <row r="17" spans="2:16" x14ac:dyDescent="0.3">
      <c r="B17" s="151" t="s">
        <v>263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</row>
    <row r="18" spans="2:16" x14ac:dyDescent="0.3">
      <c r="B18" s="244" t="s">
        <v>64</v>
      </c>
      <c r="C18" s="244"/>
      <c r="D18" s="245" t="s">
        <v>25</v>
      </c>
      <c r="E18" s="245" t="s">
        <v>26</v>
      </c>
      <c r="F18" s="245" t="s">
        <v>27</v>
      </c>
      <c r="G18" s="245" t="s">
        <v>28</v>
      </c>
      <c r="H18" s="245" t="s">
        <v>29</v>
      </c>
      <c r="I18" s="245" t="s">
        <v>30</v>
      </c>
      <c r="J18" s="245" t="s">
        <v>31</v>
      </c>
      <c r="K18" s="245" t="s">
        <v>32</v>
      </c>
      <c r="L18" s="245" t="s">
        <v>33</v>
      </c>
      <c r="M18" s="245" t="s">
        <v>34</v>
      </c>
      <c r="N18" s="245" t="s">
        <v>35</v>
      </c>
      <c r="O18" s="245" t="s">
        <v>36</v>
      </c>
    </row>
    <row r="19" spans="2:16" x14ac:dyDescent="0.3">
      <c r="B19" t="s">
        <v>65</v>
      </c>
      <c r="D19" s="10">
        <f>D7/D13</f>
        <v>0.91111111111111109</v>
      </c>
      <c r="E19" s="10">
        <f t="shared" ref="E19:O19" si="0">E7/E13</f>
        <v>0.97777777777777775</v>
      </c>
      <c r="F19" s="10">
        <f t="shared" si="0"/>
        <v>1</v>
      </c>
      <c r="G19" s="10">
        <f t="shared" si="0"/>
        <v>1</v>
      </c>
      <c r="H19" s="10">
        <f t="shared" si="0"/>
        <v>1</v>
      </c>
      <c r="I19" s="10">
        <f t="shared" si="0"/>
        <v>1</v>
      </c>
      <c r="J19" s="10">
        <f t="shared" si="0"/>
        <v>1</v>
      </c>
      <c r="K19" s="10">
        <f t="shared" si="0"/>
        <v>1</v>
      </c>
      <c r="L19" s="10">
        <f t="shared" si="0"/>
        <v>1</v>
      </c>
      <c r="M19" s="10">
        <f t="shared" si="0"/>
        <v>1</v>
      </c>
      <c r="N19" s="10">
        <f t="shared" si="0"/>
        <v>1</v>
      </c>
      <c r="O19" s="10">
        <f t="shared" si="0"/>
        <v>1</v>
      </c>
    </row>
    <row r="20" spans="2:16" x14ac:dyDescent="0.3">
      <c r="B20" t="s">
        <v>66</v>
      </c>
      <c r="D20" s="10">
        <f>D14/D8</f>
        <v>0.72222222222222221</v>
      </c>
      <c r="E20" s="10">
        <f t="shared" ref="E20:O20" si="1">E14/E8</f>
        <v>0.72222222222222221</v>
      </c>
      <c r="F20" s="10">
        <f t="shared" si="1"/>
        <v>0.72222222222222221</v>
      </c>
      <c r="G20" s="10">
        <f t="shared" si="1"/>
        <v>0.77777777777777779</v>
      </c>
      <c r="H20" s="10">
        <f t="shared" si="1"/>
        <v>0.77777777777777779</v>
      </c>
      <c r="I20" s="10">
        <f t="shared" si="1"/>
        <v>0.77777777777777779</v>
      </c>
      <c r="J20" s="10">
        <f t="shared" si="1"/>
        <v>0.88888888888888884</v>
      </c>
      <c r="K20" s="10">
        <f t="shared" si="1"/>
        <v>0.88888888888888884</v>
      </c>
      <c r="L20" s="10">
        <f t="shared" si="1"/>
        <v>0.88888888888888884</v>
      </c>
      <c r="M20" s="10">
        <f t="shared" si="1"/>
        <v>0.88888888888888884</v>
      </c>
      <c r="N20" s="10">
        <f t="shared" si="1"/>
        <v>0.88888888888888884</v>
      </c>
      <c r="O20" s="10">
        <f t="shared" si="1"/>
        <v>1</v>
      </c>
    </row>
    <row r="21" spans="2:16" x14ac:dyDescent="0.3">
      <c r="B21" t="s">
        <v>1</v>
      </c>
      <c r="D21" s="10">
        <f>D15/D9</f>
        <v>0.3888888888888889</v>
      </c>
      <c r="E21" s="10">
        <f t="shared" ref="E21:O21" si="2">E15/E9</f>
        <v>0.3888888888888889</v>
      </c>
      <c r="F21" s="10">
        <f t="shared" si="2"/>
        <v>0.3888888888888889</v>
      </c>
      <c r="G21" s="10">
        <f t="shared" si="2"/>
        <v>0.3888888888888889</v>
      </c>
      <c r="H21" s="10">
        <f t="shared" si="2"/>
        <v>0.44444444444444442</v>
      </c>
      <c r="I21" s="10">
        <f t="shared" si="2"/>
        <v>0.44444444444444442</v>
      </c>
      <c r="J21" s="10">
        <f t="shared" si="2"/>
        <v>0.44444444444444442</v>
      </c>
      <c r="K21" s="10">
        <f t="shared" si="2"/>
        <v>0.5</v>
      </c>
      <c r="L21" s="10">
        <f t="shared" si="2"/>
        <v>0.5</v>
      </c>
      <c r="M21" s="10">
        <f t="shared" si="2"/>
        <v>0.5</v>
      </c>
      <c r="N21" s="10">
        <f t="shared" si="2"/>
        <v>0.5</v>
      </c>
      <c r="O21" s="10">
        <f t="shared" si="2"/>
        <v>0.5</v>
      </c>
    </row>
    <row r="25" spans="2:16" ht="18" x14ac:dyDescent="0.35">
      <c r="B25" s="430" t="s">
        <v>68</v>
      </c>
      <c r="C25" s="430"/>
      <c r="D25" s="430"/>
      <c r="E25" s="430"/>
      <c r="F25" s="430"/>
      <c r="G25" s="430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3">
      <c r="B27" s="177" t="s">
        <v>217</v>
      </c>
      <c r="C27" s="177" t="s">
        <v>64</v>
      </c>
      <c r="D27" s="177"/>
      <c r="E27" s="205" t="s">
        <v>25</v>
      </c>
      <c r="F27" s="205" t="s">
        <v>26</v>
      </c>
      <c r="G27" s="205" t="s">
        <v>27</v>
      </c>
      <c r="H27" s="205" t="s">
        <v>28</v>
      </c>
      <c r="I27" s="205" t="s">
        <v>29</v>
      </c>
      <c r="J27" s="205" t="s">
        <v>30</v>
      </c>
      <c r="K27" s="205" t="s">
        <v>31</v>
      </c>
      <c r="L27" s="205" t="s">
        <v>32</v>
      </c>
      <c r="M27" s="205" t="s">
        <v>33</v>
      </c>
      <c r="N27" s="205" t="s">
        <v>34</v>
      </c>
      <c r="O27" s="205" t="s">
        <v>35</v>
      </c>
      <c r="P27" s="205" t="s">
        <v>36</v>
      </c>
    </row>
    <row r="28" spans="2:16" x14ac:dyDescent="0.3">
      <c r="B28" s="16" t="s">
        <v>237</v>
      </c>
      <c r="E28" s="5">
        <v>60</v>
      </c>
      <c r="F28" s="5">
        <v>60</v>
      </c>
      <c r="G28" s="5">
        <v>60</v>
      </c>
      <c r="H28" s="5">
        <v>60</v>
      </c>
      <c r="I28" s="5">
        <v>60</v>
      </c>
      <c r="J28" s="5">
        <v>60</v>
      </c>
      <c r="K28" s="5">
        <v>60</v>
      </c>
      <c r="L28" s="5">
        <v>60</v>
      </c>
      <c r="M28" s="5">
        <v>60</v>
      </c>
      <c r="N28" s="5">
        <v>60</v>
      </c>
      <c r="O28" s="5">
        <v>60</v>
      </c>
      <c r="P28" s="5">
        <v>60</v>
      </c>
    </row>
    <row r="29" spans="2:16" x14ac:dyDescent="0.3">
      <c r="B29" s="16" t="s">
        <v>238</v>
      </c>
      <c r="E29" s="5">
        <v>30</v>
      </c>
      <c r="F29" s="5">
        <v>30</v>
      </c>
      <c r="G29" s="5">
        <v>30</v>
      </c>
      <c r="H29" s="5">
        <v>30</v>
      </c>
      <c r="I29" s="5">
        <v>30</v>
      </c>
      <c r="J29" s="5">
        <v>30</v>
      </c>
      <c r="K29" s="5">
        <v>30</v>
      </c>
      <c r="L29" s="5">
        <v>30</v>
      </c>
      <c r="M29" s="5">
        <v>30</v>
      </c>
      <c r="N29" s="5">
        <v>30</v>
      </c>
      <c r="O29" s="5">
        <v>30</v>
      </c>
      <c r="P29" s="5">
        <v>30</v>
      </c>
    </row>
    <row r="31" spans="2:16" x14ac:dyDescent="0.3">
      <c r="B31" s="177" t="s">
        <v>93</v>
      </c>
      <c r="C31" s="177" t="s">
        <v>64</v>
      </c>
      <c r="D31" s="177"/>
      <c r="E31" s="205" t="s">
        <v>25</v>
      </c>
      <c r="F31" s="205" t="s">
        <v>26</v>
      </c>
      <c r="G31" s="205" t="s">
        <v>27</v>
      </c>
      <c r="H31" s="205" t="s">
        <v>28</v>
      </c>
      <c r="I31" s="205" t="s">
        <v>29</v>
      </c>
      <c r="J31" s="205" t="s">
        <v>30</v>
      </c>
      <c r="K31" s="205" t="s">
        <v>31</v>
      </c>
      <c r="L31" s="205" t="s">
        <v>32</v>
      </c>
      <c r="M31" s="205" t="s">
        <v>33</v>
      </c>
      <c r="N31" s="205" t="s">
        <v>34</v>
      </c>
      <c r="O31" s="205" t="s">
        <v>35</v>
      </c>
      <c r="P31" s="205" t="s">
        <v>36</v>
      </c>
    </row>
    <row r="32" spans="2:16" x14ac:dyDescent="0.3">
      <c r="B32" s="16" t="s">
        <v>237</v>
      </c>
      <c r="E32" s="5">
        <v>35</v>
      </c>
      <c r="F32" s="5">
        <v>35</v>
      </c>
      <c r="G32" s="5">
        <v>55</v>
      </c>
      <c r="H32" s="5">
        <v>60</v>
      </c>
      <c r="I32" s="5">
        <v>60</v>
      </c>
      <c r="J32" s="5">
        <v>60</v>
      </c>
      <c r="K32" s="5">
        <v>60</v>
      </c>
      <c r="L32" s="5">
        <v>60</v>
      </c>
      <c r="M32" s="5">
        <v>40</v>
      </c>
      <c r="N32" s="5">
        <v>60</v>
      </c>
      <c r="O32" s="5">
        <v>60</v>
      </c>
      <c r="P32" s="5">
        <v>60</v>
      </c>
    </row>
    <row r="33" spans="2:16" x14ac:dyDescent="0.3">
      <c r="B33" s="16" t="s">
        <v>238</v>
      </c>
      <c r="E33" s="5">
        <v>20</v>
      </c>
      <c r="F33" s="5">
        <v>20</v>
      </c>
      <c r="G33" s="5">
        <v>20</v>
      </c>
      <c r="H33" s="5">
        <v>30</v>
      </c>
      <c r="I33" s="5">
        <v>30</v>
      </c>
      <c r="J33" s="5">
        <v>30</v>
      </c>
      <c r="K33" s="5">
        <v>30</v>
      </c>
      <c r="L33" s="5">
        <v>30</v>
      </c>
      <c r="M33" s="5">
        <v>20</v>
      </c>
      <c r="N33" s="5">
        <v>30</v>
      </c>
      <c r="O33" s="5">
        <v>30</v>
      </c>
      <c r="P33" s="5">
        <v>30</v>
      </c>
    </row>
    <row r="35" spans="2:16" x14ac:dyDescent="0.3">
      <c r="B35" s="151"/>
      <c r="C35" s="177" t="s">
        <v>64</v>
      </c>
      <c r="D35" s="177"/>
      <c r="E35" s="205" t="s">
        <v>25</v>
      </c>
      <c r="F35" s="205" t="s">
        <v>26</v>
      </c>
      <c r="G35" s="205" t="s">
        <v>27</v>
      </c>
      <c r="H35" s="205" t="s">
        <v>28</v>
      </c>
      <c r="I35" s="205" t="s">
        <v>29</v>
      </c>
      <c r="J35" s="205" t="s">
        <v>30</v>
      </c>
      <c r="K35" s="205" t="s">
        <v>31</v>
      </c>
      <c r="L35" s="205" t="s">
        <v>32</v>
      </c>
      <c r="M35" s="205" t="s">
        <v>33</v>
      </c>
      <c r="N35" s="205" t="s">
        <v>34</v>
      </c>
      <c r="O35" s="205" t="s">
        <v>35</v>
      </c>
      <c r="P35" s="205" t="s">
        <v>36</v>
      </c>
    </row>
    <row r="36" spans="2:16" x14ac:dyDescent="0.3">
      <c r="B36" s="16" t="s">
        <v>237</v>
      </c>
      <c r="E36" s="6">
        <f>E32/E28</f>
        <v>0.58333333333333337</v>
      </c>
      <c r="F36" s="6">
        <f t="shared" ref="F36:P36" si="3">F32/F28</f>
        <v>0.58333333333333337</v>
      </c>
      <c r="G36" s="6">
        <f t="shared" si="3"/>
        <v>0.91666666666666663</v>
      </c>
      <c r="H36" s="6">
        <f t="shared" si="3"/>
        <v>1</v>
      </c>
      <c r="I36" s="6">
        <f t="shared" si="3"/>
        <v>1</v>
      </c>
      <c r="J36" s="6">
        <f t="shared" si="3"/>
        <v>1</v>
      </c>
      <c r="K36" s="6">
        <f t="shared" si="3"/>
        <v>1</v>
      </c>
      <c r="L36" s="6">
        <f t="shared" si="3"/>
        <v>1</v>
      </c>
      <c r="M36" s="6">
        <f t="shared" si="3"/>
        <v>0.66666666666666663</v>
      </c>
      <c r="N36" s="6">
        <f t="shared" si="3"/>
        <v>1</v>
      </c>
      <c r="O36" s="6">
        <f t="shared" si="3"/>
        <v>1</v>
      </c>
      <c r="P36" s="6">
        <f t="shared" si="3"/>
        <v>1</v>
      </c>
    </row>
    <row r="37" spans="2:16" x14ac:dyDescent="0.3">
      <c r="B37" s="16" t="s">
        <v>238</v>
      </c>
      <c r="E37" s="6">
        <f>E33/E29</f>
        <v>0.66666666666666663</v>
      </c>
      <c r="F37" s="6">
        <f t="shared" ref="F37:P37" si="4">F33/F29</f>
        <v>0.66666666666666663</v>
      </c>
      <c r="G37" s="6">
        <f t="shared" si="4"/>
        <v>0.66666666666666663</v>
      </c>
      <c r="H37" s="6">
        <f t="shared" si="4"/>
        <v>1</v>
      </c>
      <c r="I37" s="6">
        <f t="shared" si="4"/>
        <v>1</v>
      </c>
      <c r="J37" s="6">
        <f t="shared" si="4"/>
        <v>1</v>
      </c>
      <c r="K37" s="6">
        <f t="shared" si="4"/>
        <v>1</v>
      </c>
      <c r="L37" s="6">
        <f t="shared" si="4"/>
        <v>1</v>
      </c>
      <c r="M37" s="6">
        <f t="shared" si="4"/>
        <v>0.66666666666666663</v>
      </c>
      <c r="N37" s="6">
        <f t="shared" si="4"/>
        <v>1</v>
      </c>
      <c r="O37" s="6">
        <f t="shared" si="4"/>
        <v>1</v>
      </c>
      <c r="P37" s="6">
        <f t="shared" si="4"/>
        <v>1</v>
      </c>
    </row>
  </sheetData>
  <mergeCells count="1">
    <mergeCell ref="B25:G25"/>
  </mergeCells>
  <phoneticPr fontId="7" type="noConversion"/>
  <pageMargins left="0.7" right="0.7" top="0.75" bottom="0.75" header="0.3" footer="0.3"/>
  <pageSetup paperSize="9" orientation="portrait" horizontalDpi="1200" verticalDpi="1200" r:id="rId1"/>
  <ignoredErrors>
    <ignoredError sqref="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IS 2023</vt:lpstr>
      <vt:lpstr>CF 2023</vt:lpstr>
      <vt:lpstr>BS 2023</vt:lpstr>
      <vt:lpstr>Statements Summary 2023</vt:lpstr>
      <vt:lpstr>IS 2024</vt:lpstr>
      <vt:lpstr>CF 2024</vt:lpstr>
      <vt:lpstr>BS 2024</vt:lpstr>
      <vt:lpstr>Statements Summary 2024</vt:lpstr>
      <vt:lpstr>IS 2025</vt:lpstr>
      <vt:lpstr>CF 2025</vt:lpstr>
      <vt:lpstr>BS 2025</vt:lpstr>
      <vt:lpstr>Statements Summary 2025</vt:lpstr>
      <vt:lpstr>IS 2026</vt:lpstr>
      <vt:lpstr>CF 2026</vt:lpstr>
      <vt:lpstr>BS 2026</vt:lpstr>
      <vt:lpstr>Statements Summary 2026</vt:lpstr>
      <vt:lpstr>IS 2027</vt:lpstr>
      <vt:lpstr>CF 2027</vt:lpstr>
      <vt:lpstr>BS 2027</vt:lpstr>
      <vt:lpstr>Statements Summary 2027</vt:lpstr>
      <vt:lpstr>Array Revenues</vt:lpstr>
      <vt:lpstr>BEA</vt:lpstr>
      <vt:lpstr>Top Expenses</vt:lpstr>
      <vt:lpstr>Salaries Assumptions</vt:lpstr>
      <vt:lpstr>Services Assumptions </vt:lpstr>
      <vt:lpstr>COGS Assumptions</vt:lpstr>
      <vt:lpstr>Servcies Team Upselling %</vt:lpstr>
      <vt:lpstr>KPI Stage Financials</vt:lpstr>
      <vt:lpstr>KPI Spend</vt:lpstr>
      <vt:lpstr>Benchmarking Plan Over Time</vt:lpstr>
      <vt:lpstr>TimeData</vt:lpstr>
      <vt:lpstr>Unit Usage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2024-05-07T09:44:12Z</dcterms:modified>
</cp:coreProperties>
</file>