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9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0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14.xml" ContentType="application/vnd.openxmlformats-officedocument.drawing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\Desktop\MPP\Flevy\Solar Energy Solutions\Solar Farm 3\"/>
    </mc:Choice>
  </mc:AlternateContent>
  <xr:revisionPtr revIDLastSave="0" documentId="13_ncr:1_{8DE38EE1-B69C-4B62-88D9-9421FB88878D}" xr6:coauthVersionLast="47" xr6:coauthVersionMax="47" xr10:uidLastSave="{00000000-0000-0000-0000-000000000000}"/>
  <bookViews>
    <workbookView xWindow="-108" yWindow="-108" windowWidth="23256" windowHeight="13896" tabRatio="934" activeTab="1" xr2:uid="{152CE74B-ACBB-4039-8F2C-96E2E3436DFB}"/>
  </bookViews>
  <sheets>
    <sheet name="IS 2023" sheetId="23" r:id="rId1"/>
    <sheet name="CF 2023" sheetId="24" r:id="rId2"/>
    <sheet name="BS 2023" sheetId="25" r:id="rId3"/>
    <sheet name="Statements Summary 2023" sheetId="30" r:id="rId4"/>
    <sheet name="IS 2024" sheetId="26" r:id="rId5"/>
    <sheet name="CF 2024" sheetId="33" r:id="rId6"/>
    <sheet name="BS 2024" sheetId="40" r:id="rId7"/>
    <sheet name="Statements Summary 2024" sheetId="31" r:id="rId8"/>
    <sheet name="IS 2025" sheetId="27" r:id="rId9"/>
    <sheet name="CF 2025" sheetId="37" r:id="rId10"/>
    <sheet name="BS 2025" sheetId="41" r:id="rId11"/>
    <sheet name="Statements Summary 2025" sheetId="32" r:id="rId12"/>
    <sheet name="IS 2026" sheetId="28" r:id="rId13"/>
    <sheet name="CF 2026" sheetId="38" r:id="rId14"/>
    <sheet name="BS 2026" sheetId="42" r:id="rId15"/>
    <sheet name="Statements Summary 2026" sheetId="44" r:id="rId16"/>
    <sheet name="IS 2027" sheetId="29" r:id="rId17"/>
    <sheet name="CF 2027" sheetId="39" r:id="rId18"/>
    <sheet name="BS 2027" sheetId="43" r:id="rId19"/>
    <sheet name="Statements Summary 2027" sheetId="45" r:id="rId20"/>
    <sheet name="Sales Summary Charts" sheetId="53" r:id="rId21"/>
    <sheet name="Key Metrics Charts" sheetId="54" r:id="rId22"/>
    <sheet name="Charts" sheetId="55" r:id="rId23"/>
    <sheet name="BEA" sheetId="3" r:id="rId24"/>
    <sheet name="Top Expenses" sheetId="9" r:id="rId25"/>
    <sheet name="Salaries Assumptions" sheetId="56" r:id="rId26"/>
    <sheet name="Services Assumptions " sheetId="47" r:id="rId27"/>
    <sheet name="COGS Assumptions" sheetId="48" r:id="rId28"/>
    <sheet name="Servcies Team Upselling %" sheetId="16" r:id="rId29"/>
    <sheet name="KPI Stage Financials" sheetId="17" r:id="rId30"/>
    <sheet name="KPI Spend" sheetId="15" r:id="rId31"/>
    <sheet name="Benchmarking Plan Over Time" sheetId="21" r:id="rId32"/>
    <sheet name="TimeData" sheetId="20" r:id="rId33"/>
    <sheet name="Unit Usage" sheetId="10" r:id="rId34"/>
    <sheet name="Calculations" sheetId="2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28" l="1"/>
  <c r="T12" i="28"/>
  <c r="R12" i="28"/>
  <c r="S12" i="27"/>
  <c r="T12" i="27"/>
  <c r="R12" i="27"/>
  <c r="S12" i="26"/>
  <c r="T12" i="26"/>
  <c r="R12" i="26"/>
  <c r="Q38" i="56"/>
  <c r="P38" i="56"/>
  <c r="O38" i="56"/>
  <c r="N38" i="56"/>
  <c r="M38" i="56"/>
  <c r="L38" i="56"/>
  <c r="K38" i="56"/>
  <c r="J38" i="56"/>
  <c r="I38" i="56"/>
  <c r="H38" i="56"/>
  <c r="Q37" i="56"/>
  <c r="P37" i="56"/>
  <c r="O37" i="56"/>
  <c r="N37" i="56"/>
  <c r="M37" i="56"/>
  <c r="L37" i="56"/>
  <c r="K37" i="56"/>
  <c r="J37" i="56"/>
  <c r="I37" i="56"/>
  <c r="H37" i="56"/>
  <c r="Q36" i="56"/>
  <c r="P36" i="56"/>
  <c r="O36" i="56"/>
  <c r="N36" i="56"/>
  <c r="M36" i="56"/>
  <c r="L36" i="56"/>
  <c r="K36" i="56"/>
  <c r="J36" i="56"/>
  <c r="I36" i="56"/>
  <c r="H36" i="56"/>
  <c r="Q35" i="56"/>
  <c r="P35" i="56"/>
  <c r="O35" i="56"/>
  <c r="N35" i="56"/>
  <c r="M35" i="56"/>
  <c r="L35" i="56"/>
  <c r="K35" i="56"/>
  <c r="J35" i="56"/>
  <c r="I35" i="56"/>
  <c r="H35" i="56"/>
  <c r="Q34" i="56"/>
  <c r="P34" i="56"/>
  <c r="O34" i="56"/>
  <c r="N34" i="56"/>
  <c r="M34" i="56"/>
  <c r="L34" i="56"/>
  <c r="K34" i="56"/>
  <c r="J34" i="56"/>
  <c r="I34" i="56"/>
  <c r="H34" i="56"/>
  <c r="Q33" i="56"/>
  <c r="P33" i="56"/>
  <c r="O33" i="56"/>
  <c r="N33" i="56"/>
  <c r="M33" i="56"/>
  <c r="L33" i="56"/>
  <c r="K33" i="56"/>
  <c r="J33" i="56"/>
  <c r="I33" i="56"/>
  <c r="H33" i="56"/>
  <c r="Q32" i="56"/>
  <c r="P32" i="56"/>
  <c r="O32" i="56"/>
  <c r="N32" i="56"/>
  <c r="M32" i="56"/>
  <c r="L32" i="56"/>
  <c r="K32" i="56"/>
  <c r="J32" i="56"/>
  <c r="I32" i="56"/>
  <c r="H32" i="56"/>
  <c r="Q31" i="56"/>
  <c r="P31" i="56"/>
  <c r="O31" i="56"/>
  <c r="N31" i="56"/>
  <c r="M31" i="56"/>
  <c r="L31" i="56"/>
  <c r="K31" i="56"/>
  <c r="J31" i="56"/>
  <c r="I31" i="56"/>
  <c r="H31" i="56"/>
  <c r="Q30" i="56"/>
  <c r="P30" i="56"/>
  <c r="O30" i="56"/>
  <c r="N30" i="56"/>
  <c r="M30" i="56"/>
  <c r="L30" i="56"/>
  <c r="K30" i="56"/>
  <c r="J30" i="56"/>
  <c r="I30" i="56"/>
  <c r="H30" i="56"/>
  <c r="G12" i="39" l="1"/>
  <c r="H12" i="39"/>
  <c r="I12" i="39"/>
  <c r="J12" i="39"/>
  <c r="K12" i="39"/>
  <c r="L12" i="39"/>
  <c r="M12" i="39"/>
  <c r="N12" i="39"/>
  <c r="O12" i="39"/>
  <c r="P12" i="39"/>
  <c r="Q12" i="39"/>
  <c r="R12" i="39"/>
  <c r="G13" i="29"/>
  <c r="H13" i="29"/>
  <c r="I13" i="29"/>
  <c r="J13" i="29"/>
  <c r="K13" i="29"/>
  <c r="L13" i="29"/>
  <c r="M13" i="29"/>
  <c r="N13" i="29"/>
  <c r="O13" i="29"/>
  <c r="P13" i="29"/>
  <c r="Q13" i="29"/>
  <c r="F13" i="29"/>
  <c r="G12" i="38"/>
  <c r="H12" i="38"/>
  <c r="I12" i="38"/>
  <c r="J12" i="38"/>
  <c r="K12" i="38"/>
  <c r="L12" i="38"/>
  <c r="M12" i="38"/>
  <c r="N12" i="38"/>
  <c r="O12" i="38"/>
  <c r="P12" i="38"/>
  <c r="Q12" i="38"/>
  <c r="R12" i="38"/>
  <c r="Q13" i="28"/>
  <c r="G13" i="28"/>
  <c r="H13" i="28"/>
  <c r="I13" i="28"/>
  <c r="J13" i="28"/>
  <c r="K13" i="28"/>
  <c r="L13" i="28"/>
  <c r="M13" i="28"/>
  <c r="N13" i="28"/>
  <c r="O13" i="28"/>
  <c r="P13" i="28"/>
  <c r="F13" i="28"/>
  <c r="G12" i="37"/>
  <c r="H12" i="37"/>
  <c r="I12" i="37"/>
  <c r="J12" i="37"/>
  <c r="K12" i="37"/>
  <c r="L12" i="37"/>
  <c r="M12" i="37"/>
  <c r="N12" i="37"/>
  <c r="O12" i="37"/>
  <c r="P12" i="37"/>
  <c r="Q12" i="37"/>
  <c r="R12" i="37"/>
  <c r="G13" i="27"/>
  <c r="H13" i="27"/>
  <c r="I13" i="27"/>
  <c r="J13" i="27"/>
  <c r="K13" i="27"/>
  <c r="L13" i="27"/>
  <c r="M13" i="27"/>
  <c r="N13" i="27"/>
  <c r="O13" i="27"/>
  <c r="P13" i="27"/>
  <c r="Q13" i="27"/>
  <c r="F13" i="27"/>
  <c r="R12" i="23"/>
  <c r="S12" i="23"/>
  <c r="T12" i="23"/>
  <c r="G13" i="26"/>
  <c r="H13" i="26"/>
  <c r="I13" i="26"/>
  <c r="J13" i="26"/>
  <c r="K13" i="26"/>
  <c r="L13" i="26"/>
  <c r="M13" i="26"/>
  <c r="N13" i="26"/>
  <c r="O13" i="26"/>
  <c r="P13" i="26"/>
  <c r="Q13" i="26"/>
  <c r="F13" i="26"/>
  <c r="G12" i="33"/>
  <c r="H12" i="33"/>
  <c r="I12" i="33"/>
  <c r="J12" i="33"/>
  <c r="K12" i="33"/>
  <c r="L12" i="33"/>
  <c r="M12" i="33"/>
  <c r="N12" i="33"/>
  <c r="O12" i="33"/>
  <c r="P12" i="33"/>
  <c r="Q12" i="33"/>
  <c r="R12" i="33"/>
  <c r="G12" i="24"/>
  <c r="H12" i="24"/>
  <c r="I12" i="24"/>
  <c r="J12" i="24"/>
  <c r="K12" i="24"/>
  <c r="L12" i="24"/>
  <c r="M12" i="24"/>
  <c r="N12" i="24"/>
  <c r="O12" i="24"/>
  <c r="P12" i="24"/>
  <c r="Q12" i="24"/>
  <c r="R12" i="24"/>
  <c r="G13" i="23"/>
  <c r="H13" i="23"/>
  <c r="I13" i="23"/>
  <c r="J13" i="23"/>
  <c r="K13" i="23"/>
  <c r="L13" i="23"/>
  <c r="M13" i="23"/>
  <c r="N13" i="23"/>
  <c r="O13" i="23"/>
  <c r="P13" i="23"/>
  <c r="Q13" i="23"/>
  <c r="F13" i="23"/>
  <c r="G15" i="27" l="1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F15" i="27"/>
  <c r="BA45" i="2"/>
  <c r="BB45" i="2"/>
  <c r="BC45" i="2"/>
  <c r="BD45" i="2"/>
  <c r="BE45" i="2"/>
  <c r="BF45" i="2"/>
  <c r="BG45" i="2"/>
  <c r="BH45" i="2"/>
  <c r="BI45" i="2"/>
  <c r="BJ45" i="2"/>
  <c r="BK45" i="2"/>
  <c r="BL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Q45" i="2"/>
  <c r="R45" i="2"/>
  <c r="S45" i="2"/>
  <c r="T45" i="2"/>
  <c r="U45" i="2"/>
  <c r="V45" i="2"/>
  <c r="W45" i="2"/>
  <c r="X45" i="2"/>
  <c r="Y45" i="2"/>
  <c r="Z45" i="2"/>
  <c r="AA45" i="2"/>
  <c r="AB45" i="2"/>
  <c r="E45" i="2"/>
  <c r="F45" i="2"/>
  <c r="G45" i="2"/>
  <c r="H45" i="2"/>
  <c r="I45" i="2"/>
  <c r="J45" i="2"/>
  <c r="K45" i="2"/>
  <c r="L45" i="2"/>
  <c r="M45" i="2"/>
  <c r="N45" i="2"/>
  <c r="O45" i="2"/>
  <c r="P45" i="2"/>
  <c r="E41" i="2"/>
  <c r="F41" i="2"/>
  <c r="G41" i="2"/>
  <c r="H41" i="2"/>
  <c r="I41" i="2"/>
  <c r="J41" i="2"/>
  <c r="K41" i="2"/>
  <c r="L41" i="2"/>
  <c r="M41" i="2"/>
  <c r="N41" i="2"/>
  <c r="O41" i="2"/>
  <c r="P41" i="2"/>
  <c r="H15" i="39"/>
  <c r="H47" i="39" s="1"/>
  <c r="I15" i="39"/>
  <c r="I47" i="39" s="1"/>
  <c r="J15" i="39"/>
  <c r="J47" i="39" s="1"/>
  <c r="K15" i="39"/>
  <c r="K47" i="39" s="1"/>
  <c r="L15" i="39"/>
  <c r="L47" i="39" s="1"/>
  <c r="P15" i="39"/>
  <c r="P47" i="39" s="1"/>
  <c r="Q15" i="39"/>
  <c r="Q47" i="39" s="1"/>
  <c r="R15" i="39"/>
  <c r="R47" i="39" s="1"/>
  <c r="G15" i="39"/>
  <c r="G47" i="39" s="1"/>
  <c r="H14" i="39"/>
  <c r="I14" i="39"/>
  <c r="G14" i="39"/>
  <c r="G56" i="29"/>
  <c r="H56" i="29"/>
  <c r="I56" i="29"/>
  <c r="J56" i="29"/>
  <c r="K56" i="29"/>
  <c r="L56" i="29"/>
  <c r="M15" i="39" s="1"/>
  <c r="M47" i="39" s="1"/>
  <c r="M56" i="29"/>
  <c r="N15" i="39" s="1"/>
  <c r="N47" i="39" s="1"/>
  <c r="N56" i="29"/>
  <c r="O15" i="39" s="1"/>
  <c r="O47" i="39" s="1"/>
  <c r="O56" i="29"/>
  <c r="P56" i="29"/>
  <c r="Q56" i="29"/>
  <c r="F56" i="29"/>
  <c r="U48" i="38"/>
  <c r="I16" i="38"/>
  <c r="I48" i="38" s="1"/>
  <c r="J16" i="38"/>
  <c r="J48" i="38" s="1"/>
  <c r="M16" i="38"/>
  <c r="M48" i="38" s="1"/>
  <c r="N16" i="38"/>
  <c r="N48" i="38" s="1"/>
  <c r="Q16" i="38"/>
  <c r="Q48" i="38" s="1"/>
  <c r="R16" i="38"/>
  <c r="R48" i="38" s="1"/>
  <c r="U16" i="38"/>
  <c r="G16" i="38"/>
  <c r="G48" i="38" s="1"/>
  <c r="H15" i="38"/>
  <c r="I15" i="38"/>
  <c r="G15" i="38"/>
  <c r="G56" i="28"/>
  <c r="H16" i="38" s="1"/>
  <c r="H48" i="38" s="1"/>
  <c r="H56" i="28"/>
  <c r="I56" i="28"/>
  <c r="J56" i="28"/>
  <c r="K16" i="38" s="1"/>
  <c r="K48" i="38" s="1"/>
  <c r="K56" i="28"/>
  <c r="L16" i="38" s="1"/>
  <c r="L48" i="38" s="1"/>
  <c r="L56" i="28"/>
  <c r="M56" i="28"/>
  <c r="N56" i="28"/>
  <c r="O16" i="38" s="1"/>
  <c r="O48" i="38" s="1"/>
  <c r="O56" i="28"/>
  <c r="P16" i="38" s="1"/>
  <c r="P48" i="38" s="1"/>
  <c r="P56" i="28"/>
  <c r="Q56" i="28"/>
  <c r="R56" i="28"/>
  <c r="S16" i="38" s="1"/>
  <c r="S48" i="38" s="1"/>
  <c r="S56" i="28"/>
  <c r="T16" i="38" s="1"/>
  <c r="T48" i="38" s="1"/>
  <c r="T56" i="28"/>
  <c r="U56" i="28"/>
  <c r="F56" i="28"/>
  <c r="Q16" i="37"/>
  <c r="Q48" i="37" s="1"/>
  <c r="R16" i="37"/>
  <c r="R48" i="37" s="1"/>
  <c r="T16" i="37"/>
  <c r="T48" i="37" s="1"/>
  <c r="H15" i="37"/>
  <c r="I15" i="37"/>
  <c r="G15" i="37"/>
  <c r="V31" i="37"/>
  <c r="O58" i="27"/>
  <c r="P16" i="37" s="1"/>
  <c r="P48" i="37" s="1"/>
  <c r="P58" i="27"/>
  <c r="Q58" i="27"/>
  <c r="R58" i="27"/>
  <c r="S16" i="37" s="1"/>
  <c r="S48" i="37" s="1"/>
  <c r="S58" i="27"/>
  <c r="T58" i="27"/>
  <c r="U16" i="37" s="1"/>
  <c r="U48" i="37" s="1"/>
  <c r="V30" i="24"/>
  <c r="F58" i="23"/>
  <c r="G15" i="24" s="1"/>
  <c r="G47" i="24" s="1"/>
  <c r="I10" i="45"/>
  <c r="I11" i="45"/>
  <c r="I13" i="45"/>
  <c r="I14" i="45"/>
  <c r="I10" i="44"/>
  <c r="I11" i="44"/>
  <c r="I13" i="44"/>
  <c r="I14" i="44"/>
  <c r="I10" i="32"/>
  <c r="I11" i="32"/>
  <c r="I13" i="32"/>
  <c r="I14" i="32"/>
  <c r="I10" i="31"/>
  <c r="I11" i="31"/>
  <c r="I13" i="31"/>
  <c r="I14" i="31"/>
  <c r="I10" i="30"/>
  <c r="I11" i="30"/>
  <c r="I13" i="30"/>
  <c r="I14" i="30"/>
  <c r="H10" i="45"/>
  <c r="H11" i="45"/>
  <c r="H13" i="45"/>
  <c r="H14" i="45"/>
  <c r="H10" i="44"/>
  <c r="H11" i="44"/>
  <c r="H13" i="44"/>
  <c r="H14" i="44"/>
  <c r="H10" i="32"/>
  <c r="H11" i="32"/>
  <c r="H13" i="32"/>
  <c r="H14" i="32"/>
  <c r="H10" i="31"/>
  <c r="H11" i="31"/>
  <c r="H13" i="31"/>
  <c r="H14" i="31"/>
  <c r="H10" i="30"/>
  <c r="H11" i="30"/>
  <c r="H13" i="30"/>
  <c r="H14" i="30"/>
  <c r="G10" i="45"/>
  <c r="G11" i="45"/>
  <c r="G13" i="45"/>
  <c r="G14" i="45"/>
  <c r="G10" i="44"/>
  <c r="G11" i="44"/>
  <c r="G13" i="44"/>
  <c r="G14" i="44"/>
  <c r="G10" i="32"/>
  <c r="G11" i="32"/>
  <c r="G13" i="32"/>
  <c r="G14" i="32"/>
  <c r="G10" i="31"/>
  <c r="G11" i="31"/>
  <c r="G13" i="31"/>
  <c r="G14" i="31"/>
  <c r="G10" i="30"/>
  <c r="G11" i="30"/>
  <c r="G13" i="30"/>
  <c r="G14" i="30"/>
  <c r="F9" i="45"/>
  <c r="F10" i="45"/>
  <c r="F11" i="45"/>
  <c r="F13" i="45"/>
  <c r="F14" i="45"/>
  <c r="F9" i="44"/>
  <c r="F10" i="44"/>
  <c r="F11" i="44"/>
  <c r="F13" i="44"/>
  <c r="F14" i="44"/>
  <c r="F9" i="32"/>
  <c r="F10" i="32"/>
  <c r="F11" i="32"/>
  <c r="F13" i="32"/>
  <c r="F14" i="32"/>
  <c r="F9" i="31"/>
  <c r="F10" i="31"/>
  <c r="F11" i="31"/>
  <c r="F13" i="31"/>
  <c r="F14" i="31"/>
  <c r="F9" i="30"/>
  <c r="F10" i="30"/>
  <c r="F11" i="30"/>
  <c r="F13" i="30"/>
  <c r="F14" i="30"/>
  <c r="E9" i="45"/>
  <c r="E10" i="45"/>
  <c r="E11" i="45"/>
  <c r="E13" i="45"/>
  <c r="E14" i="45"/>
  <c r="E9" i="44"/>
  <c r="E10" i="44"/>
  <c r="E11" i="44"/>
  <c r="E13" i="44"/>
  <c r="E14" i="44"/>
  <c r="E9" i="32"/>
  <c r="E10" i="32"/>
  <c r="E11" i="32"/>
  <c r="E13" i="32"/>
  <c r="E14" i="32"/>
  <c r="E9" i="31"/>
  <c r="E10" i="31"/>
  <c r="E11" i="31"/>
  <c r="E13" i="31"/>
  <c r="E14" i="31"/>
  <c r="E9" i="30"/>
  <c r="E10" i="30"/>
  <c r="E11" i="30"/>
  <c r="E13" i="30"/>
  <c r="E14" i="30"/>
  <c r="I92" i="45"/>
  <c r="I96" i="45"/>
  <c r="I97" i="45"/>
  <c r="I92" i="44"/>
  <c r="I96" i="44"/>
  <c r="I97" i="44"/>
  <c r="I92" i="32"/>
  <c r="I96" i="32"/>
  <c r="I97" i="32"/>
  <c r="I92" i="31"/>
  <c r="I96" i="31"/>
  <c r="I97" i="31"/>
  <c r="I90" i="30"/>
  <c r="I94" i="30"/>
  <c r="I95" i="30"/>
  <c r="H92" i="45"/>
  <c r="H96" i="45"/>
  <c r="H97" i="45"/>
  <c r="H92" i="44"/>
  <c r="H96" i="44"/>
  <c r="H97" i="44"/>
  <c r="H92" i="32"/>
  <c r="H96" i="32"/>
  <c r="H97" i="32"/>
  <c r="H92" i="31"/>
  <c r="H96" i="31"/>
  <c r="H97" i="31"/>
  <c r="H90" i="30"/>
  <c r="H94" i="30"/>
  <c r="H95" i="30"/>
  <c r="G92" i="45"/>
  <c r="G96" i="45"/>
  <c r="G97" i="45"/>
  <c r="G92" i="44"/>
  <c r="G96" i="44"/>
  <c r="G97" i="44"/>
  <c r="G92" i="32"/>
  <c r="G96" i="32"/>
  <c r="G97" i="32"/>
  <c r="G92" i="31"/>
  <c r="G96" i="31"/>
  <c r="G97" i="31"/>
  <c r="G90" i="30"/>
  <c r="G94" i="30"/>
  <c r="G95" i="30"/>
  <c r="F96" i="45"/>
  <c r="F97" i="45"/>
  <c r="F96" i="44"/>
  <c r="F97" i="44"/>
  <c r="F96" i="32"/>
  <c r="F97" i="32"/>
  <c r="F96" i="31"/>
  <c r="F97" i="31"/>
  <c r="F94" i="30"/>
  <c r="F95" i="30"/>
  <c r="E94" i="30"/>
  <c r="E95" i="30"/>
  <c r="E96" i="45"/>
  <c r="E97" i="45"/>
  <c r="E96" i="44"/>
  <c r="E97" i="44"/>
  <c r="E96" i="32"/>
  <c r="E97" i="32"/>
  <c r="E96" i="31"/>
  <c r="E97" i="31"/>
  <c r="G20" i="48"/>
  <c r="H20" i="48"/>
  <c r="I20" i="48"/>
  <c r="J20" i="48"/>
  <c r="K20" i="48"/>
  <c r="L20" i="48"/>
  <c r="M20" i="48"/>
  <c r="N20" i="48"/>
  <c r="O20" i="48"/>
  <c r="P20" i="48"/>
  <c r="Q20" i="48"/>
  <c r="R20" i="48"/>
  <c r="S20" i="48"/>
  <c r="G21" i="48"/>
  <c r="H21" i="48"/>
  <c r="I21" i="48"/>
  <c r="J21" i="48"/>
  <c r="K21" i="48"/>
  <c r="L21" i="48"/>
  <c r="M21" i="48"/>
  <c r="N21" i="48"/>
  <c r="O21" i="48"/>
  <c r="P21" i="48"/>
  <c r="Q21" i="48"/>
  <c r="R21" i="48"/>
  <c r="S21" i="48"/>
  <c r="G22" i="48"/>
  <c r="H22" i="48"/>
  <c r="I22" i="48"/>
  <c r="J22" i="48"/>
  <c r="K22" i="48"/>
  <c r="L22" i="48"/>
  <c r="M22" i="48"/>
  <c r="N22" i="48"/>
  <c r="O22" i="48"/>
  <c r="P22" i="48"/>
  <c r="Q22" i="48"/>
  <c r="R22" i="48"/>
  <c r="S22" i="48"/>
  <c r="H19" i="48"/>
  <c r="I19" i="48"/>
  <c r="J19" i="48"/>
  <c r="K19" i="48"/>
  <c r="L19" i="48"/>
  <c r="M19" i="48"/>
  <c r="N19" i="48"/>
  <c r="O19" i="48"/>
  <c r="P19" i="48"/>
  <c r="Q19" i="48"/>
  <c r="R19" i="48"/>
  <c r="S19" i="48"/>
  <c r="G19" i="48"/>
  <c r="S31" i="33" l="1"/>
  <c r="G22" i="33"/>
  <c r="H22" i="33"/>
  <c r="I22" i="33"/>
  <c r="G23" i="33"/>
  <c r="H23" i="33"/>
  <c r="I23" i="33"/>
  <c r="G24" i="33"/>
  <c r="H24" i="33"/>
  <c r="I24" i="33"/>
  <c r="G26" i="33"/>
  <c r="H26" i="33"/>
  <c r="I26" i="33"/>
  <c r="G27" i="33"/>
  <c r="H27" i="33"/>
  <c r="I27" i="33"/>
  <c r="G28" i="33"/>
  <c r="H28" i="33"/>
  <c r="I28" i="33"/>
  <c r="G29" i="33"/>
  <c r="H29" i="33"/>
  <c r="I29" i="33"/>
  <c r="G30" i="33"/>
  <c r="H30" i="33"/>
  <c r="I30" i="33"/>
  <c r="G31" i="33"/>
  <c r="H31" i="33"/>
  <c r="I31" i="33"/>
  <c r="G32" i="33"/>
  <c r="H32" i="33"/>
  <c r="I32" i="33"/>
  <c r="G33" i="33"/>
  <c r="H33" i="33"/>
  <c r="I33" i="33"/>
  <c r="G34" i="33"/>
  <c r="H34" i="33"/>
  <c r="I34" i="33"/>
  <c r="G35" i="33"/>
  <c r="H35" i="33"/>
  <c r="I35" i="33"/>
  <c r="G36" i="33"/>
  <c r="H36" i="33"/>
  <c r="I36" i="33"/>
  <c r="G37" i="33"/>
  <c r="H37" i="33"/>
  <c r="I37" i="33"/>
  <c r="G38" i="33"/>
  <c r="H38" i="33"/>
  <c r="I38" i="33"/>
  <c r="G39" i="33"/>
  <c r="H39" i="33"/>
  <c r="I39" i="33"/>
  <c r="S22" i="33"/>
  <c r="T22" i="33"/>
  <c r="U22" i="33"/>
  <c r="S23" i="33"/>
  <c r="T23" i="33"/>
  <c r="U23" i="33"/>
  <c r="S24" i="33"/>
  <c r="T24" i="33"/>
  <c r="U24" i="33"/>
  <c r="S26" i="33"/>
  <c r="T26" i="33"/>
  <c r="U26" i="33"/>
  <c r="S27" i="33"/>
  <c r="T27" i="33"/>
  <c r="U27" i="33"/>
  <c r="S28" i="33"/>
  <c r="T28" i="33"/>
  <c r="U28" i="33"/>
  <c r="S29" i="33"/>
  <c r="T29" i="33"/>
  <c r="U29" i="33"/>
  <c r="S30" i="33"/>
  <c r="T30" i="33"/>
  <c r="U30" i="33"/>
  <c r="T31" i="33"/>
  <c r="U31" i="33"/>
  <c r="S32" i="33"/>
  <c r="T32" i="33"/>
  <c r="U32" i="33"/>
  <c r="S33" i="33"/>
  <c r="T33" i="33"/>
  <c r="U33" i="33"/>
  <c r="S34" i="33"/>
  <c r="T34" i="33"/>
  <c r="U34" i="33"/>
  <c r="S35" i="33"/>
  <c r="T35" i="33"/>
  <c r="U35" i="33"/>
  <c r="S36" i="33"/>
  <c r="T36" i="33"/>
  <c r="U36" i="33"/>
  <c r="S37" i="33"/>
  <c r="T37" i="33"/>
  <c r="U37" i="33"/>
  <c r="S38" i="33"/>
  <c r="T38" i="33"/>
  <c r="U38" i="33"/>
  <c r="S39" i="33"/>
  <c r="T39" i="33"/>
  <c r="U39" i="33"/>
  <c r="S22" i="38"/>
  <c r="T22" i="38"/>
  <c r="U22" i="38"/>
  <c r="S23" i="38"/>
  <c r="T23" i="38"/>
  <c r="U23" i="38"/>
  <c r="S24" i="38"/>
  <c r="T24" i="38"/>
  <c r="U24" i="38"/>
  <c r="S26" i="38"/>
  <c r="T26" i="38"/>
  <c r="U26" i="38"/>
  <c r="S27" i="38"/>
  <c r="T27" i="38"/>
  <c r="U27" i="38"/>
  <c r="S28" i="38"/>
  <c r="T28" i="38"/>
  <c r="U28" i="38"/>
  <c r="S29" i="38"/>
  <c r="T29" i="38"/>
  <c r="U29" i="38"/>
  <c r="S30" i="38"/>
  <c r="T30" i="38"/>
  <c r="U30" i="38"/>
  <c r="S32" i="38"/>
  <c r="T32" i="38"/>
  <c r="U32" i="38"/>
  <c r="S33" i="38"/>
  <c r="T33" i="38"/>
  <c r="U33" i="38"/>
  <c r="S34" i="38"/>
  <c r="T34" i="38"/>
  <c r="U34" i="38"/>
  <c r="S35" i="38"/>
  <c r="T35" i="38"/>
  <c r="U35" i="38"/>
  <c r="S36" i="38"/>
  <c r="T36" i="38"/>
  <c r="U36" i="38"/>
  <c r="S37" i="38"/>
  <c r="T37" i="38"/>
  <c r="U37" i="38"/>
  <c r="S38" i="38"/>
  <c r="T38" i="38"/>
  <c r="U38" i="38"/>
  <c r="S39" i="38"/>
  <c r="T39" i="38"/>
  <c r="U39" i="38"/>
  <c r="S22" i="37"/>
  <c r="T22" i="37"/>
  <c r="U22" i="37"/>
  <c r="S23" i="37"/>
  <c r="T23" i="37"/>
  <c r="U23" i="37"/>
  <c r="S24" i="37"/>
  <c r="T24" i="37"/>
  <c r="U24" i="37"/>
  <c r="S26" i="37"/>
  <c r="T26" i="37"/>
  <c r="U26" i="37"/>
  <c r="S27" i="37"/>
  <c r="T27" i="37"/>
  <c r="U27" i="37"/>
  <c r="S28" i="37"/>
  <c r="T28" i="37"/>
  <c r="U28" i="37"/>
  <c r="S29" i="37"/>
  <c r="T29" i="37"/>
  <c r="U29" i="37"/>
  <c r="S30" i="37"/>
  <c r="T30" i="37"/>
  <c r="U30" i="37"/>
  <c r="S32" i="37"/>
  <c r="T32" i="37"/>
  <c r="U32" i="37"/>
  <c r="S33" i="37"/>
  <c r="T33" i="37"/>
  <c r="U33" i="37"/>
  <c r="S34" i="37"/>
  <c r="T34" i="37"/>
  <c r="U34" i="37"/>
  <c r="S35" i="37"/>
  <c r="T35" i="37"/>
  <c r="U35" i="37"/>
  <c r="S36" i="37"/>
  <c r="T36" i="37"/>
  <c r="U36" i="37"/>
  <c r="S37" i="37"/>
  <c r="T37" i="37"/>
  <c r="U37" i="37"/>
  <c r="S38" i="37"/>
  <c r="T38" i="37"/>
  <c r="U38" i="37"/>
  <c r="S39" i="37"/>
  <c r="T39" i="37"/>
  <c r="U39" i="37"/>
  <c r="G15" i="33"/>
  <c r="H15" i="33"/>
  <c r="I15" i="33"/>
  <c r="N58" i="27" l="1"/>
  <c r="O16" i="37" s="1"/>
  <c r="O48" i="37" s="1"/>
  <c r="S12" i="38" l="1"/>
  <c r="U12" i="38"/>
  <c r="S12" i="37"/>
  <c r="T12" i="37"/>
  <c r="U12" i="37"/>
  <c r="T12" i="33"/>
  <c r="U12" i="33"/>
  <c r="S12" i="33"/>
  <c r="K11" i="33"/>
  <c r="K45" i="33" s="1"/>
  <c r="L11" i="33"/>
  <c r="L18" i="33" s="1"/>
  <c r="V49" i="2" s="1"/>
  <c r="M11" i="33"/>
  <c r="M18" i="33" s="1"/>
  <c r="W49" i="2" s="1"/>
  <c r="N11" i="33"/>
  <c r="N18" i="33" s="1"/>
  <c r="X49" i="2" s="1"/>
  <c r="O11" i="33"/>
  <c r="O18" i="33" s="1"/>
  <c r="Y49" i="2" s="1"/>
  <c r="P11" i="33"/>
  <c r="P18" i="33" s="1"/>
  <c r="Z49" i="2" s="1"/>
  <c r="Q11" i="33"/>
  <c r="Q45" i="33" s="1"/>
  <c r="R11" i="33"/>
  <c r="R45" i="33" s="1"/>
  <c r="K25" i="33"/>
  <c r="L25" i="33"/>
  <c r="L43" i="33" s="1"/>
  <c r="M25" i="33"/>
  <c r="N25" i="33"/>
  <c r="O25" i="33"/>
  <c r="P25" i="33"/>
  <c r="Q25" i="33"/>
  <c r="R25" i="33"/>
  <c r="K40" i="33"/>
  <c r="K44" i="33" s="1"/>
  <c r="L40" i="33"/>
  <c r="L44" i="33" s="1"/>
  <c r="M40" i="33"/>
  <c r="N40" i="33"/>
  <c r="O40" i="33"/>
  <c r="O44" i="33" s="1"/>
  <c r="P40" i="33"/>
  <c r="P44" i="33" s="1"/>
  <c r="Q40" i="33"/>
  <c r="R40" i="33"/>
  <c r="R44" i="33" s="1"/>
  <c r="K43" i="33"/>
  <c r="M43" i="33"/>
  <c r="N43" i="33"/>
  <c r="O43" i="33"/>
  <c r="P43" i="33"/>
  <c r="Q43" i="33"/>
  <c r="R43" i="33"/>
  <c r="M44" i="33"/>
  <c r="N44" i="33"/>
  <c r="Q44" i="33"/>
  <c r="K46" i="33"/>
  <c r="L46" i="33"/>
  <c r="M46" i="33"/>
  <c r="N46" i="33"/>
  <c r="O46" i="33"/>
  <c r="P46" i="33"/>
  <c r="Q46" i="33"/>
  <c r="R46" i="33"/>
  <c r="J46" i="33"/>
  <c r="J40" i="33"/>
  <c r="J44" i="33" s="1"/>
  <c r="J25" i="33"/>
  <c r="J43" i="33" s="1"/>
  <c r="I46" i="33"/>
  <c r="H46" i="33"/>
  <c r="G46" i="33"/>
  <c r="U45" i="24"/>
  <c r="U39" i="24"/>
  <c r="I40" i="33" s="1"/>
  <c r="I44" i="33" s="1"/>
  <c r="U24" i="24"/>
  <c r="I25" i="33" s="1"/>
  <c r="I43" i="33" s="1"/>
  <c r="T45" i="24"/>
  <c r="T39" i="24"/>
  <c r="H40" i="33" s="1"/>
  <c r="H44" i="33" s="1"/>
  <c r="T24" i="24"/>
  <c r="S45" i="24"/>
  <c r="S39" i="24"/>
  <c r="S24" i="24"/>
  <c r="I18" i="48"/>
  <c r="J18" i="48"/>
  <c r="K18" i="48"/>
  <c r="L18" i="48"/>
  <c r="M18" i="48"/>
  <c r="N18" i="48"/>
  <c r="O18" i="48"/>
  <c r="P18" i="48"/>
  <c r="Q18" i="48"/>
  <c r="R18" i="48"/>
  <c r="H18" i="48"/>
  <c r="J9" i="47"/>
  <c r="L9" i="47"/>
  <c r="N9" i="47"/>
  <c r="P9" i="47"/>
  <c r="J10" i="47"/>
  <c r="L10" i="47"/>
  <c r="N10" i="47"/>
  <c r="P10" i="47"/>
  <c r="J11" i="47"/>
  <c r="L11" i="47"/>
  <c r="N11" i="47"/>
  <c r="P11" i="47"/>
  <c r="J12" i="47"/>
  <c r="L12" i="47"/>
  <c r="N12" i="47"/>
  <c r="P12" i="47"/>
  <c r="J13" i="47"/>
  <c r="L13" i="47"/>
  <c r="N13" i="47"/>
  <c r="P13" i="47"/>
  <c r="L8" i="47"/>
  <c r="N8" i="47"/>
  <c r="P8" i="47"/>
  <c r="J8" i="47"/>
  <c r="P45" i="47"/>
  <c r="N45" i="47"/>
  <c r="L45" i="47"/>
  <c r="J45" i="47"/>
  <c r="H45" i="47"/>
  <c r="P44" i="47"/>
  <c r="N44" i="47"/>
  <c r="L44" i="47"/>
  <c r="J44" i="47"/>
  <c r="H44" i="47"/>
  <c r="P43" i="47"/>
  <c r="N43" i="47"/>
  <c r="L43" i="47"/>
  <c r="J43" i="47"/>
  <c r="H43" i="47"/>
  <c r="P42" i="47"/>
  <c r="N42" i="47"/>
  <c r="L42" i="47"/>
  <c r="J42" i="47"/>
  <c r="H42" i="47"/>
  <c r="P41" i="47"/>
  <c r="N41" i="47"/>
  <c r="L41" i="47"/>
  <c r="J41" i="47"/>
  <c r="H41" i="47"/>
  <c r="P40" i="47"/>
  <c r="N40" i="47"/>
  <c r="L40" i="47"/>
  <c r="J40" i="47"/>
  <c r="H40" i="47"/>
  <c r="T43" i="24" l="1"/>
  <c r="U43" i="24"/>
  <c r="S42" i="24"/>
  <c r="G25" i="33"/>
  <c r="G43" i="33" s="1"/>
  <c r="S43" i="24"/>
  <c r="G40" i="33"/>
  <c r="G44" i="33" s="1"/>
  <c r="U42" i="24"/>
  <c r="T42" i="24"/>
  <c r="H25" i="33"/>
  <c r="H43" i="33" s="1"/>
  <c r="T12" i="38"/>
  <c r="S13" i="28"/>
  <c r="I11" i="33"/>
  <c r="J11" i="33"/>
  <c r="J18" i="33" s="1"/>
  <c r="T49" i="2" s="1"/>
  <c r="K18" i="33"/>
  <c r="U49" i="2" s="1"/>
  <c r="L45" i="33"/>
  <c r="L47" i="33" s="1"/>
  <c r="Q47" i="33"/>
  <c r="Q18" i="33"/>
  <c r="AA49" i="2" s="1"/>
  <c r="O45" i="33"/>
  <c r="O47" i="33" s="1"/>
  <c r="N45" i="33"/>
  <c r="N47" i="33" s="1"/>
  <c r="P45" i="33"/>
  <c r="P47" i="33" s="1"/>
  <c r="R18" i="33"/>
  <c r="AB49" i="2" s="1"/>
  <c r="M45" i="33"/>
  <c r="M47" i="33" s="1"/>
  <c r="K47" i="33"/>
  <c r="R47" i="33"/>
  <c r="T22" i="48"/>
  <c r="T21" i="48"/>
  <c r="T20" i="48"/>
  <c r="S18" i="48"/>
  <c r="T18" i="48" s="1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C7" i="16"/>
  <c r="B7" i="16"/>
  <c r="U26" i="29"/>
  <c r="U27" i="29"/>
  <c r="U28" i="29"/>
  <c r="H12" i="9" s="1"/>
  <c r="U25" i="29"/>
  <c r="U15" i="28"/>
  <c r="G10" i="9" s="1"/>
  <c r="U16" i="28"/>
  <c r="U17" i="28"/>
  <c r="U18" i="28"/>
  <c r="U56" i="29"/>
  <c r="U54" i="29"/>
  <c r="U34" i="29"/>
  <c r="U38" i="29"/>
  <c r="U39" i="29"/>
  <c r="H9" i="9" s="1"/>
  <c r="U40" i="29"/>
  <c r="U41" i="29"/>
  <c r="H11" i="9" s="1"/>
  <c r="U42" i="29"/>
  <c r="U43" i="29"/>
  <c r="U44" i="29"/>
  <c r="U45" i="29"/>
  <c r="U46" i="29"/>
  <c r="U47" i="29"/>
  <c r="U48" i="29"/>
  <c r="U49" i="29"/>
  <c r="U50" i="29"/>
  <c r="U51" i="29"/>
  <c r="U37" i="29"/>
  <c r="U16" i="29"/>
  <c r="U17" i="29"/>
  <c r="U18" i="29"/>
  <c r="U15" i="29"/>
  <c r="H10" i="9" s="1"/>
  <c r="U15" i="27"/>
  <c r="U16" i="27"/>
  <c r="U17" i="27"/>
  <c r="U18" i="27"/>
  <c r="U29" i="26"/>
  <c r="U27" i="26"/>
  <c r="E12" i="9" s="1"/>
  <c r="U28" i="26"/>
  <c r="U15" i="26"/>
  <c r="U16" i="26"/>
  <c r="U17" i="26"/>
  <c r="U18" i="26"/>
  <c r="U19" i="26"/>
  <c r="U20" i="26"/>
  <c r="U21" i="26"/>
  <c r="U15" i="23"/>
  <c r="U16" i="23"/>
  <c r="U17" i="23"/>
  <c r="U18" i="23"/>
  <c r="U25" i="23"/>
  <c r="U26" i="23"/>
  <c r="D12" i="9" s="1"/>
  <c r="U27" i="23"/>
  <c r="U28" i="23"/>
  <c r="U29" i="23"/>
  <c r="U30" i="23"/>
  <c r="U31" i="23"/>
  <c r="U32" i="23"/>
  <c r="G14" i="29"/>
  <c r="H14" i="29"/>
  <c r="I14" i="29"/>
  <c r="J14" i="29"/>
  <c r="BE43" i="2" s="1"/>
  <c r="K14" i="29"/>
  <c r="L14" i="29"/>
  <c r="BG43" i="2" s="1"/>
  <c r="M14" i="29"/>
  <c r="BH43" i="2" s="1"/>
  <c r="N14" i="29"/>
  <c r="O14" i="29"/>
  <c r="P14" i="29"/>
  <c r="BK43" i="2" s="1"/>
  <c r="Q14" i="29"/>
  <c r="F14" i="29"/>
  <c r="U14" i="29" s="1"/>
  <c r="F14" i="28"/>
  <c r="G14" i="28"/>
  <c r="AP43" i="2" s="1"/>
  <c r="H14" i="28"/>
  <c r="AQ43" i="2" s="1"/>
  <c r="I14" i="28"/>
  <c r="AR43" i="2" s="1"/>
  <c r="J14" i="28"/>
  <c r="AS43" i="2" s="1"/>
  <c r="K14" i="28"/>
  <c r="AT43" i="2" s="1"/>
  <c r="L14" i="28"/>
  <c r="M14" i="28"/>
  <c r="N14" i="28"/>
  <c r="AW43" i="2" s="1"/>
  <c r="O14" i="28"/>
  <c r="AX43" i="2" s="1"/>
  <c r="P14" i="28"/>
  <c r="AY43" i="2" s="1"/>
  <c r="Q14" i="28"/>
  <c r="AZ43" i="2" s="1"/>
  <c r="R14" i="28"/>
  <c r="S14" i="28"/>
  <c r="T14" i="28"/>
  <c r="G14" i="27"/>
  <c r="AD43" i="2" s="1"/>
  <c r="H14" i="27"/>
  <c r="AE43" i="2" s="1"/>
  <c r="I14" i="27"/>
  <c r="AF43" i="2" s="1"/>
  <c r="J14" i="27"/>
  <c r="AG43" i="2" s="1"/>
  <c r="K14" i="27"/>
  <c r="L14" i="27"/>
  <c r="M14" i="27"/>
  <c r="AJ43" i="2" s="1"/>
  <c r="N14" i="27"/>
  <c r="O14" i="27"/>
  <c r="AL43" i="2" s="1"/>
  <c r="P14" i="27"/>
  <c r="Q14" i="27"/>
  <c r="AN43" i="2" s="1"/>
  <c r="R14" i="27"/>
  <c r="S14" i="27"/>
  <c r="T14" i="27"/>
  <c r="F14" i="27"/>
  <c r="H14" i="26"/>
  <c r="S43" i="2" s="1"/>
  <c r="G14" i="26"/>
  <c r="R43" i="2" s="1"/>
  <c r="F14" i="26"/>
  <c r="Q43" i="2" s="1"/>
  <c r="I14" i="26"/>
  <c r="T43" i="2" s="1"/>
  <c r="J14" i="26"/>
  <c r="U43" i="2" s="1"/>
  <c r="K14" i="26"/>
  <c r="V43" i="2" s="1"/>
  <c r="L14" i="26"/>
  <c r="W43" i="2" s="1"/>
  <c r="M14" i="26"/>
  <c r="X43" i="2" s="1"/>
  <c r="N14" i="26"/>
  <c r="Y43" i="2" s="1"/>
  <c r="O14" i="26"/>
  <c r="Z43" i="2" s="1"/>
  <c r="P14" i="26"/>
  <c r="AA43" i="2" s="1"/>
  <c r="Q14" i="26"/>
  <c r="AB43" i="2" s="1"/>
  <c r="R14" i="26"/>
  <c r="S14" i="26"/>
  <c r="T14" i="26"/>
  <c r="G14" i="23"/>
  <c r="H14" i="23"/>
  <c r="I14" i="23"/>
  <c r="H43" i="2" s="1"/>
  <c r="J14" i="23"/>
  <c r="I43" i="2" s="1"/>
  <c r="K14" i="23"/>
  <c r="J43" i="2" s="1"/>
  <c r="L14" i="23"/>
  <c r="K43" i="2" s="1"/>
  <c r="M14" i="23"/>
  <c r="N14" i="23"/>
  <c r="O14" i="23"/>
  <c r="P14" i="23"/>
  <c r="Q14" i="23"/>
  <c r="R14" i="23"/>
  <c r="S14" i="23"/>
  <c r="T14" i="23"/>
  <c r="F14" i="23"/>
  <c r="U37" i="28"/>
  <c r="U38" i="28"/>
  <c r="U39" i="28"/>
  <c r="G9" i="9" s="1"/>
  <c r="U40" i="28"/>
  <c r="U41" i="28"/>
  <c r="G11" i="9" s="1"/>
  <c r="U54" i="28"/>
  <c r="U25" i="28"/>
  <c r="U26" i="28"/>
  <c r="G12" i="9" s="1"/>
  <c r="U27" i="28"/>
  <c r="U28" i="28"/>
  <c r="U34" i="28"/>
  <c r="H52" i="28"/>
  <c r="M55" i="44" s="1"/>
  <c r="G52" i="28"/>
  <c r="L55" i="44" s="1"/>
  <c r="F52" i="28"/>
  <c r="H33" i="28"/>
  <c r="G33" i="28"/>
  <c r="F33" i="28"/>
  <c r="AQ42" i="2"/>
  <c r="U25" i="27"/>
  <c r="U26" i="27"/>
  <c r="F12" i="9" s="1"/>
  <c r="U27" i="27"/>
  <c r="U28" i="27"/>
  <c r="U35" i="27"/>
  <c r="U38" i="27"/>
  <c r="U39" i="27"/>
  <c r="U40" i="27"/>
  <c r="F9" i="9" s="1"/>
  <c r="U41" i="27"/>
  <c r="U42" i="27"/>
  <c r="F11" i="9" s="1"/>
  <c r="U56" i="27"/>
  <c r="H54" i="27"/>
  <c r="G54" i="27"/>
  <c r="L55" i="32" s="1"/>
  <c r="F54" i="27"/>
  <c r="K55" i="32" s="1"/>
  <c r="H34" i="27"/>
  <c r="G34" i="27"/>
  <c r="AD44" i="2" s="1"/>
  <c r="F34" i="27"/>
  <c r="AC44" i="2" s="1"/>
  <c r="AC42" i="2"/>
  <c r="R42" i="2"/>
  <c r="U38" i="23"/>
  <c r="U39" i="23"/>
  <c r="U40" i="23"/>
  <c r="D9" i="9" s="1"/>
  <c r="U41" i="23"/>
  <c r="U42" i="23"/>
  <c r="D11" i="9" s="1"/>
  <c r="U56" i="23"/>
  <c r="U35" i="23"/>
  <c r="U57" i="26"/>
  <c r="U39" i="26"/>
  <c r="U40" i="26"/>
  <c r="U41" i="26"/>
  <c r="E9" i="9" s="1"/>
  <c r="U42" i="26"/>
  <c r="U43" i="26"/>
  <c r="E11" i="9" s="1"/>
  <c r="U26" i="26"/>
  <c r="U36" i="26"/>
  <c r="G33" i="29"/>
  <c r="H33" i="29"/>
  <c r="I33" i="29"/>
  <c r="J33" i="29"/>
  <c r="BE44" i="2" s="1"/>
  <c r="K33" i="29"/>
  <c r="L33" i="29"/>
  <c r="M33" i="29"/>
  <c r="N33" i="29"/>
  <c r="BI44" i="2" s="1"/>
  <c r="O33" i="29"/>
  <c r="P33" i="29"/>
  <c r="Q33" i="29"/>
  <c r="F33" i="29"/>
  <c r="I33" i="28"/>
  <c r="AR44" i="2" s="1"/>
  <c r="J33" i="28"/>
  <c r="AS44" i="2" s="1"/>
  <c r="K33" i="28"/>
  <c r="L33" i="28"/>
  <c r="M33" i="28"/>
  <c r="N33" i="28"/>
  <c r="AW44" i="2" s="1"/>
  <c r="O33" i="28"/>
  <c r="P33" i="28"/>
  <c r="Q33" i="28"/>
  <c r="R33" i="28"/>
  <c r="S33" i="28"/>
  <c r="T33" i="28"/>
  <c r="I34" i="27"/>
  <c r="J34" i="27"/>
  <c r="K34" i="27"/>
  <c r="AH44" i="2" s="1"/>
  <c r="L34" i="27"/>
  <c r="M34" i="27"/>
  <c r="N34" i="27"/>
  <c r="O34" i="27"/>
  <c r="AL44" i="2" s="1"/>
  <c r="P34" i="27"/>
  <c r="Q34" i="27"/>
  <c r="R34" i="27"/>
  <c r="S34" i="27"/>
  <c r="T34" i="27"/>
  <c r="G35" i="26"/>
  <c r="H35" i="26"/>
  <c r="I35" i="26"/>
  <c r="T44" i="2" s="1"/>
  <c r="J35" i="26"/>
  <c r="U44" i="2" s="1"/>
  <c r="K35" i="26"/>
  <c r="L35" i="26"/>
  <c r="M35" i="26"/>
  <c r="X44" i="2" s="1"/>
  <c r="N35" i="26"/>
  <c r="O35" i="26"/>
  <c r="P35" i="26"/>
  <c r="Q35" i="26"/>
  <c r="AB44" i="2" s="1"/>
  <c r="R35" i="26"/>
  <c r="S35" i="26"/>
  <c r="T35" i="26"/>
  <c r="F35" i="26"/>
  <c r="Q44" i="2" s="1"/>
  <c r="G34" i="23"/>
  <c r="H34" i="23"/>
  <c r="G44" i="2" s="1"/>
  <c r="I34" i="23"/>
  <c r="J34" i="23"/>
  <c r="I44" i="2" s="1"/>
  <c r="K34" i="23"/>
  <c r="J44" i="2" s="1"/>
  <c r="L34" i="23"/>
  <c r="K44" i="2" s="1"/>
  <c r="M34" i="23"/>
  <c r="N34" i="23"/>
  <c r="M44" i="2" s="1"/>
  <c r="O34" i="23"/>
  <c r="P34" i="23"/>
  <c r="O44" i="2" s="1"/>
  <c r="Q34" i="23"/>
  <c r="P44" i="2" s="1"/>
  <c r="R34" i="23"/>
  <c r="S34" i="23"/>
  <c r="T34" i="23"/>
  <c r="F34" i="23"/>
  <c r="S92" i="45"/>
  <c r="T92" i="45"/>
  <c r="U92" i="45"/>
  <c r="V92" i="45"/>
  <c r="L61" i="45"/>
  <c r="M61" i="45"/>
  <c r="N61" i="45"/>
  <c r="O61" i="45"/>
  <c r="P61" i="45"/>
  <c r="Q61" i="45"/>
  <c r="R61" i="45"/>
  <c r="S61" i="45"/>
  <c r="T61" i="45"/>
  <c r="U61" i="45"/>
  <c r="V61" i="45"/>
  <c r="K61" i="45"/>
  <c r="L59" i="45"/>
  <c r="M59" i="45"/>
  <c r="N59" i="45"/>
  <c r="O59" i="45"/>
  <c r="P59" i="45"/>
  <c r="Q59" i="45"/>
  <c r="R59" i="45"/>
  <c r="S59" i="45"/>
  <c r="T59" i="45"/>
  <c r="U59" i="45"/>
  <c r="V59" i="45"/>
  <c r="K59" i="45"/>
  <c r="L53" i="45"/>
  <c r="M53" i="45"/>
  <c r="N53" i="45"/>
  <c r="O53" i="45"/>
  <c r="P53" i="45"/>
  <c r="Q53" i="45"/>
  <c r="R53" i="45"/>
  <c r="S53" i="45"/>
  <c r="T53" i="45"/>
  <c r="U53" i="45"/>
  <c r="V53" i="45"/>
  <c r="K53" i="45"/>
  <c r="O51" i="45"/>
  <c r="R47" i="45"/>
  <c r="M15" i="45"/>
  <c r="N15" i="45"/>
  <c r="O15" i="45"/>
  <c r="P15" i="45"/>
  <c r="Q15" i="45"/>
  <c r="R15" i="45"/>
  <c r="S15" i="45"/>
  <c r="T15" i="45"/>
  <c r="U15" i="45"/>
  <c r="V15" i="45"/>
  <c r="L15" i="45"/>
  <c r="M12" i="45"/>
  <c r="N12" i="45"/>
  <c r="O12" i="45"/>
  <c r="P12" i="45"/>
  <c r="Q12" i="45"/>
  <c r="R12" i="45"/>
  <c r="S12" i="45"/>
  <c r="T12" i="45"/>
  <c r="U12" i="45"/>
  <c r="V12" i="45"/>
  <c r="L12" i="45"/>
  <c r="O9" i="45"/>
  <c r="P9" i="45"/>
  <c r="M7" i="45"/>
  <c r="N7" i="45"/>
  <c r="O7" i="45"/>
  <c r="P7" i="45"/>
  <c r="Q7" i="45"/>
  <c r="R7" i="45"/>
  <c r="S7" i="45"/>
  <c r="T7" i="45"/>
  <c r="U7" i="45"/>
  <c r="V7" i="45"/>
  <c r="L7" i="45"/>
  <c r="L6" i="45"/>
  <c r="M6" i="45"/>
  <c r="N6" i="45"/>
  <c r="O6" i="45"/>
  <c r="P6" i="45"/>
  <c r="Q6" i="45"/>
  <c r="R6" i="45"/>
  <c r="S6" i="45"/>
  <c r="T6" i="45"/>
  <c r="U6" i="45"/>
  <c r="V6" i="45"/>
  <c r="K6" i="45"/>
  <c r="L61" i="44"/>
  <c r="M61" i="44"/>
  <c r="N61" i="44"/>
  <c r="O61" i="44"/>
  <c r="P61" i="44"/>
  <c r="Q61" i="44"/>
  <c r="R61" i="44"/>
  <c r="S61" i="44"/>
  <c r="T61" i="44"/>
  <c r="U61" i="44"/>
  <c r="V61" i="44"/>
  <c r="K61" i="44"/>
  <c r="L59" i="44"/>
  <c r="M59" i="44"/>
  <c r="N59" i="44"/>
  <c r="O59" i="44"/>
  <c r="P59" i="44"/>
  <c r="Q59" i="44"/>
  <c r="R59" i="44"/>
  <c r="S59" i="44"/>
  <c r="T59" i="44"/>
  <c r="U59" i="44"/>
  <c r="V59" i="44"/>
  <c r="K59" i="44"/>
  <c r="L53" i="44"/>
  <c r="M53" i="44"/>
  <c r="N53" i="44"/>
  <c r="O53" i="44"/>
  <c r="P53" i="44"/>
  <c r="Q53" i="44"/>
  <c r="R53" i="44"/>
  <c r="S53" i="44"/>
  <c r="T53" i="44"/>
  <c r="U53" i="44"/>
  <c r="V53" i="44"/>
  <c r="K53" i="44"/>
  <c r="N51" i="44"/>
  <c r="O51" i="44"/>
  <c r="L47" i="44"/>
  <c r="N47" i="44"/>
  <c r="P47" i="44"/>
  <c r="S47" i="44"/>
  <c r="T47" i="44"/>
  <c r="V47" i="44"/>
  <c r="M15" i="44"/>
  <c r="N15" i="44"/>
  <c r="O15" i="44"/>
  <c r="P15" i="44"/>
  <c r="Q15" i="44"/>
  <c r="R15" i="44"/>
  <c r="S15" i="44"/>
  <c r="T15" i="44"/>
  <c r="U15" i="44"/>
  <c r="V15" i="44"/>
  <c r="L15" i="44"/>
  <c r="M12" i="44"/>
  <c r="N12" i="44"/>
  <c r="O12" i="44"/>
  <c r="P12" i="44"/>
  <c r="Q12" i="44"/>
  <c r="R12" i="44"/>
  <c r="S12" i="44"/>
  <c r="T12" i="44"/>
  <c r="U12" i="44"/>
  <c r="V12" i="44"/>
  <c r="L12" i="44"/>
  <c r="N9" i="44"/>
  <c r="P9" i="44"/>
  <c r="V9" i="44"/>
  <c r="M7" i="44"/>
  <c r="N7" i="44"/>
  <c r="O7" i="44"/>
  <c r="P7" i="44"/>
  <c r="Q7" i="44"/>
  <c r="R7" i="44"/>
  <c r="S7" i="44"/>
  <c r="T7" i="44"/>
  <c r="U7" i="44"/>
  <c r="V7" i="44"/>
  <c r="L7" i="44"/>
  <c r="L6" i="44"/>
  <c r="M6" i="44"/>
  <c r="N6" i="44"/>
  <c r="O6" i="44"/>
  <c r="P6" i="44"/>
  <c r="Q6" i="44"/>
  <c r="R6" i="44"/>
  <c r="S6" i="44"/>
  <c r="T6" i="44"/>
  <c r="U6" i="44"/>
  <c r="V6" i="44"/>
  <c r="K6" i="44"/>
  <c r="M15" i="32"/>
  <c r="N15" i="32"/>
  <c r="O15" i="32"/>
  <c r="P15" i="32"/>
  <c r="Q15" i="32"/>
  <c r="R15" i="32"/>
  <c r="S15" i="32"/>
  <c r="T15" i="32"/>
  <c r="U15" i="32"/>
  <c r="V15" i="32"/>
  <c r="L15" i="32"/>
  <c r="M12" i="32"/>
  <c r="N12" i="32"/>
  <c r="O12" i="32"/>
  <c r="P12" i="32"/>
  <c r="Q12" i="32"/>
  <c r="R12" i="32"/>
  <c r="S12" i="32"/>
  <c r="T12" i="32"/>
  <c r="U12" i="32"/>
  <c r="V12" i="32"/>
  <c r="L12" i="32"/>
  <c r="T9" i="32"/>
  <c r="M7" i="32"/>
  <c r="N7" i="32"/>
  <c r="O7" i="32"/>
  <c r="P7" i="32"/>
  <c r="Q7" i="32"/>
  <c r="R7" i="32"/>
  <c r="S7" i="32"/>
  <c r="T7" i="32"/>
  <c r="U7" i="32"/>
  <c r="V7" i="32"/>
  <c r="L7" i="32"/>
  <c r="L6" i="32"/>
  <c r="M6" i="32"/>
  <c r="N6" i="32"/>
  <c r="O6" i="32"/>
  <c r="P6" i="32"/>
  <c r="Q6" i="32"/>
  <c r="R6" i="32"/>
  <c r="S6" i="32"/>
  <c r="T6" i="32"/>
  <c r="U6" i="32"/>
  <c r="V6" i="32"/>
  <c r="K6" i="32"/>
  <c r="M15" i="31"/>
  <c r="N15" i="31"/>
  <c r="O15" i="31"/>
  <c r="P15" i="31"/>
  <c r="Q15" i="31"/>
  <c r="R15" i="31"/>
  <c r="S15" i="31"/>
  <c r="T15" i="31"/>
  <c r="U15" i="31"/>
  <c r="V15" i="31"/>
  <c r="L15" i="31"/>
  <c r="M12" i="31"/>
  <c r="N12" i="31"/>
  <c r="O12" i="31"/>
  <c r="P12" i="31"/>
  <c r="Q12" i="31"/>
  <c r="R12" i="31"/>
  <c r="S12" i="31"/>
  <c r="T12" i="31"/>
  <c r="U12" i="31"/>
  <c r="V12" i="31"/>
  <c r="L12" i="31"/>
  <c r="M7" i="31"/>
  <c r="N7" i="31"/>
  <c r="O7" i="31"/>
  <c r="P7" i="31"/>
  <c r="Q7" i="31"/>
  <c r="R7" i="31"/>
  <c r="S7" i="31"/>
  <c r="T7" i="31"/>
  <c r="U7" i="31"/>
  <c r="V7" i="31"/>
  <c r="L7" i="31"/>
  <c r="L6" i="31"/>
  <c r="M6" i="31"/>
  <c r="N6" i="31"/>
  <c r="O6" i="31"/>
  <c r="P6" i="31"/>
  <c r="Q6" i="31"/>
  <c r="R6" i="31"/>
  <c r="S6" i="31"/>
  <c r="T6" i="31"/>
  <c r="U6" i="31"/>
  <c r="V6" i="31"/>
  <c r="K6" i="31"/>
  <c r="K90" i="30"/>
  <c r="G27" i="25"/>
  <c r="L15" i="30"/>
  <c r="M15" i="30"/>
  <c r="N15" i="30"/>
  <c r="O15" i="30"/>
  <c r="P15" i="30"/>
  <c r="Q15" i="30"/>
  <c r="R15" i="30"/>
  <c r="S15" i="30"/>
  <c r="T15" i="30"/>
  <c r="U15" i="30"/>
  <c r="V15" i="30"/>
  <c r="L12" i="30"/>
  <c r="M12" i="30"/>
  <c r="N12" i="30"/>
  <c r="O12" i="30"/>
  <c r="P12" i="30"/>
  <c r="Q12" i="30"/>
  <c r="R12" i="30"/>
  <c r="S12" i="30"/>
  <c r="T12" i="30"/>
  <c r="U12" i="30"/>
  <c r="V12" i="30"/>
  <c r="L7" i="30"/>
  <c r="M7" i="30"/>
  <c r="N7" i="30"/>
  <c r="O7" i="30"/>
  <c r="P7" i="30"/>
  <c r="Q7" i="30"/>
  <c r="R7" i="30"/>
  <c r="S7" i="30"/>
  <c r="T7" i="30"/>
  <c r="U7" i="30"/>
  <c r="V7" i="30"/>
  <c r="L6" i="30"/>
  <c r="M6" i="30"/>
  <c r="N6" i="30"/>
  <c r="O6" i="30"/>
  <c r="P6" i="30"/>
  <c r="Q6" i="30"/>
  <c r="R6" i="30"/>
  <c r="S6" i="30"/>
  <c r="T6" i="30"/>
  <c r="U6" i="30"/>
  <c r="V6" i="30"/>
  <c r="K6" i="30"/>
  <c r="V30" i="39"/>
  <c r="V31" i="38"/>
  <c r="W31" i="33"/>
  <c r="V31" i="33"/>
  <c r="V14" i="39"/>
  <c r="V15" i="38"/>
  <c r="V15" i="37"/>
  <c r="V15" i="33"/>
  <c r="V14" i="24"/>
  <c r="R45" i="39"/>
  <c r="Q45" i="39"/>
  <c r="P45" i="39"/>
  <c r="O45" i="39"/>
  <c r="N45" i="39"/>
  <c r="M45" i="39"/>
  <c r="L45" i="39"/>
  <c r="K45" i="39"/>
  <c r="J45" i="39"/>
  <c r="I45" i="39"/>
  <c r="H45" i="39"/>
  <c r="G45" i="39"/>
  <c r="M42" i="39"/>
  <c r="L42" i="39"/>
  <c r="R39" i="39"/>
  <c r="R43" i="39" s="1"/>
  <c r="Q39" i="39"/>
  <c r="Q43" i="39" s="1"/>
  <c r="P39" i="39"/>
  <c r="P43" i="39" s="1"/>
  <c r="O39" i="39"/>
  <c r="O43" i="39" s="1"/>
  <c r="N39" i="39"/>
  <c r="N43" i="39" s="1"/>
  <c r="M39" i="39"/>
  <c r="M43" i="39" s="1"/>
  <c r="L39" i="39"/>
  <c r="L43" i="39" s="1"/>
  <c r="K39" i="39"/>
  <c r="K43" i="39" s="1"/>
  <c r="J39" i="39"/>
  <c r="J43" i="39" s="1"/>
  <c r="I39" i="39"/>
  <c r="H39" i="39"/>
  <c r="G39" i="39"/>
  <c r="R24" i="39"/>
  <c r="R42" i="39" s="1"/>
  <c r="Q24" i="39"/>
  <c r="Q42" i="39" s="1"/>
  <c r="P24" i="39"/>
  <c r="T9" i="45" s="1"/>
  <c r="O24" i="39"/>
  <c r="O42" i="39" s="1"/>
  <c r="N24" i="39"/>
  <c r="N42" i="39" s="1"/>
  <c r="M24" i="39"/>
  <c r="Q9" i="45" s="1"/>
  <c r="L24" i="39"/>
  <c r="K24" i="39"/>
  <c r="K42" i="39" s="1"/>
  <c r="J24" i="39"/>
  <c r="J42" i="39" s="1"/>
  <c r="I24" i="39"/>
  <c r="M9" i="45" s="1"/>
  <c r="H24" i="39"/>
  <c r="T25" i="38" s="1"/>
  <c r="T43" i="38" s="1"/>
  <c r="G24" i="39"/>
  <c r="K9" i="45" s="1"/>
  <c r="R11" i="39"/>
  <c r="R17" i="39" s="1"/>
  <c r="BL49" i="2" s="1"/>
  <c r="Q11" i="39"/>
  <c r="Q17" i="39" s="1"/>
  <c r="BK49" i="2" s="1"/>
  <c r="P11" i="39"/>
  <c r="P44" i="39" s="1"/>
  <c r="O11" i="39"/>
  <c r="O17" i="39" s="1"/>
  <c r="BI49" i="2" s="1"/>
  <c r="N11" i="39"/>
  <c r="N17" i="39" s="1"/>
  <c r="BH49" i="2" s="1"/>
  <c r="M11" i="39"/>
  <c r="Q5" i="45" s="1"/>
  <c r="L11" i="39"/>
  <c r="L17" i="39" s="1"/>
  <c r="BF49" i="2" s="1"/>
  <c r="K11" i="39"/>
  <c r="K17" i="39" s="1"/>
  <c r="BE49" i="2" s="1"/>
  <c r="J11" i="39"/>
  <c r="J17" i="39" s="1"/>
  <c r="BD49" i="2" s="1"/>
  <c r="I11" i="39"/>
  <c r="G11" i="39"/>
  <c r="G44" i="39" s="1"/>
  <c r="U46" i="38"/>
  <c r="T46" i="38"/>
  <c r="S46" i="38"/>
  <c r="R46" i="38"/>
  <c r="Q46" i="38"/>
  <c r="P46" i="38"/>
  <c r="O46" i="38"/>
  <c r="N46" i="38"/>
  <c r="M46" i="38"/>
  <c r="L46" i="38"/>
  <c r="K46" i="38"/>
  <c r="J46" i="38"/>
  <c r="I46" i="38"/>
  <c r="H46" i="38"/>
  <c r="G46" i="38"/>
  <c r="J43" i="38"/>
  <c r="I43" i="38"/>
  <c r="R40" i="38"/>
  <c r="R44" i="38" s="1"/>
  <c r="Q40" i="38"/>
  <c r="Q44" i="38" s="1"/>
  <c r="P40" i="38"/>
  <c r="P44" i="38" s="1"/>
  <c r="O40" i="38"/>
  <c r="O44" i="38" s="1"/>
  <c r="N40" i="38"/>
  <c r="N44" i="38" s="1"/>
  <c r="M40" i="38"/>
  <c r="M44" i="38" s="1"/>
  <c r="L40" i="38"/>
  <c r="L44" i="38" s="1"/>
  <c r="K40" i="38"/>
  <c r="K44" i="38" s="1"/>
  <c r="J40" i="38"/>
  <c r="J44" i="38" s="1"/>
  <c r="I40" i="38"/>
  <c r="H40" i="38"/>
  <c r="G40" i="38"/>
  <c r="R25" i="38"/>
  <c r="R43" i="38" s="1"/>
  <c r="Q25" i="38"/>
  <c r="Q43" i="38" s="1"/>
  <c r="P25" i="38"/>
  <c r="P43" i="38" s="1"/>
  <c r="O25" i="38"/>
  <c r="O43" i="38" s="1"/>
  <c r="N25" i="38"/>
  <c r="N43" i="38" s="1"/>
  <c r="M25" i="38"/>
  <c r="M43" i="38" s="1"/>
  <c r="L25" i="38"/>
  <c r="L43" i="38" s="1"/>
  <c r="K25" i="38"/>
  <c r="K43" i="38" s="1"/>
  <c r="J25" i="38"/>
  <c r="I25" i="38"/>
  <c r="U25" i="37" s="1"/>
  <c r="U43" i="37" s="1"/>
  <c r="H25" i="38"/>
  <c r="L9" i="44" s="1"/>
  <c r="G25" i="38"/>
  <c r="R11" i="38"/>
  <c r="R18" i="38" s="1"/>
  <c r="AZ49" i="2" s="1"/>
  <c r="Q11" i="38"/>
  <c r="Q45" i="38" s="1"/>
  <c r="P11" i="38"/>
  <c r="P45" i="38" s="1"/>
  <c r="O11" i="38"/>
  <c r="O18" i="38" s="1"/>
  <c r="AW49" i="2" s="1"/>
  <c r="N11" i="38"/>
  <c r="N45" i="38" s="1"/>
  <c r="M11" i="38"/>
  <c r="M45" i="38" s="1"/>
  <c r="L11" i="38"/>
  <c r="L18" i="38" s="1"/>
  <c r="AT49" i="2" s="1"/>
  <c r="K11" i="38"/>
  <c r="K18" i="38" s="1"/>
  <c r="AS49" i="2" s="1"/>
  <c r="J11" i="38"/>
  <c r="J18" i="38" s="1"/>
  <c r="AR49" i="2" s="1"/>
  <c r="I11" i="38"/>
  <c r="H11" i="38"/>
  <c r="G11" i="38"/>
  <c r="U46" i="37"/>
  <c r="T46" i="37"/>
  <c r="S46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R40" i="37"/>
  <c r="R44" i="37" s="1"/>
  <c r="Q40" i="37"/>
  <c r="Q44" i="37" s="1"/>
  <c r="P40" i="37"/>
  <c r="P44" i="37" s="1"/>
  <c r="O40" i="37"/>
  <c r="O44" i="37" s="1"/>
  <c r="N40" i="37"/>
  <c r="N44" i="37" s="1"/>
  <c r="M40" i="37"/>
  <c r="M44" i="37" s="1"/>
  <c r="L40" i="37"/>
  <c r="L44" i="37" s="1"/>
  <c r="K40" i="37"/>
  <c r="K44" i="37" s="1"/>
  <c r="J40" i="37"/>
  <c r="J44" i="37" s="1"/>
  <c r="I40" i="37"/>
  <c r="H40" i="37"/>
  <c r="G40" i="37"/>
  <c r="R25" i="37"/>
  <c r="R43" i="37" s="1"/>
  <c r="Q25" i="37"/>
  <c r="Q43" i="37" s="1"/>
  <c r="P25" i="37"/>
  <c r="P43" i="37" s="1"/>
  <c r="O25" i="37"/>
  <c r="O43" i="37" s="1"/>
  <c r="N25" i="37"/>
  <c r="R9" i="32" s="1"/>
  <c r="M25" i="37"/>
  <c r="Q9" i="32" s="1"/>
  <c r="L25" i="37"/>
  <c r="L43" i="37" s="1"/>
  <c r="K25" i="37"/>
  <c r="K43" i="37" s="1"/>
  <c r="J25" i="37"/>
  <c r="J43" i="37" s="1"/>
  <c r="I25" i="37"/>
  <c r="H25" i="37"/>
  <c r="G25" i="37"/>
  <c r="S25" i="33" s="1"/>
  <c r="S43" i="33" s="1"/>
  <c r="R11" i="37"/>
  <c r="Q11" i="37"/>
  <c r="Q18" i="37" s="1"/>
  <c r="AM49" i="2" s="1"/>
  <c r="P11" i="37"/>
  <c r="P18" i="37" s="1"/>
  <c r="AL49" i="2" s="1"/>
  <c r="O11" i="37"/>
  <c r="O18" i="37" s="1"/>
  <c r="AK49" i="2" s="1"/>
  <c r="N11" i="37"/>
  <c r="M11" i="37"/>
  <c r="L11" i="37"/>
  <c r="L18" i="37" s="1"/>
  <c r="AH49" i="2" s="1"/>
  <c r="K11" i="37"/>
  <c r="K18" i="37" s="1"/>
  <c r="AG49" i="2" s="1"/>
  <c r="J11" i="37"/>
  <c r="J18" i="37" s="1"/>
  <c r="AF49" i="2" s="1"/>
  <c r="I11" i="37"/>
  <c r="I18" i="37" s="1"/>
  <c r="AE49" i="2" s="1"/>
  <c r="H11" i="37"/>
  <c r="H18" i="37" s="1"/>
  <c r="AD49" i="2" s="1"/>
  <c r="G11" i="37"/>
  <c r="G18" i="37" s="1"/>
  <c r="AC49" i="2" s="1"/>
  <c r="F31" i="25"/>
  <c r="U46" i="33"/>
  <c r="T46" i="33"/>
  <c r="S46" i="33"/>
  <c r="I11" i="24"/>
  <c r="I44" i="24" s="1"/>
  <c r="J11" i="24"/>
  <c r="J44" i="24" s="1"/>
  <c r="K11" i="24"/>
  <c r="K17" i="24" s="1"/>
  <c r="I49" i="2" s="1"/>
  <c r="L11" i="24"/>
  <c r="L17" i="24" s="1"/>
  <c r="J49" i="2" s="1"/>
  <c r="M11" i="24"/>
  <c r="M44" i="24" s="1"/>
  <c r="H45" i="24"/>
  <c r="I45" i="24"/>
  <c r="J45" i="24"/>
  <c r="K45" i="24"/>
  <c r="L45" i="24"/>
  <c r="M45" i="24"/>
  <c r="N45" i="24"/>
  <c r="O45" i="24"/>
  <c r="P45" i="24"/>
  <c r="Q45" i="24"/>
  <c r="R45" i="24"/>
  <c r="G45" i="24"/>
  <c r="Q42" i="24"/>
  <c r="I42" i="24"/>
  <c r="H24" i="24"/>
  <c r="H42" i="24" s="1"/>
  <c r="I24" i="24"/>
  <c r="J24" i="24"/>
  <c r="J42" i="24" s="1"/>
  <c r="K24" i="24"/>
  <c r="K42" i="24" s="1"/>
  <c r="L24" i="24"/>
  <c r="L42" i="24" s="1"/>
  <c r="M24" i="24"/>
  <c r="M42" i="24" s="1"/>
  <c r="N24" i="24"/>
  <c r="N42" i="24" s="1"/>
  <c r="O24" i="24"/>
  <c r="O42" i="24" s="1"/>
  <c r="P24" i="24"/>
  <c r="P42" i="24" s="1"/>
  <c r="Q24" i="24"/>
  <c r="R24" i="24"/>
  <c r="R42" i="24" s="1"/>
  <c r="G24" i="24"/>
  <c r="G42" i="24" s="1"/>
  <c r="K16" i="30" s="1"/>
  <c r="S61" i="32"/>
  <c r="T61" i="32"/>
  <c r="U61" i="32"/>
  <c r="V61" i="32"/>
  <c r="L59" i="32"/>
  <c r="M59" i="32"/>
  <c r="N59" i="32"/>
  <c r="O59" i="32"/>
  <c r="P59" i="32"/>
  <c r="Q59" i="32"/>
  <c r="R59" i="32"/>
  <c r="S59" i="32"/>
  <c r="T59" i="32"/>
  <c r="U59" i="32"/>
  <c r="V59" i="32"/>
  <c r="K59" i="32"/>
  <c r="L53" i="32"/>
  <c r="M53" i="32"/>
  <c r="N53" i="32"/>
  <c r="O53" i="32"/>
  <c r="P53" i="32"/>
  <c r="Q53" i="32"/>
  <c r="R53" i="32"/>
  <c r="S53" i="32"/>
  <c r="T53" i="32"/>
  <c r="U53" i="32"/>
  <c r="V53" i="32"/>
  <c r="K53" i="32"/>
  <c r="L47" i="32"/>
  <c r="N47" i="32"/>
  <c r="O47" i="32"/>
  <c r="R47" i="32"/>
  <c r="T47" i="32"/>
  <c r="V47" i="32"/>
  <c r="L59" i="31"/>
  <c r="M59" i="31"/>
  <c r="N59" i="31"/>
  <c r="O59" i="31"/>
  <c r="P59" i="31"/>
  <c r="Q59" i="31"/>
  <c r="R59" i="31"/>
  <c r="S59" i="31"/>
  <c r="T59" i="31"/>
  <c r="U59" i="31"/>
  <c r="V59" i="31"/>
  <c r="K59" i="31"/>
  <c r="L53" i="31"/>
  <c r="M53" i="31"/>
  <c r="N53" i="31"/>
  <c r="O53" i="31"/>
  <c r="P53" i="31"/>
  <c r="Q53" i="31"/>
  <c r="R53" i="31"/>
  <c r="S53" i="31"/>
  <c r="T53" i="31"/>
  <c r="U53" i="31"/>
  <c r="V53" i="31"/>
  <c r="K53" i="31"/>
  <c r="N51" i="31"/>
  <c r="R51" i="31"/>
  <c r="V51" i="31"/>
  <c r="V47" i="31"/>
  <c r="T47" i="31"/>
  <c r="S47" i="31"/>
  <c r="R47" i="31"/>
  <c r="Q47" i="31"/>
  <c r="O47" i="31"/>
  <c r="N47" i="31"/>
  <c r="K60" i="30"/>
  <c r="L58" i="30"/>
  <c r="M58" i="30"/>
  <c r="N58" i="30"/>
  <c r="O58" i="30"/>
  <c r="P58" i="30"/>
  <c r="Q58" i="30"/>
  <c r="R58" i="30"/>
  <c r="S58" i="30"/>
  <c r="T58" i="30"/>
  <c r="U58" i="30"/>
  <c r="V58" i="30"/>
  <c r="K58" i="30"/>
  <c r="L52" i="30"/>
  <c r="M52" i="30"/>
  <c r="N52" i="30"/>
  <c r="O52" i="30"/>
  <c r="P52" i="30"/>
  <c r="Q52" i="30"/>
  <c r="R52" i="30"/>
  <c r="S52" i="30"/>
  <c r="T52" i="30"/>
  <c r="U52" i="30"/>
  <c r="V52" i="30"/>
  <c r="K52" i="30"/>
  <c r="P46" i="30"/>
  <c r="Q52" i="29"/>
  <c r="V55" i="45" s="1"/>
  <c r="P52" i="29"/>
  <c r="U55" i="45" s="1"/>
  <c r="O52" i="29"/>
  <c r="T55" i="45" s="1"/>
  <c r="N52" i="29"/>
  <c r="S55" i="45" s="1"/>
  <c r="M52" i="29"/>
  <c r="R55" i="45" s="1"/>
  <c r="L52" i="29"/>
  <c r="Q55" i="45" s="1"/>
  <c r="K52" i="29"/>
  <c r="P55" i="45" s="1"/>
  <c r="J52" i="29"/>
  <c r="O55" i="45" s="1"/>
  <c r="I52" i="29"/>
  <c r="N55" i="45" s="1"/>
  <c r="H52" i="29"/>
  <c r="M55" i="45" s="1"/>
  <c r="G52" i="29"/>
  <c r="L55" i="45" s="1"/>
  <c r="F52" i="29"/>
  <c r="K55" i="45" s="1"/>
  <c r="T52" i="28"/>
  <c r="S52" i="28"/>
  <c r="R52" i="28"/>
  <c r="Q52" i="28"/>
  <c r="V55" i="44" s="1"/>
  <c r="P52" i="28"/>
  <c r="U55" i="44" s="1"/>
  <c r="O52" i="28"/>
  <c r="T55" i="44" s="1"/>
  <c r="N52" i="28"/>
  <c r="S55" i="44" s="1"/>
  <c r="M52" i="28"/>
  <c r="R55" i="44" s="1"/>
  <c r="L52" i="28"/>
  <c r="Q55" i="44" s="1"/>
  <c r="K52" i="28"/>
  <c r="P55" i="44" s="1"/>
  <c r="J52" i="28"/>
  <c r="O55" i="44" s="1"/>
  <c r="I52" i="28"/>
  <c r="N55" i="44" s="1"/>
  <c r="T54" i="27"/>
  <c r="S54" i="27"/>
  <c r="R54" i="27"/>
  <c r="Q54" i="27"/>
  <c r="V55" i="32" s="1"/>
  <c r="P54" i="27"/>
  <c r="U55" i="32" s="1"/>
  <c r="O54" i="27"/>
  <c r="T55" i="32" s="1"/>
  <c r="N54" i="27"/>
  <c r="S55" i="32" s="1"/>
  <c r="M54" i="27"/>
  <c r="R55" i="32" s="1"/>
  <c r="L54" i="27"/>
  <c r="Q55" i="32" s="1"/>
  <c r="K54" i="27"/>
  <c r="P55" i="32" s="1"/>
  <c r="J54" i="27"/>
  <c r="O55" i="32" s="1"/>
  <c r="I54" i="27"/>
  <c r="T55" i="26"/>
  <c r="S55" i="26"/>
  <c r="R55" i="26"/>
  <c r="Q55" i="26"/>
  <c r="V55" i="31" s="1"/>
  <c r="P55" i="26"/>
  <c r="U55" i="31" s="1"/>
  <c r="O55" i="26"/>
  <c r="T55" i="31" s="1"/>
  <c r="N55" i="26"/>
  <c r="S55" i="31" s="1"/>
  <c r="M55" i="26"/>
  <c r="R55" i="31" s="1"/>
  <c r="L55" i="26"/>
  <c r="Q55" i="31" s="1"/>
  <c r="K55" i="26"/>
  <c r="P55" i="31" s="1"/>
  <c r="J55" i="26"/>
  <c r="O55" i="31" s="1"/>
  <c r="I55" i="26"/>
  <c r="N55" i="31" s="1"/>
  <c r="H55" i="26"/>
  <c r="M55" i="31" s="1"/>
  <c r="G55" i="26"/>
  <c r="L55" i="31" s="1"/>
  <c r="F55" i="26"/>
  <c r="K55" i="31" s="1"/>
  <c r="H54" i="23"/>
  <c r="I54" i="23"/>
  <c r="N54" i="30" s="1"/>
  <c r="J54" i="23"/>
  <c r="O54" i="30" s="1"/>
  <c r="K54" i="23"/>
  <c r="P54" i="30" s="1"/>
  <c r="L54" i="23"/>
  <c r="M54" i="23"/>
  <c r="R54" i="30" s="1"/>
  <c r="N54" i="23"/>
  <c r="O54" i="23"/>
  <c r="P54" i="23"/>
  <c r="Q54" i="23"/>
  <c r="V54" i="30" s="1"/>
  <c r="R54" i="23"/>
  <c r="S54" i="23"/>
  <c r="T54" i="23"/>
  <c r="G54" i="23"/>
  <c r="L54" i="30" s="1"/>
  <c r="F54" i="23"/>
  <c r="K54" i="30" s="1"/>
  <c r="BL42" i="2"/>
  <c r="BK42" i="2"/>
  <c r="BJ42" i="2"/>
  <c r="BI42" i="2"/>
  <c r="BH42" i="2"/>
  <c r="BG42" i="2"/>
  <c r="BF42" i="2"/>
  <c r="BE42" i="2"/>
  <c r="BD42" i="2"/>
  <c r="BC42" i="2"/>
  <c r="BB42" i="2"/>
  <c r="T13" i="28"/>
  <c r="R13" i="28"/>
  <c r="AZ42" i="2"/>
  <c r="AY42" i="2"/>
  <c r="AX42" i="2"/>
  <c r="AW42" i="2"/>
  <c r="AV42" i="2"/>
  <c r="AU42" i="2"/>
  <c r="AT42" i="2"/>
  <c r="AS42" i="2"/>
  <c r="AR42" i="2"/>
  <c r="T13" i="27"/>
  <c r="S13" i="27"/>
  <c r="R13" i="27"/>
  <c r="R22" i="27" s="1"/>
  <c r="AN42" i="2"/>
  <c r="AM42" i="2"/>
  <c r="AL42" i="2"/>
  <c r="AJ42" i="2"/>
  <c r="AH42" i="2"/>
  <c r="AF42" i="2"/>
  <c r="T13" i="26"/>
  <c r="S13" i="26"/>
  <c r="R13" i="26"/>
  <c r="AB42" i="2"/>
  <c r="AA42" i="2"/>
  <c r="Z42" i="2"/>
  <c r="Y42" i="2"/>
  <c r="X42" i="2"/>
  <c r="W42" i="2"/>
  <c r="V42" i="2"/>
  <c r="U42" i="2"/>
  <c r="T42" i="2"/>
  <c r="H39" i="24"/>
  <c r="H43" i="24" s="1"/>
  <c r="I39" i="24"/>
  <c r="I43" i="24" s="1"/>
  <c r="J39" i="24"/>
  <c r="J43" i="24" s="1"/>
  <c r="K39" i="24"/>
  <c r="K43" i="24" s="1"/>
  <c r="L39" i="24"/>
  <c r="L43" i="24" s="1"/>
  <c r="M39" i="24"/>
  <c r="M43" i="24" s="1"/>
  <c r="N39" i="24"/>
  <c r="N43" i="24" s="1"/>
  <c r="O39" i="24"/>
  <c r="O43" i="24" s="1"/>
  <c r="P39" i="24"/>
  <c r="P43" i="24" s="1"/>
  <c r="Q39" i="24"/>
  <c r="Q43" i="24" s="1"/>
  <c r="R39" i="24"/>
  <c r="R43" i="24" s="1"/>
  <c r="G39" i="24"/>
  <c r="I42" i="2"/>
  <c r="J42" i="2"/>
  <c r="K42" i="2"/>
  <c r="H42" i="2"/>
  <c r="B4" i="21"/>
  <c r="N26" i="21"/>
  <c r="B26" i="21"/>
  <c r="N15" i="21"/>
  <c r="B15" i="21"/>
  <c r="N4" i="21"/>
  <c r="O20" i="20"/>
  <c r="N20" i="20"/>
  <c r="M20" i="20"/>
  <c r="L20" i="20"/>
  <c r="K20" i="20"/>
  <c r="J20" i="20"/>
  <c r="I20" i="20"/>
  <c r="H20" i="20"/>
  <c r="G20" i="20"/>
  <c r="F20" i="20"/>
  <c r="E20" i="20"/>
  <c r="D20" i="20"/>
  <c r="P19" i="20"/>
  <c r="P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P16" i="20"/>
  <c r="P15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P13" i="20"/>
  <c r="P12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P10" i="20"/>
  <c r="P9" i="20"/>
  <c r="O8" i="20"/>
  <c r="N8" i="20"/>
  <c r="M8" i="20"/>
  <c r="L8" i="20"/>
  <c r="K8" i="20"/>
  <c r="J8" i="20"/>
  <c r="I8" i="20"/>
  <c r="H8" i="20"/>
  <c r="G8" i="20"/>
  <c r="F8" i="20"/>
  <c r="E8" i="20"/>
  <c r="D8" i="20"/>
  <c r="P7" i="20"/>
  <c r="P6" i="20"/>
  <c r="O5" i="20"/>
  <c r="N5" i="20"/>
  <c r="M5" i="20"/>
  <c r="L5" i="20"/>
  <c r="K5" i="20"/>
  <c r="J5" i="20"/>
  <c r="I5" i="20"/>
  <c r="H5" i="20"/>
  <c r="G5" i="20"/>
  <c r="F5" i="20"/>
  <c r="E5" i="20"/>
  <c r="D5" i="20"/>
  <c r="P4" i="20"/>
  <c r="P3" i="20"/>
  <c r="K18" i="17"/>
  <c r="K17" i="17"/>
  <c r="K19" i="17"/>
  <c r="I21" i="17"/>
  <c r="J21" i="17"/>
  <c r="K21" i="17" s="1"/>
  <c r="D21" i="17"/>
  <c r="E21" i="17"/>
  <c r="K20" i="17"/>
  <c r="K16" i="17"/>
  <c r="K15" i="17"/>
  <c r="K14" i="17"/>
  <c r="K13" i="17"/>
  <c r="K12" i="17"/>
  <c r="K11" i="17"/>
  <c r="K10" i="17"/>
  <c r="K9" i="17"/>
  <c r="K8" i="17"/>
  <c r="K7" i="17"/>
  <c r="K6" i="17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E7" i="16"/>
  <c r="O6" i="15"/>
  <c r="O7" i="15"/>
  <c r="O8" i="15"/>
  <c r="O9" i="15"/>
  <c r="O10" i="15"/>
  <c r="O11" i="15"/>
  <c r="O5" i="15"/>
  <c r="J44" i="15"/>
  <c r="I44" i="15"/>
  <c r="G44" i="15"/>
  <c r="E44" i="15"/>
  <c r="D44" i="15"/>
  <c r="L43" i="15"/>
  <c r="K43" i="15"/>
  <c r="H43" i="15"/>
  <c r="M43" i="15"/>
  <c r="F43" i="15"/>
  <c r="L42" i="15"/>
  <c r="K42" i="15"/>
  <c r="H42" i="15"/>
  <c r="M42" i="15"/>
  <c r="F42" i="15"/>
  <c r="L41" i="15"/>
  <c r="K41" i="15"/>
  <c r="H41" i="15"/>
  <c r="M41" i="15"/>
  <c r="F41" i="15"/>
  <c r="L40" i="15"/>
  <c r="K40" i="15"/>
  <c r="H40" i="15"/>
  <c r="M40" i="15"/>
  <c r="F40" i="15"/>
  <c r="L39" i="15"/>
  <c r="K39" i="15"/>
  <c r="H39" i="15"/>
  <c r="M39" i="15"/>
  <c r="F39" i="15"/>
  <c r="L38" i="15"/>
  <c r="K38" i="15"/>
  <c r="H38" i="15"/>
  <c r="M38" i="15"/>
  <c r="F38" i="15"/>
  <c r="L37" i="15"/>
  <c r="K37" i="15"/>
  <c r="H37" i="15"/>
  <c r="M37" i="15"/>
  <c r="F37" i="15"/>
  <c r="L36" i="15"/>
  <c r="K36" i="15"/>
  <c r="H36" i="15"/>
  <c r="M36" i="15"/>
  <c r="F36" i="15"/>
  <c r="L35" i="15"/>
  <c r="K35" i="15"/>
  <c r="H35" i="15"/>
  <c r="M35" i="15"/>
  <c r="F35" i="15"/>
  <c r="L34" i="15"/>
  <c r="K34" i="15"/>
  <c r="H34" i="15"/>
  <c r="F34" i="15"/>
  <c r="F37" i="2"/>
  <c r="F23" i="10" s="1"/>
  <c r="G37" i="2"/>
  <c r="G23" i="10" s="1"/>
  <c r="H37" i="2"/>
  <c r="H23" i="10" s="1"/>
  <c r="I37" i="2"/>
  <c r="I23" i="10" s="1"/>
  <c r="J37" i="2"/>
  <c r="J23" i="10" s="1"/>
  <c r="K37" i="2"/>
  <c r="K23" i="10" s="1"/>
  <c r="L37" i="2"/>
  <c r="L23" i="10" s="1"/>
  <c r="M37" i="2"/>
  <c r="M23" i="10" s="1"/>
  <c r="N37" i="2"/>
  <c r="N23" i="10" s="1"/>
  <c r="O37" i="2"/>
  <c r="O23" i="10" s="1"/>
  <c r="P37" i="2"/>
  <c r="P23" i="10" s="1"/>
  <c r="E37" i="2"/>
  <c r="E23" i="10" s="1"/>
  <c r="F36" i="2"/>
  <c r="F22" i="10" s="1"/>
  <c r="G36" i="2"/>
  <c r="G22" i="10" s="1"/>
  <c r="H36" i="2"/>
  <c r="H22" i="10" s="1"/>
  <c r="I36" i="2"/>
  <c r="I22" i="10" s="1"/>
  <c r="J36" i="2"/>
  <c r="J22" i="10" s="1"/>
  <c r="K36" i="2"/>
  <c r="K22" i="10" s="1"/>
  <c r="L36" i="2"/>
  <c r="L22" i="10" s="1"/>
  <c r="M36" i="2"/>
  <c r="M22" i="10" s="1"/>
  <c r="N36" i="2"/>
  <c r="N22" i="10" s="1"/>
  <c r="O36" i="2"/>
  <c r="O22" i="10" s="1"/>
  <c r="P36" i="2"/>
  <c r="P22" i="10" s="1"/>
  <c r="E36" i="2"/>
  <c r="E22" i="10" s="1"/>
  <c r="E21" i="2"/>
  <c r="F12" i="10" s="1"/>
  <c r="F21" i="2"/>
  <c r="G12" i="10" s="1"/>
  <c r="G21" i="2"/>
  <c r="H12" i="10" s="1"/>
  <c r="H21" i="2"/>
  <c r="I12" i="10" s="1"/>
  <c r="I21" i="2"/>
  <c r="J12" i="10" s="1"/>
  <c r="J21" i="2"/>
  <c r="K12" i="10" s="1"/>
  <c r="K21" i="2"/>
  <c r="L12" i="10" s="1"/>
  <c r="L21" i="2"/>
  <c r="M12" i="10" s="1"/>
  <c r="M21" i="2"/>
  <c r="N12" i="10" s="1"/>
  <c r="N21" i="2"/>
  <c r="O12" i="10" s="1"/>
  <c r="O21" i="2"/>
  <c r="P12" i="10" s="1"/>
  <c r="D21" i="2"/>
  <c r="E12" i="10" s="1"/>
  <c r="E20" i="2"/>
  <c r="F11" i="10" s="1"/>
  <c r="F20" i="2"/>
  <c r="G11" i="10" s="1"/>
  <c r="G20" i="2"/>
  <c r="H11" i="10" s="1"/>
  <c r="H20" i="2"/>
  <c r="I11" i="10" s="1"/>
  <c r="I20" i="2"/>
  <c r="J11" i="10" s="1"/>
  <c r="J20" i="2"/>
  <c r="K11" i="10" s="1"/>
  <c r="K20" i="2"/>
  <c r="L11" i="10" s="1"/>
  <c r="L20" i="2"/>
  <c r="M11" i="10" s="1"/>
  <c r="M20" i="2"/>
  <c r="N11" i="10" s="1"/>
  <c r="N20" i="2"/>
  <c r="O11" i="10" s="1"/>
  <c r="O20" i="2"/>
  <c r="P11" i="10" s="1"/>
  <c r="D20" i="2"/>
  <c r="E11" i="10" s="1"/>
  <c r="E19" i="2"/>
  <c r="F10" i="10" s="1"/>
  <c r="F19" i="2"/>
  <c r="G10" i="10" s="1"/>
  <c r="G19" i="2"/>
  <c r="H10" i="10" s="1"/>
  <c r="H19" i="2"/>
  <c r="I10" i="10" s="1"/>
  <c r="I19" i="2"/>
  <c r="J10" i="10" s="1"/>
  <c r="J19" i="2"/>
  <c r="K10" i="10" s="1"/>
  <c r="K19" i="2"/>
  <c r="L10" i="10" s="1"/>
  <c r="L19" i="2"/>
  <c r="M10" i="10" s="1"/>
  <c r="M19" i="2"/>
  <c r="N10" i="10" s="1"/>
  <c r="N19" i="2"/>
  <c r="O10" i="10" s="1"/>
  <c r="O19" i="2"/>
  <c r="P10" i="10" s="1"/>
  <c r="D19" i="2"/>
  <c r="E10" i="10" s="1"/>
  <c r="K44" i="15"/>
  <c r="H44" i="15"/>
  <c r="F44" i="15"/>
  <c r="L44" i="15"/>
  <c r="M34" i="15"/>
  <c r="M44" i="15"/>
  <c r="S9" i="45" l="1"/>
  <c r="M47" i="45"/>
  <c r="BC43" i="2"/>
  <c r="Q47" i="45"/>
  <c r="P51" i="45"/>
  <c r="BF44" i="2"/>
  <c r="T47" i="45"/>
  <c r="BJ43" i="2"/>
  <c r="L47" i="45"/>
  <c r="BB43" i="2"/>
  <c r="O47" i="45"/>
  <c r="K51" i="45"/>
  <c r="BA44" i="2"/>
  <c r="S47" i="45"/>
  <c r="BI43" i="2"/>
  <c r="Q51" i="45"/>
  <c r="BG44" i="2"/>
  <c r="V51" i="45"/>
  <c r="I51" i="32" s="1"/>
  <c r="BL44" i="2"/>
  <c r="N51" i="45"/>
  <c r="BD44" i="2"/>
  <c r="U51" i="45"/>
  <c r="BK44" i="2"/>
  <c r="M51" i="45"/>
  <c r="BC44" i="2"/>
  <c r="T51" i="45"/>
  <c r="BJ44" i="2"/>
  <c r="L51" i="45"/>
  <c r="BB44" i="2"/>
  <c r="P47" i="45"/>
  <c r="BF43" i="2"/>
  <c r="K47" i="45"/>
  <c r="BA43" i="2"/>
  <c r="U47" i="45"/>
  <c r="R51" i="45"/>
  <c r="BH44" i="2"/>
  <c r="V47" i="45"/>
  <c r="BL43" i="2"/>
  <c r="N47" i="45"/>
  <c r="BD43" i="2"/>
  <c r="G43" i="38"/>
  <c r="S25" i="37"/>
  <c r="S43" i="37" s="1"/>
  <c r="O9" i="44"/>
  <c r="U9" i="44"/>
  <c r="M9" i="44"/>
  <c r="H9" i="31"/>
  <c r="H9" i="45"/>
  <c r="H9" i="30"/>
  <c r="H9" i="32"/>
  <c r="H9" i="44"/>
  <c r="T9" i="44"/>
  <c r="S9" i="44"/>
  <c r="R9" i="44"/>
  <c r="H43" i="38"/>
  <c r="T25" i="37"/>
  <c r="T43" i="37" s="1"/>
  <c r="Q9" i="44"/>
  <c r="V51" i="44"/>
  <c r="AZ44" i="2"/>
  <c r="K51" i="44"/>
  <c r="AO44" i="2"/>
  <c r="T22" i="28"/>
  <c r="U51" i="44"/>
  <c r="AY44" i="2"/>
  <c r="L51" i="44"/>
  <c r="AP44" i="2"/>
  <c r="T51" i="44"/>
  <c r="AX44" i="2"/>
  <c r="M51" i="44"/>
  <c r="AQ44" i="2"/>
  <c r="O47" i="44"/>
  <c r="R51" i="44"/>
  <c r="AV44" i="2"/>
  <c r="K47" i="44"/>
  <c r="AO43" i="2"/>
  <c r="M47" i="44"/>
  <c r="Q51" i="44"/>
  <c r="AU44" i="2"/>
  <c r="R47" i="44"/>
  <c r="AV43" i="2"/>
  <c r="P51" i="44"/>
  <c r="AT44" i="2"/>
  <c r="Q47" i="44"/>
  <c r="AU43" i="2"/>
  <c r="U47" i="44"/>
  <c r="I43" i="37"/>
  <c r="U25" i="33"/>
  <c r="U43" i="33" s="1"/>
  <c r="H43" i="37"/>
  <c r="T25" i="33"/>
  <c r="T43" i="33" s="1"/>
  <c r="L9" i="32"/>
  <c r="T51" i="32"/>
  <c r="F10" i="9"/>
  <c r="P51" i="32"/>
  <c r="F12" i="32"/>
  <c r="F12" i="44"/>
  <c r="F12" i="45"/>
  <c r="F12" i="31"/>
  <c r="F12" i="30"/>
  <c r="F15" i="45"/>
  <c r="F15" i="44"/>
  <c r="F15" i="32"/>
  <c r="F15" i="31"/>
  <c r="F15" i="30"/>
  <c r="F7" i="30"/>
  <c r="F7" i="45"/>
  <c r="F7" i="31"/>
  <c r="F7" i="44"/>
  <c r="F7" i="32"/>
  <c r="F55" i="31"/>
  <c r="F55" i="32"/>
  <c r="F54" i="30"/>
  <c r="F55" i="45"/>
  <c r="F55" i="44"/>
  <c r="E10" i="9"/>
  <c r="E15" i="45"/>
  <c r="E15" i="44"/>
  <c r="E15" i="32"/>
  <c r="E15" i="31"/>
  <c r="E15" i="30"/>
  <c r="E7" i="45"/>
  <c r="E7" i="44"/>
  <c r="E7" i="32"/>
  <c r="E7" i="31"/>
  <c r="E7" i="30"/>
  <c r="L90" i="30"/>
  <c r="G58" i="23"/>
  <c r="E12" i="44"/>
  <c r="E12" i="30"/>
  <c r="E12" i="32"/>
  <c r="E12" i="31"/>
  <c r="E12" i="45"/>
  <c r="N46" i="30"/>
  <c r="D10" i="9"/>
  <c r="D13" i="9" s="1"/>
  <c r="K11" i="9" s="1"/>
  <c r="I50" i="30"/>
  <c r="I51" i="45"/>
  <c r="I53" i="45"/>
  <c r="I52" i="30"/>
  <c r="I53" i="32"/>
  <c r="I53" i="44"/>
  <c r="I53" i="31"/>
  <c r="I55" i="31"/>
  <c r="I54" i="30"/>
  <c r="I55" i="45"/>
  <c r="I55" i="32"/>
  <c r="I55" i="44"/>
  <c r="I59" i="31"/>
  <c r="I59" i="32"/>
  <c r="I59" i="45"/>
  <c r="I58" i="30"/>
  <c r="I59" i="44"/>
  <c r="I47" i="32"/>
  <c r="I46" i="30"/>
  <c r="I47" i="44"/>
  <c r="I47" i="31"/>
  <c r="I47" i="45"/>
  <c r="H47" i="31"/>
  <c r="H46" i="30"/>
  <c r="H47" i="45"/>
  <c r="H47" i="32"/>
  <c r="H47" i="44"/>
  <c r="H54" i="30"/>
  <c r="H55" i="45"/>
  <c r="H55" i="44"/>
  <c r="H55" i="31"/>
  <c r="H55" i="32"/>
  <c r="H51" i="45"/>
  <c r="H51" i="31"/>
  <c r="H50" i="30"/>
  <c r="H51" i="32"/>
  <c r="H51" i="44"/>
  <c r="H53" i="44"/>
  <c r="H53" i="31"/>
  <c r="H53" i="45"/>
  <c r="H53" i="32"/>
  <c r="H52" i="30"/>
  <c r="H58" i="30"/>
  <c r="H59" i="31"/>
  <c r="H59" i="32"/>
  <c r="H59" i="44"/>
  <c r="H59" i="45"/>
  <c r="I15" i="45"/>
  <c r="I15" i="44"/>
  <c r="I15" i="32"/>
  <c r="I15" i="31"/>
  <c r="I15" i="30"/>
  <c r="P42" i="39"/>
  <c r="V9" i="45"/>
  <c r="N9" i="45"/>
  <c r="U9" i="45"/>
  <c r="L9" i="45"/>
  <c r="G42" i="39"/>
  <c r="S25" i="38"/>
  <c r="S43" i="38" s="1"/>
  <c r="H42" i="39"/>
  <c r="R9" i="45"/>
  <c r="I12" i="45"/>
  <c r="I12" i="44"/>
  <c r="I12" i="32"/>
  <c r="I12" i="31"/>
  <c r="I12" i="30"/>
  <c r="I42" i="39"/>
  <c r="U25" i="38"/>
  <c r="U43" i="38" s="1"/>
  <c r="I7" i="45"/>
  <c r="I7" i="44"/>
  <c r="I7" i="32"/>
  <c r="I7" i="31"/>
  <c r="I7" i="30"/>
  <c r="G52" i="30"/>
  <c r="G53" i="31"/>
  <c r="G53" i="32"/>
  <c r="G53" i="44"/>
  <c r="G53" i="45"/>
  <c r="G59" i="44"/>
  <c r="G58" i="30"/>
  <c r="G59" i="31"/>
  <c r="G59" i="32"/>
  <c r="G59" i="45"/>
  <c r="G55" i="44"/>
  <c r="G55" i="45"/>
  <c r="G54" i="30"/>
  <c r="G55" i="32"/>
  <c r="G55" i="31"/>
  <c r="F59" i="31"/>
  <c r="F59" i="44"/>
  <c r="F59" i="45"/>
  <c r="F58" i="30"/>
  <c r="F59" i="32"/>
  <c r="E59" i="31"/>
  <c r="E59" i="32"/>
  <c r="E59" i="45"/>
  <c r="E58" i="30"/>
  <c r="E59" i="44"/>
  <c r="E55" i="31"/>
  <c r="E55" i="45"/>
  <c r="E54" i="30"/>
  <c r="E55" i="44"/>
  <c r="E55" i="32"/>
  <c r="Q51" i="32"/>
  <c r="AI44" i="2"/>
  <c r="O51" i="32"/>
  <c r="AG44" i="2"/>
  <c r="R51" i="32"/>
  <c r="AJ44" i="2"/>
  <c r="V51" i="32"/>
  <c r="AN44" i="2"/>
  <c r="N51" i="32"/>
  <c r="AF44" i="2"/>
  <c r="U51" i="32"/>
  <c r="AM44" i="2"/>
  <c r="M51" i="32"/>
  <c r="AE44" i="2"/>
  <c r="S51" i="32"/>
  <c r="AK44" i="2"/>
  <c r="U47" i="32"/>
  <c r="AM43" i="2"/>
  <c r="G47" i="45"/>
  <c r="G47" i="31"/>
  <c r="G47" i="32"/>
  <c r="G46" i="30"/>
  <c r="G47" i="44"/>
  <c r="S47" i="32"/>
  <c r="AK43" i="2"/>
  <c r="Q47" i="32"/>
  <c r="AI43" i="2"/>
  <c r="P47" i="32"/>
  <c r="AH43" i="2"/>
  <c r="T22" i="27"/>
  <c r="K47" i="32"/>
  <c r="AC43" i="2"/>
  <c r="F53" i="32"/>
  <c r="F53" i="45"/>
  <c r="F53" i="31"/>
  <c r="F53" i="44"/>
  <c r="F52" i="30"/>
  <c r="Q51" i="31"/>
  <c r="W44" i="2"/>
  <c r="F51" i="44"/>
  <c r="F51" i="31"/>
  <c r="F51" i="45"/>
  <c r="F51" i="32"/>
  <c r="F50" i="30"/>
  <c r="P51" i="31"/>
  <c r="V44" i="2"/>
  <c r="U51" i="31"/>
  <c r="AA44" i="2"/>
  <c r="M51" i="31"/>
  <c r="S44" i="2"/>
  <c r="T51" i="31"/>
  <c r="Z44" i="2"/>
  <c r="L51" i="31"/>
  <c r="R44" i="2"/>
  <c r="S51" i="31"/>
  <c r="Y44" i="2"/>
  <c r="U47" i="31"/>
  <c r="F47" i="31"/>
  <c r="F47" i="45"/>
  <c r="F47" i="32"/>
  <c r="F46" i="30"/>
  <c r="F47" i="44"/>
  <c r="P47" i="31"/>
  <c r="K47" i="31"/>
  <c r="E53" i="32"/>
  <c r="E53" i="45"/>
  <c r="E53" i="31"/>
  <c r="E53" i="44"/>
  <c r="E52" i="30"/>
  <c r="Q46" i="30"/>
  <c r="V46" i="30"/>
  <c r="P43" i="2"/>
  <c r="U46" i="30"/>
  <c r="O43" i="2"/>
  <c r="M46" i="30"/>
  <c r="G43" i="2"/>
  <c r="O46" i="30"/>
  <c r="T46" i="30"/>
  <c r="N43" i="2"/>
  <c r="L46" i="30"/>
  <c r="F43" i="2"/>
  <c r="S46" i="30"/>
  <c r="M43" i="2"/>
  <c r="R46" i="30"/>
  <c r="L43" i="2"/>
  <c r="K46" i="30"/>
  <c r="E43" i="2"/>
  <c r="R50" i="30"/>
  <c r="L44" i="2"/>
  <c r="N50" i="30"/>
  <c r="H44" i="2"/>
  <c r="L50" i="30"/>
  <c r="F44" i="2"/>
  <c r="T50" i="30"/>
  <c r="N44" i="2"/>
  <c r="K50" i="30"/>
  <c r="E44" i="2"/>
  <c r="F22" i="29"/>
  <c r="K49" i="45" s="1"/>
  <c r="BA42" i="2"/>
  <c r="L45" i="44"/>
  <c r="AP42" i="2"/>
  <c r="K45" i="44"/>
  <c r="AO42" i="2"/>
  <c r="M45" i="37"/>
  <c r="M18" i="37"/>
  <c r="AI49" i="2" s="1"/>
  <c r="M45" i="32"/>
  <c r="M54" i="32" s="1"/>
  <c r="AE42" i="2"/>
  <c r="N22" i="27"/>
  <c r="S49" i="32" s="1"/>
  <c r="AK42" i="2"/>
  <c r="N45" i="37"/>
  <c r="N18" i="37"/>
  <c r="AJ49" i="2" s="1"/>
  <c r="L22" i="27"/>
  <c r="Q49" i="32" s="1"/>
  <c r="AI42" i="2"/>
  <c r="J22" i="27"/>
  <c r="O49" i="32" s="1"/>
  <c r="AG42" i="2"/>
  <c r="R45" i="37"/>
  <c r="R47" i="37" s="1"/>
  <c r="R18" i="37"/>
  <c r="AN49" i="2" s="1"/>
  <c r="L45" i="32"/>
  <c r="AD42" i="2"/>
  <c r="F23" i="26"/>
  <c r="K49" i="31" s="1"/>
  <c r="Q42" i="2"/>
  <c r="H23" i="26"/>
  <c r="M49" i="31" s="1"/>
  <c r="S42" i="2"/>
  <c r="G11" i="33"/>
  <c r="H22" i="23"/>
  <c r="M48" i="30" s="1"/>
  <c r="G42" i="2"/>
  <c r="I43" i="39"/>
  <c r="U40" i="38"/>
  <c r="U44" i="38" s="1"/>
  <c r="H43" i="39"/>
  <c r="T40" i="38"/>
  <c r="T44" i="38" s="1"/>
  <c r="G43" i="39"/>
  <c r="S40" i="38"/>
  <c r="S44" i="38" s="1"/>
  <c r="I61" i="44"/>
  <c r="I61" i="45"/>
  <c r="I60" i="30"/>
  <c r="I61" i="31"/>
  <c r="I61" i="32"/>
  <c r="H60" i="30"/>
  <c r="H61" i="31"/>
  <c r="H61" i="32"/>
  <c r="H61" i="44"/>
  <c r="H61" i="45"/>
  <c r="I44" i="38"/>
  <c r="U40" i="37"/>
  <c r="U44" i="37" s="1"/>
  <c r="H12" i="30"/>
  <c r="H12" i="31"/>
  <c r="H12" i="45"/>
  <c r="H12" i="44"/>
  <c r="H12" i="32"/>
  <c r="H7" i="30"/>
  <c r="H7" i="32"/>
  <c r="H7" i="45"/>
  <c r="H7" i="44"/>
  <c r="H7" i="31"/>
  <c r="H15" i="32"/>
  <c r="H15" i="31"/>
  <c r="H15" i="30"/>
  <c r="H15" i="44"/>
  <c r="H15" i="45"/>
  <c r="G12" i="45"/>
  <c r="G12" i="44"/>
  <c r="G12" i="32"/>
  <c r="G12" i="31"/>
  <c r="G12" i="30"/>
  <c r="G7" i="45"/>
  <c r="G7" i="44"/>
  <c r="G7" i="32"/>
  <c r="G7" i="31"/>
  <c r="G7" i="30"/>
  <c r="G15" i="45"/>
  <c r="G15" i="44"/>
  <c r="G15" i="30"/>
  <c r="G15" i="31"/>
  <c r="G15" i="32"/>
  <c r="G60" i="30"/>
  <c r="G61" i="45"/>
  <c r="G61" i="31"/>
  <c r="G61" i="32"/>
  <c r="G61" i="44"/>
  <c r="F6" i="30"/>
  <c r="F6" i="45"/>
  <c r="F6" i="44"/>
  <c r="F6" i="31"/>
  <c r="F6" i="32"/>
  <c r="E6" i="30"/>
  <c r="E6" i="45"/>
  <c r="E6" i="31"/>
  <c r="E6" i="32"/>
  <c r="E6" i="44"/>
  <c r="H11" i="39"/>
  <c r="T11" i="38" s="1"/>
  <c r="I6" i="31"/>
  <c r="I6" i="45"/>
  <c r="I6" i="32"/>
  <c r="I6" i="30"/>
  <c r="I6" i="44"/>
  <c r="H6" i="32"/>
  <c r="H6" i="31"/>
  <c r="H6" i="45"/>
  <c r="H6" i="30"/>
  <c r="H6" i="44"/>
  <c r="G6" i="30"/>
  <c r="G6" i="31"/>
  <c r="G6" i="45"/>
  <c r="G6" i="32"/>
  <c r="G6" i="44"/>
  <c r="I2" i="17"/>
  <c r="G17" i="39"/>
  <c r="BA49" i="2" s="1"/>
  <c r="S11" i="38"/>
  <c r="I17" i="39"/>
  <c r="BC49" i="2" s="1"/>
  <c r="U11" i="38"/>
  <c r="G18" i="38"/>
  <c r="AO49" i="2" s="1"/>
  <c r="S11" i="37"/>
  <c r="S18" i="37" s="1"/>
  <c r="H45" i="38"/>
  <c r="T11" i="37"/>
  <c r="T18" i="37" s="1"/>
  <c r="I45" i="38"/>
  <c r="U11" i="37"/>
  <c r="U45" i="37" s="1"/>
  <c r="O22" i="27"/>
  <c r="T49" i="32" s="1"/>
  <c r="K5" i="32"/>
  <c r="S11" i="33"/>
  <c r="S45" i="33" s="1"/>
  <c r="U11" i="33"/>
  <c r="U45" i="33" s="1"/>
  <c r="H45" i="37"/>
  <c r="T11" i="33"/>
  <c r="T45" i="33" s="1"/>
  <c r="J45" i="33"/>
  <c r="J47" i="33" s="1"/>
  <c r="H11" i="33"/>
  <c r="P23" i="26"/>
  <c r="U49" i="31" s="1"/>
  <c r="H44" i="38"/>
  <c r="T40" i="37"/>
  <c r="T44" i="37" s="1"/>
  <c r="G44" i="38"/>
  <c r="S40" i="37"/>
  <c r="S44" i="37" s="1"/>
  <c r="H44" i="37"/>
  <c r="T40" i="33"/>
  <c r="T44" i="33" s="1"/>
  <c r="I44" i="37"/>
  <c r="U40" i="33"/>
  <c r="U44" i="33" s="1"/>
  <c r="G44" i="37"/>
  <c r="S40" i="33"/>
  <c r="S44" i="33" s="1"/>
  <c r="S22" i="28"/>
  <c r="R22" i="28"/>
  <c r="T23" i="26"/>
  <c r="S23" i="26"/>
  <c r="R23" i="26"/>
  <c r="J44" i="39"/>
  <c r="J46" i="39" s="1"/>
  <c r="P5" i="45"/>
  <c r="M22" i="29"/>
  <c r="R49" i="45" s="1"/>
  <c r="H22" i="27"/>
  <c r="M49" i="32" s="1"/>
  <c r="M50" i="32" s="1"/>
  <c r="G22" i="27"/>
  <c r="L49" i="32" s="1"/>
  <c r="M22" i="27"/>
  <c r="R49" i="32" s="1"/>
  <c r="J23" i="26"/>
  <c r="O49" i="31" s="1"/>
  <c r="P5" i="44"/>
  <c r="O5" i="44"/>
  <c r="N5" i="44"/>
  <c r="H18" i="38"/>
  <c r="AP49" i="2" s="1"/>
  <c r="V5" i="44"/>
  <c r="I18" i="38"/>
  <c r="AQ49" i="2" s="1"/>
  <c r="K22" i="28"/>
  <c r="P49" i="44" s="1"/>
  <c r="M18" i="38"/>
  <c r="AU49" i="2" s="1"/>
  <c r="J22" i="28"/>
  <c r="O49" i="44" s="1"/>
  <c r="Q18" i="38"/>
  <c r="AY49" i="2" s="1"/>
  <c r="P22" i="28"/>
  <c r="U49" i="44" s="1"/>
  <c r="H22" i="28"/>
  <c r="M49" i="44" s="1"/>
  <c r="M44" i="39"/>
  <c r="M46" i="39" s="1"/>
  <c r="K5" i="45"/>
  <c r="O5" i="45"/>
  <c r="N44" i="39"/>
  <c r="N46" i="39" s="1"/>
  <c r="V5" i="45"/>
  <c r="N5" i="45"/>
  <c r="O44" i="39"/>
  <c r="O46" i="39" s="1"/>
  <c r="U5" i="45"/>
  <c r="M5" i="45"/>
  <c r="R44" i="39"/>
  <c r="R46" i="39" s="1"/>
  <c r="T5" i="45"/>
  <c r="S5" i="45"/>
  <c r="M17" i="39"/>
  <c r="BG49" i="2" s="1"/>
  <c r="R5" i="45"/>
  <c r="P17" i="39"/>
  <c r="BJ49" i="2" s="1"/>
  <c r="J22" i="29"/>
  <c r="O49" i="45" s="1"/>
  <c r="P22" i="29"/>
  <c r="U49" i="45" s="1"/>
  <c r="L22" i="29"/>
  <c r="Q49" i="45" s="1"/>
  <c r="U13" i="29"/>
  <c r="R5" i="44"/>
  <c r="Q5" i="44"/>
  <c r="K5" i="44"/>
  <c r="V11" i="38"/>
  <c r="L45" i="38"/>
  <c r="L47" i="38" s="1"/>
  <c r="N18" i="38"/>
  <c r="AV49" i="2" s="1"/>
  <c r="U5" i="44"/>
  <c r="M5" i="44"/>
  <c r="P18" i="38"/>
  <c r="AX49" i="2" s="1"/>
  <c r="T5" i="44"/>
  <c r="L5" i="44"/>
  <c r="S5" i="44"/>
  <c r="L48" i="44"/>
  <c r="Q22" i="28"/>
  <c r="V49" i="44" s="1"/>
  <c r="I22" i="28"/>
  <c r="N49" i="44" s="1"/>
  <c r="O22" i="28"/>
  <c r="T49" i="44" s="1"/>
  <c r="G22" i="28"/>
  <c r="L49" i="44" s="1"/>
  <c r="L50" i="44" s="1"/>
  <c r="L54" i="44"/>
  <c r="U13" i="28"/>
  <c r="F22" i="28"/>
  <c r="K49" i="44" s="1"/>
  <c r="K50" i="44" s="1"/>
  <c r="Q22" i="27"/>
  <c r="V49" i="32" s="1"/>
  <c r="I22" i="27"/>
  <c r="N49" i="32" s="1"/>
  <c r="Q23" i="26"/>
  <c r="V49" i="31" s="1"/>
  <c r="I23" i="26"/>
  <c r="N49" i="31" s="1"/>
  <c r="O23" i="26"/>
  <c r="T49" i="31" s="1"/>
  <c r="G23" i="26"/>
  <c r="L49" i="31" s="1"/>
  <c r="N23" i="26"/>
  <c r="S49" i="31" s="1"/>
  <c r="M23" i="26"/>
  <c r="R49" i="31" s="1"/>
  <c r="L23" i="26"/>
  <c r="Q49" i="31" s="1"/>
  <c r="K23" i="26"/>
  <c r="P49" i="31" s="1"/>
  <c r="F16" i="25"/>
  <c r="G16" i="25" s="1"/>
  <c r="G18" i="25" s="1"/>
  <c r="G19" i="25" s="1"/>
  <c r="L87" i="30" s="1"/>
  <c r="P5" i="30"/>
  <c r="O5" i="30"/>
  <c r="N5" i="30"/>
  <c r="M5" i="30"/>
  <c r="Q5" i="30"/>
  <c r="G55" i="27"/>
  <c r="K11" i="45"/>
  <c r="K9" i="44"/>
  <c r="K11" i="44"/>
  <c r="H27" i="25"/>
  <c r="K9" i="30"/>
  <c r="K11" i="30"/>
  <c r="E13" i="9"/>
  <c r="L9" i="9" s="1"/>
  <c r="T55" i="27"/>
  <c r="T59" i="27" s="1"/>
  <c r="T60" i="27" s="1"/>
  <c r="U17" i="37" s="1"/>
  <c r="S55" i="27"/>
  <c r="S59" i="27" s="1"/>
  <c r="S60" i="27" s="1"/>
  <c r="T17" i="37" s="1"/>
  <c r="F13" i="9"/>
  <c r="M12" i="9" s="1"/>
  <c r="J59" i="23"/>
  <c r="U5" i="31"/>
  <c r="N5" i="31"/>
  <c r="V5" i="31"/>
  <c r="O5" i="31"/>
  <c r="P5" i="31"/>
  <c r="Q5" i="31"/>
  <c r="R5" i="31"/>
  <c r="S5" i="31"/>
  <c r="T5" i="31"/>
  <c r="H13" i="9"/>
  <c r="O11" i="9" s="1"/>
  <c r="U33" i="29"/>
  <c r="P30" i="3" s="1"/>
  <c r="T56" i="26"/>
  <c r="T60" i="26" s="1"/>
  <c r="T61" i="26" s="1"/>
  <c r="U17" i="33" s="1"/>
  <c r="S56" i="26"/>
  <c r="S60" i="26" s="1"/>
  <c r="S61" i="26" s="1"/>
  <c r="T17" i="33" s="1"/>
  <c r="R56" i="26"/>
  <c r="R60" i="26" s="1"/>
  <c r="R61" i="26" s="1"/>
  <c r="S17" i="33" s="1"/>
  <c r="J56" i="26"/>
  <c r="J60" i="26" s="1"/>
  <c r="J61" i="26" s="1"/>
  <c r="P45" i="37"/>
  <c r="P47" i="37" s="1"/>
  <c r="L5" i="32"/>
  <c r="U5" i="32"/>
  <c r="O45" i="37"/>
  <c r="O47" i="37" s="1"/>
  <c r="T5" i="32"/>
  <c r="M5" i="32"/>
  <c r="V5" i="32"/>
  <c r="N5" i="32"/>
  <c r="S5" i="32"/>
  <c r="R5" i="32"/>
  <c r="Q5" i="32"/>
  <c r="V11" i="37"/>
  <c r="P5" i="32"/>
  <c r="G45" i="37"/>
  <c r="O5" i="32"/>
  <c r="M43" i="37"/>
  <c r="N43" i="37"/>
  <c r="S9" i="32"/>
  <c r="K11" i="32"/>
  <c r="K9" i="32"/>
  <c r="P9" i="32"/>
  <c r="O9" i="32"/>
  <c r="V9" i="32"/>
  <c r="N9" i="32"/>
  <c r="U9" i="32"/>
  <c r="M9" i="32"/>
  <c r="K9" i="31"/>
  <c r="G13" i="9"/>
  <c r="N9" i="9" s="1"/>
  <c r="R55" i="27"/>
  <c r="R59" i="27" s="1"/>
  <c r="R60" i="27" s="1"/>
  <c r="S17" i="37" s="1"/>
  <c r="J55" i="27"/>
  <c r="J22" i="23"/>
  <c r="O48" i="30" s="1"/>
  <c r="K59" i="23"/>
  <c r="I22" i="23"/>
  <c r="N48" i="30" s="1"/>
  <c r="L59" i="23"/>
  <c r="T19" i="48"/>
  <c r="F21" i="17"/>
  <c r="G21" i="17"/>
  <c r="K2" i="17"/>
  <c r="H19" i="17"/>
  <c r="H8" i="17"/>
  <c r="H16" i="17"/>
  <c r="H6" i="17"/>
  <c r="H9" i="17"/>
  <c r="H20" i="17"/>
  <c r="H10" i="17"/>
  <c r="H11" i="17"/>
  <c r="H12" i="17"/>
  <c r="H13" i="17"/>
  <c r="H17" i="17"/>
  <c r="H14" i="17"/>
  <c r="H18" i="17"/>
  <c r="H7" i="17"/>
  <c r="H15" i="17"/>
  <c r="M53" i="29"/>
  <c r="U52" i="29"/>
  <c r="S53" i="28"/>
  <c r="S57" i="28" s="1"/>
  <c r="S58" i="28" s="1"/>
  <c r="T17" i="38" s="1"/>
  <c r="K22" i="29"/>
  <c r="P49" i="45" s="1"/>
  <c r="H22" i="29"/>
  <c r="Q22" i="29"/>
  <c r="V49" i="45" s="1"/>
  <c r="I22" i="29"/>
  <c r="N49" i="45" s="1"/>
  <c r="O22" i="29"/>
  <c r="T49" i="45" s="1"/>
  <c r="G22" i="29"/>
  <c r="L49" i="45" s="1"/>
  <c r="N22" i="29"/>
  <c r="S49" i="45" s="1"/>
  <c r="M22" i="28"/>
  <c r="R49" i="44" s="1"/>
  <c r="L22" i="28"/>
  <c r="Q49" i="44" s="1"/>
  <c r="T53" i="28"/>
  <c r="T57" i="28" s="1"/>
  <c r="T58" i="28" s="1"/>
  <c r="U17" i="38" s="1"/>
  <c r="U14" i="28"/>
  <c r="N22" i="28"/>
  <c r="S49" i="44" s="1"/>
  <c r="S22" i="27"/>
  <c r="K22" i="27"/>
  <c r="P49" i="32" s="1"/>
  <c r="Q55" i="27"/>
  <c r="I55" i="27"/>
  <c r="P55" i="27"/>
  <c r="H55" i="27"/>
  <c r="O55" i="27"/>
  <c r="P22" i="27"/>
  <c r="U49" i="32" s="1"/>
  <c r="F55" i="27"/>
  <c r="N55" i="27"/>
  <c r="K55" i="27"/>
  <c r="M55" i="27"/>
  <c r="L55" i="27"/>
  <c r="F22" i="27"/>
  <c r="K49" i="32" s="1"/>
  <c r="F56" i="26"/>
  <c r="F60" i="26" s="1"/>
  <c r="F61" i="26" s="1"/>
  <c r="M56" i="26"/>
  <c r="M60" i="26" s="1"/>
  <c r="M61" i="26" s="1"/>
  <c r="Q56" i="26"/>
  <c r="Q60" i="26" s="1"/>
  <c r="Q61" i="26" s="1"/>
  <c r="I56" i="26"/>
  <c r="I60" i="26" s="1"/>
  <c r="I61" i="26" s="1"/>
  <c r="P56" i="26"/>
  <c r="P60" i="26" s="1"/>
  <c r="P61" i="26" s="1"/>
  <c r="G56" i="26"/>
  <c r="G60" i="26" s="1"/>
  <c r="G61" i="26" s="1"/>
  <c r="I59" i="23"/>
  <c r="H59" i="23"/>
  <c r="L22" i="23"/>
  <c r="Q48" i="30" s="1"/>
  <c r="K22" i="23"/>
  <c r="P48" i="30" s="1"/>
  <c r="L53" i="29"/>
  <c r="BG46" i="2" s="1"/>
  <c r="F53" i="29"/>
  <c r="BA46" i="2" s="1"/>
  <c r="K53" i="29"/>
  <c r="BF46" i="2" s="1"/>
  <c r="G53" i="29"/>
  <c r="BB46" i="2" s="1"/>
  <c r="J53" i="29"/>
  <c r="BE46" i="2" s="1"/>
  <c r="Q53" i="29"/>
  <c r="BL46" i="2" s="1"/>
  <c r="I53" i="29"/>
  <c r="BD46" i="2" s="1"/>
  <c r="P53" i="29"/>
  <c r="BK46" i="2" s="1"/>
  <c r="H53" i="29"/>
  <c r="BC46" i="2" s="1"/>
  <c r="O53" i="29"/>
  <c r="BJ46" i="2" s="1"/>
  <c r="N53" i="29"/>
  <c r="BI46" i="2" s="1"/>
  <c r="R53" i="28"/>
  <c r="J53" i="28"/>
  <c r="AS46" i="2" s="1"/>
  <c r="I53" i="28"/>
  <c r="AR46" i="2" s="1"/>
  <c r="N53" i="28"/>
  <c r="Q53" i="28"/>
  <c r="P53" i="28"/>
  <c r="AY46" i="2" s="1"/>
  <c r="H53" i="28"/>
  <c r="AQ46" i="2" s="1"/>
  <c r="O53" i="28"/>
  <c r="F53" i="28"/>
  <c r="AO46" i="2" s="1"/>
  <c r="G53" i="28"/>
  <c r="M53" i="28"/>
  <c r="L53" i="28"/>
  <c r="K53" i="28"/>
  <c r="AT46" i="2" s="1"/>
  <c r="U52" i="28"/>
  <c r="K55" i="44"/>
  <c r="K56" i="44" s="1"/>
  <c r="U33" i="28"/>
  <c r="U14" i="27"/>
  <c r="M47" i="32"/>
  <c r="K45" i="32"/>
  <c r="K54" i="32" s="1"/>
  <c r="U13" i="27"/>
  <c r="V45" i="32"/>
  <c r="P45" i="32"/>
  <c r="P48" i="32" s="1"/>
  <c r="U34" i="27"/>
  <c r="H56" i="26"/>
  <c r="H60" i="26" s="1"/>
  <c r="H61" i="26" s="1"/>
  <c r="K56" i="26"/>
  <c r="L56" i="26"/>
  <c r="N56" i="26"/>
  <c r="N60" i="26" s="1"/>
  <c r="N61" i="26" s="1"/>
  <c r="O56" i="26"/>
  <c r="L47" i="31"/>
  <c r="M47" i="31"/>
  <c r="U14" i="26"/>
  <c r="L55" i="23"/>
  <c r="L57" i="23" s="1"/>
  <c r="K55" i="23"/>
  <c r="K57" i="23" s="1"/>
  <c r="J55" i="23"/>
  <c r="J57" i="23" s="1"/>
  <c r="O59" i="30" s="1"/>
  <c r="I55" i="23"/>
  <c r="I57" i="23" s="1"/>
  <c r="N59" i="30" s="1"/>
  <c r="H55" i="23"/>
  <c r="H57" i="23" s="1"/>
  <c r="U14" i="23"/>
  <c r="N44" i="30"/>
  <c r="N47" i="30" s="1"/>
  <c r="S13" i="23"/>
  <c r="S22" i="23" s="1"/>
  <c r="T13" i="23"/>
  <c r="O50" i="30"/>
  <c r="Q44" i="30"/>
  <c r="P44" i="30"/>
  <c r="P47" i="30" s="1"/>
  <c r="R13" i="23"/>
  <c r="R22" i="23" s="1"/>
  <c r="Q50" i="30"/>
  <c r="V50" i="30"/>
  <c r="U45" i="44"/>
  <c r="U48" i="44" s="1"/>
  <c r="O45" i="45"/>
  <c r="S45" i="44"/>
  <c r="S56" i="44" s="1"/>
  <c r="L56" i="44"/>
  <c r="K54" i="44"/>
  <c r="K52" i="44"/>
  <c r="R45" i="44"/>
  <c r="R54" i="44" s="1"/>
  <c r="L52" i="44"/>
  <c r="U54" i="27"/>
  <c r="N55" i="32"/>
  <c r="T45" i="44"/>
  <c r="V45" i="44"/>
  <c r="Q45" i="44"/>
  <c r="Q52" i="44" s="1"/>
  <c r="P45" i="44"/>
  <c r="O45" i="44"/>
  <c r="O52" i="44" s="1"/>
  <c r="N45" i="44"/>
  <c r="M45" i="44"/>
  <c r="M46" i="44" s="1"/>
  <c r="L51" i="32"/>
  <c r="N45" i="32"/>
  <c r="N48" i="32" s="1"/>
  <c r="O45" i="32"/>
  <c r="K51" i="32"/>
  <c r="U45" i="32"/>
  <c r="T45" i="32"/>
  <c r="T48" i="32" s="1"/>
  <c r="S45" i="32"/>
  <c r="S52" i="32" s="1"/>
  <c r="R45" i="32"/>
  <c r="Q45" i="32"/>
  <c r="Q54" i="32" s="1"/>
  <c r="M55" i="32"/>
  <c r="U50" i="30"/>
  <c r="P50" i="30"/>
  <c r="M50" i="30"/>
  <c r="U54" i="23"/>
  <c r="U34" i="23"/>
  <c r="U54" i="30"/>
  <c r="T54" i="30"/>
  <c r="S54" i="30"/>
  <c r="M54" i="30"/>
  <c r="U55" i="26"/>
  <c r="O51" i="31"/>
  <c r="K51" i="31"/>
  <c r="U13" i="26"/>
  <c r="U35" i="26"/>
  <c r="Q54" i="30"/>
  <c r="M44" i="30"/>
  <c r="O44" i="30"/>
  <c r="S51" i="45"/>
  <c r="S51" i="44"/>
  <c r="P45" i="31"/>
  <c r="M45" i="31"/>
  <c r="M54" i="31" s="1"/>
  <c r="U45" i="31"/>
  <c r="U54" i="31" s="1"/>
  <c r="O45" i="31"/>
  <c r="O48" i="31" s="1"/>
  <c r="N45" i="31"/>
  <c r="N54" i="31" s="1"/>
  <c r="V45" i="31"/>
  <c r="Q45" i="31"/>
  <c r="Q54" i="31" s="1"/>
  <c r="R45" i="31"/>
  <c r="R48" i="31" s="1"/>
  <c r="K45" i="31"/>
  <c r="S45" i="31"/>
  <c r="L45" i="31"/>
  <c r="T45" i="31"/>
  <c r="S50" i="30"/>
  <c r="K45" i="45"/>
  <c r="K52" i="45" s="1"/>
  <c r="L45" i="45"/>
  <c r="L56" i="45" s="1"/>
  <c r="S45" i="45"/>
  <c r="S56" i="45" s="1"/>
  <c r="R45" i="45"/>
  <c r="R56" i="45" s="1"/>
  <c r="Q45" i="45"/>
  <c r="P45" i="45"/>
  <c r="P52" i="45" s="1"/>
  <c r="N45" i="45"/>
  <c r="M45" i="45"/>
  <c r="M48" i="45" s="1"/>
  <c r="T45" i="45"/>
  <c r="T52" i="45" s="1"/>
  <c r="U45" i="45"/>
  <c r="U48" i="45" s="1"/>
  <c r="V45" i="45"/>
  <c r="K48" i="44"/>
  <c r="L46" i="44"/>
  <c r="K11" i="31"/>
  <c r="L56" i="32"/>
  <c r="P46" i="39"/>
  <c r="G31" i="25"/>
  <c r="K44" i="24"/>
  <c r="K46" i="24" s="1"/>
  <c r="I17" i="24"/>
  <c r="G49" i="2" s="1"/>
  <c r="L44" i="24"/>
  <c r="L46" i="24" s="1"/>
  <c r="M17" i="24"/>
  <c r="K49" i="2" s="1"/>
  <c r="K45" i="38"/>
  <c r="K47" i="38" s="1"/>
  <c r="G46" i="39"/>
  <c r="I44" i="39"/>
  <c r="I46" i="39" s="1"/>
  <c r="Q44" i="39"/>
  <c r="Q46" i="39" s="1"/>
  <c r="K44" i="39"/>
  <c r="K46" i="39" s="1"/>
  <c r="L44" i="39"/>
  <c r="L46" i="39" s="1"/>
  <c r="P47" i="38"/>
  <c r="Q47" i="38"/>
  <c r="M47" i="38"/>
  <c r="N47" i="38"/>
  <c r="G45" i="38"/>
  <c r="O45" i="38"/>
  <c r="O47" i="38" s="1"/>
  <c r="J45" i="38"/>
  <c r="J47" i="38" s="1"/>
  <c r="R45" i="38"/>
  <c r="R47" i="38" s="1"/>
  <c r="J45" i="37"/>
  <c r="J47" i="37" s="1"/>
  <c r="G43" i="37"/>
  <c r="I45" i="37"/>
  <c r="Q45" i="37"/>
  <c r="Q47" i="37" s="1"/>
  <c r="K45" i="37"/>
  <c r="K47" i="37" s="1"/>
  <c r="L45" i="37"/>
  <c r="L47" i="37" s="1"/>
  <c r="J17" i="24"/>
  <c r="H49" i="2" s="1"/>
  <c r="J46" i="24"/>
  <c r="G43" i="24"/>
  <c r="M46" i="24"/>
  <c r="I46" i="24"/>
  <c r="P20" i="20"/>
  <c r="Q20" i="20" s="1"/>
  <c r="P14" i="20"/>
  <c r="Q14" i="20" s="1"/>
  <c r="P11" i="20"/>
  <c r="Q11" i="20" s="1"/>
  <c r="P8" i="20"/>
  <c r="Q8" i="20" s="1"/>
  <c r="P5" i="20"/>
  <c r="Q5" i="20" s="1"/>
  <c r="P17" i="20"/>
  <c r="Q17" i="20" s="1"/>
  <c r="I51" i="31" l="1"/>
  <c r="I51" i="44"/>
  <c r="O48" i="45"/>
  <c r="M47" i="37"/>
  <c r="G9" i="32"/>
  <c r="G9" i="44"/>
  <c r="G9" i="31"/>
  <c r="G9" i="30"/>
  <c r="G9" i="45"/>
  <c r="U47" i="33"/>
  <c r="I27" i="25"/>
  <c r="H58" i="23"/>
  <c r="H15" i="24"/>
  <c r="H47" i="24" s="1"/>
  <c r="L60" i="30"/>
  <c r="I47" i="38"/>
  <c r="I9" i="45"/>
  <c r="I9" i="44"/>
  <c r="I9" i="32"/>
  <c r="I9" i="31"/>
  <c r="I9" i="30"/>
  <c r="P52" i="31"/>
  <c r="M46" i="32"/>
  <c r="L54" i="32"/>
  <c r="L48" i="32"/>
  <c r="L50" i="32"/>
  <c r="L52" i="32"/>
  <c r="N47" i="37"/>
  <c r="G51" i="44"/>
  <c r="G51" i="31"/>
  <c r="G51" i="45"/>
  <c r="G51" i="32"/>
  <c r="G50" i="30"/>
  <c r="O47" i="30"/>
  <c r="E46" i="30"/>
  <c r="E47" i="44"/>
  <c r="E47" i="31"/>
  <c r="E47" i="32"/>
  <c r="E47" i="45"/>
  <c r="E50" i="30"/>
  <c r="E51" i="44"/>
  <c r="E51" i="31"/>
  <c r="E51" i="45"/>
  <c r="E51" i="32"/>
  <c r="M55" i="29"/>
  <c r="BH46" i="2"/>
  <c r="O57" i="28"/>
  <c r="O58" i="28" s="1"/>
  <c r="P17" i="38" s="1"/>
  <c r="AX46" i="2"/>
  <c r="Q57" i="28"/>
  <c r="Q58" i="28" s="1"/>
  <c r="R17" i="38" s="1"/>
  <c r="AZ46" i="2"/>
  <c r="L57" i="28"/>
  <c r="L58" i="28" s="1"/>
  <c r="Q63" i="44" s="1"/>
  <c r="AU46" i="2"/>
  <c r="N57" i="28"/>
  <c r="N58" i="28" s="1"/>
  <c r="O17" i="38" s="1"/>
  <c r="AW46" i="2"/>
  <c r="M57" i="28"/>
  <c r="M58" i="28" s="1"/>
  <c r="N17" i="38" s="1"/>
  <c r="AV46" i="2"/>
  <c r="G57" i="28"/>
  <c r="G58" i="28" s="1"/>
  <c r="L63" i="45" s="1"/>
  <c r="AP46" i="2"/>
  <c r="M52" i="32"/>
  <c r="K59" i="27"/>
  <c r="K60" i="27" s="1"/>
  <c r="L17" i="37" s="1"/>
  <c r="AH46" i="2"/>
  <c r="N59" i="27"/>
  <c r="N60" i="27" s="1"/>
  <c r="S63" i="32" s="1"/>
  <c r="AK46" i="2"/>
  <c r="F59" i="27"/>
  <c r="F60" i="27" s="1"/>
  <c r="G17" i="37" s="1"/>
  <c r="AC46" i="2"/>
  <c r="J59" i="27"/>
  <c r="J60" i="27" s="1"/>
  <c r="K17" i="37" s="1"/>
  <c r="AG46" i="2"/>
  <c r="M48" i="32"/>
  <c r="G59" i="27"/>
  <c r="G60" i="27" s="1"/>
  <c r="H17" i="37" s="1"/>
  <c r="AD46" i="2"/>
  <c r="M59" i="27"/>
  <c r="M60" i="27" s="1"/>
  <c r="N17" i="37" s="1"/>
  <c r="AJ46" i="2"/>
  <c r="P59" i="27"/>
  <c r="P60" i="27" s="1"/>
  <c r="Q17" i="37" s="1"/>
  <c r="AM46" i="2"/>
  <c r="I59" i="27"/>
  <c r="I60" i="27" s="1"/>
  <c r="N63" i="32" s="1"/>
  <c r="AF46" i="2"/>
  <c r="Q59" i="27"/>
  <c r="Q60" i="27" s="1"/>
  <c r="R17" i="37" s="1"/>
  <c r="AN46" i="2"/>
  <c r="M56" i="32"/>
  <c r="O59" i="27"/>
  <c r="O60" i="27" s="1"/>
  <c r="P17" i="37" s="1"/>
  <c r="AL46" i="2"/>
  <c r="H59" i="27"/>
  <c r="H60" i="27" s="1"/>
  <c r="M63" i="32" s="1"/>
  <c r="AE46" i="2"/>
  <c r="L59" i="27"/>
  <c r="L60" i="27" s="1"/>
  <c r="Q63" i="32" s="1"/>
  <c r="AI46" i="2"/>
  <c r="G17" i="33"/>
  <c r="K63" i="31"/>
  <c r="K17" i="33"/>
  <c r="O63" i="31"/>
  <c r="H17" i="33"/>
  <c r="L63" i="31"/>
  <c r="N17" i="33"/>
  <c r="R63" i="31"/>
  <c r="I17" i="33"/>
  <c r="M63" i="31"/>
  <c r="Q17" i="33"/>
  <c r="U63" i="31"/>
  <c r="J17" i="33"/>
  <c r="N63" i="31"/>
  <c r="O17" i="33"/>
  <c r="S63" i="31"/>
  <c r="R17" i="33"/>
  <c r="V63" i="31"/>
  <c r="H60" i="23"/>
  <c r="H61" i="23" s="1"/>
  <c r="K60" i="23"/>
  <c r="J60" i="23"/>
  <c r="J61" i="23" s="1"/>
  <c r="I60" i="23"/>
  <c r="I61" i="23" s="1"/>
  <c r="L60" i="23"/>
  <c r="L61" i="23" s="1"/>
  <c r="Q63" i="30" s="1"/>
  <c r="Q64" i="30" s="1"/>
  <c r="H44" i="39"/>
  <c r="H46" i="39" s="1"/>
  <c r="U49" i="38"/>
  <c r="T24" i="42" s="1"/>
  <c r="T25" i="42" s="1"/>
  <c r="U19" i="38"/>
  <c r="T49" i="38"/>
  <c r="S24" i="42" s="1"/>
  <c r="S25" i="42" s="1"/>
  <c r="T19" i="38"/>
  <c r="Q63" i="45"/>
  <c r="U49" i="37"/>
  <c r="T24" i="41" s="1"/>
  <c r="T25" i="41" s="1"/>
  <c r="U19" i="37"/>
  <c r="T49" i="37"/>
  <c r="S24" i="41" s="1"/>
  <c r="S25" i="41" s="1"/>
  <c r="T19" i="37"/>
  <c r="L63" i="44"/>
  <c r="T45" i="37"/>
  <c r="T47" i="37" s="1"/>
  <c r="S49" i="37"/>
  <c r="R24" i="41" s="1"/>
  <c r="R25" i="41" s="1"/>
  <c r="S19" i="37"/>
  <c r="U18" i="33"/>
  <c r="U49" i="33"/>
  <c r="T24" i="40" s="1"/>
  <c r="T25" i="40" s="1"/>
  <c r="T49" i="33"/>
  <c r="S24" i="40" s="1"/>
  <c r="S25" i="40" s="1"/>
  <c r="S49" i="33"/>
  <c r="R24" i="40" s="1"/>
  <c r="R25" i="40" s="1"/>
  <c r="U47" i="37"/>
  <c r="G47" i="38"/>
  <c r="H17" i="39"/>
  <c r="V11" i="39"/>
  <c r="L5" i="45"/>
  <c r="I45" i="32"/>
  <c r="I45" i="44"/>
  <c r="I44" i="30"/>
  <c r="I45" i="31"/>
  <c r="I45" i="45"/>
  <c r="I49" i="44"/>
  <c r="I48" i="30"/>
  <c r="I49" i="31"/>
  <c r="I49" i="45"/>
  <c r="I49" i="32"/>
  <c r="I5" i="30"/>
  <c r="I5" i="31"/>
  <c r="I5" i="45"/>
  <c r="I5" i="44"/>
  <c r="I5" i="32"/>
  <c r="U52" i="45"/>
  <c r="U18" i="37"/>
  <c r="H5" i="45"/>
  <c r="H5" i="44"/>
  <c r="H5" i="32"/>
  <c r="H5" i="31"/>
  <c r="H5" i="30"/>
  <c r="S45" i="37"/>
  <c r="S47" i="37" s="1"/>
  <c r="V54" i="44"/>
  <c r="H45" i="31"/>
  <c r="H45" i="44"/>
  <c r="H45" i="45"/>
  <c r="H45" i="32"/>
  <c r="H44" i="30"/>
  <c r="H49" i="32"/>
  <c r="H48" i="30"/>
  <c r="H49" i="44"/>
  <c r="H49" i="31"/>
  <c r="H49" i="45"/>
  <c r="G49" i="32"/>
  <c r="G48" i="30"/>
  <c r="G49" i="44"/>
  <c r="G49" i="31"/>
  <c r="G49" i="45"/>
  <c r="G5" i="45"/>
  <c r="G5" i="44"/>
  <c r="G5" i="32"/>
  <c r="G5" i="31"/>
  <c r="G5" i="30"/>
  <c r="V52" i="32"/>
  <c r="G45" i="31"/>
  <c r="G45" i="45"/>
  <c r="G45" i="32"/>
  <c r="G44" i="30"/>
  <c r="G45" i="44"/>
  <c r="S47" i="33"/>
  <c r="S18" i="33"/>
  <c r="G57" i="27"/>
  <c r="F5" i="32"/>
  <c r="F5" i="30"/>
  <c r="F5" i="44"/>
  <c r="F5" i="31"/>
  <c r="F5" i="45"/>
  <c r="F45" i="44"/>
  <c r="F45" i="31"/>
  <c r="F45" i="45"/>
  <c r="F44" i="30"/>
  <c r="F45" i="32"/>
  <c r="F49" i="32"/>
  <c r="F48" i="30"/>
  <c r="F49" i="44"/>
  <c r="F49" i="31"/>
  <c r="F49" i="45"/>
  <c r="O52" i="45"/>
  <c r="U18" i="38"/>
  <c r="U45" i="38"/>
  <c r="U47" i="38" s="1"/>
  <c r="U22" i="29"/>
  <c r="P29" i="3" s="1"/>
  <c r="T18" i="38"/>
  <c r="T45" i="38"/>
  <c r="T47" i="38" s="1"/>
  <c r="S18" i="38"/>
  <c r="S45" i="38"/>
  <c r="S47" i="38" s="1"/>
  <c r="H47" i="38"/>
  <c r="T47" i="33"/>
  <c r="L46" i="32"/>
  <c r="H47" i="37"/>
  <c r="T18" i="33"/>
  <c r="P50" i="31"/>
  <c r="M50" i="31"/>
  <c r="I47" i="37"/>
  <c r="S50" i="45"/>
  <c r="O56" i="45"/>
  <c r="U54" i="44"/>
  <c r="T50" i="44"/>
  <c r="M48" i="44"/>
  <c r="U50" i="44"/>
  <c r="Q48" i="44"/>
  <c r="N27" i="3"/>
  <c r="M49" i="45"/>
  <c r="M50" i="45" s="1"/>
  <c r="P27" i="3"/>
  <c r="V18" i="38"/>
  <c r="U52" i="44"/>
  <c r="L27" i="3"/>
  <c r="L50" i="31"/>
  <c r="L48" i="31"/>
  <c r="J27" i="3"/>
  <c r="F18" i="25"/>
  <c r="F19" i="25" s="1"/>
  <c r="H16" i="25"/>
  <c r="H18" i="25" s="1"/>
  <c r="H19" i="25" s="1"/>
  <c r="M87" i="30" s="1"/>
  <c r="M57" i="29"/>
  <c r="M58" i="29" s="1"/>
  <c r="N16" i="39" s="1"/>
  <c r="I57" i="27"/>
  <c r="N60" i="32" s="1"/>
  <c r="T58" i="26"/>
  <c r="T62" i="26" s="1"/>
  <c r="I58" i="26"/>
  <c r="I62" i="26" s="1"/>
  <c r="N64" i="31" s="1"/>
  <c r="N65" i="31" s="1"/>
  <c r="L11" i="9"/>
  <c r="L10" i="9"/>
  <c r="L12" i="9"/>
  <c r="H31" i="25"/>
  <c r="N90" i="30"/>
  <c r="M90" i="30"/>
  <c r="N12" i="9"/>
  <c r="O55" i="28"/>
  <c r="S57" i="32"/>
  <c r="S58" i="32" s="1"/>
  <c r="S57" i="27"/>
  <c r="S61" i="27" s="1"/>
  <c r="O10" i="9"/>
  <c r="G55" i="28"/>
  <c r="M9" i="9"/>
  <c r="M10" i="9"/>
  <c r="K57" i="32"/>
  <c r="K58" i="32" s="1"/>
  <c r="M11" i="9"/>
  <c r="M57" i="32"/>
  <c r="M58" i="32" s="1"/>
  <c r="R57" i="27"/>
  <c r="R61" i="27" s="1"/>
  <c r="T57" i="27"/>
  <c r="T61" i="27" s="1"/>
  <c r="J58" i="26"/>
  <c r="J62" i="26" s="1"/>
  <c r="O64" i="31" s="1"/>
  <c r="O65" i="31" s="1"/>
  <c r="Q58" i="26"/>
  <c r="Q62" i="26" s="1"/>
  <c r="V64" i="31" s="1"/>
  <c r="K10" i="9"/>
  <c r="O9" i="9"/>
  <c r="O12" i="9"/>
  <c r="S58" i="26"/>
  <c r="S62" i="26" s="1"/>
  <c r="P58" i="26"/>
  <c r="P62" i="26" s="1"/>
  <c r="U64" i="31" s="1"/>
  <c r="U65" i="31" s="1"/>
  <c r="R58" i="26"/>
  <c r="R62" i="26" s="1"/>
  <c r="K9" i="9"/>
  <c r="K12" i="9"/>
  <c r="V18" i="37"/>
  <c r="N11" i="9"/>
  <c r="N10" i="9"/>
  <c r="N30" i="3"/>
  <c r="L57" i="27"/>
  <c r="Q60" i="32" s="1"/>
  <c r="M57" i="27"/>
  <c r="R60" i="32" s="1"/>
  <c r="L30" i="3"/>
  <c r="F57" i="27"/>
  <c r="U57" i="32"/>
  <c r="U58" i="32" s="1"/>
  <c r="J57" i="27"/>
  <c r="O60" i="32" s="1"/>
  <c r="Q57" i="27"/>
  <c r="V60" i="32" s="1"/>
  <c r="N51" i="30"/>
  <c r="T59" i="23"/>
  <c r="S59" i="23"/>
  <c r="T22" i="23"/>
  <c r="R59" i="23"/>
  <c r="H30" i="3"/>
  <c r="H21" i="17"/>
  <c r="K57" i="45"/>
  <c r="K58" i="45" s="1"/>
  <c r="U53" i="29"/>
  <c r="S55" i="28"/>
  <c r="S59" i="28" s="1"/>
  <c r="I57" i="29"/>
  <c r="I58" i="29" s="1"/>
  <c r="J16" i="39" s="1"/>
  <c r="I55" i="29"/>
  <c r="N60" i="45" s="1"/>
  <c r="Q57" i="29"/>
  <c r="Q58" i="29" s="1"/>
  <c r="R16" i="39" s="1"/>
  <c r="Q55" i="29"/>
  <c r="V60" i="45" s="1"/>
  <c r="N55" i="29"/>
  <c r="N57" i="29"/>
  <c r="N58" i="29" s="1"/>
  <c r="O16" i="39" s="1"/>
  <c r="P57" i="29"/>
  <c r="P58" i="29" s="1"/>
  <c r="Q16" i="39" s="1"/>
  <c r="P55" i="29"/>
  <c r="J57" i="29"/>
  <c r="J58" i="29" s="1"/>
  <c r="K16" i="39" s="1"/>
  <c r="J55" i="29"/>
  <c r="G57" i="29"/>
  <c r="G58" i="29" s="1"/>
  <c r="H16" i="39" s="1"/>
  <c r="G55" i="29"/>
  <c r="K55" i="29"/>
  <c r="K57" i="29"/>
  <c r="K58" i="29" s="1"/>
  <c r="L16" i="39" s="1"/>
  <c r="O55" i="29"/>
  <c r="O57" i="29"/>
  <c r="O58" i="29" s="1"/>
  <c r="P16" i="39" s="1"/>
  <c r="F57" i="29"/>
  <c r="F58" i="29" s="1"/>
  <c r="F55" i="29"/>
  <c r="P28" i="3"/>
  <c r="H57" i="29"/>
  <c r="H58" i="29" s="1"/>
  <c r="I16" i="39" s="1"/>
  <c r="H55" i="29"/>
  <c r="Q57" i="45"/>
  <c r="Q58" i="45" s="1"/>
  <c r="L55" i="29"/>
  <c r="Q60" i="45" s="1"/>
  <c r="L57" i="29"/>
  <c r="L58" i="29" s="1"/>
  <c r="M16" i="39" s="1"/>
  <c r="K55" i="28"/>
  <c r="P60" i="44" s="1"/>
  <c r="K57" i="28"/>
  <c r="Q55" i="28"/>
  <c r="F55" i="28"/>
  <c r="K60" i="44" s="1"/>
  <c r="F57" i="28"/>
  <c r="F58" i="28" s="1"/>
  <c r="I55" i="28"/>
  <c r="N60" i="44" s="1"/>
  <c r="I57" i="28"/>
  <c r="N28" i="3"/>
  <c r="J55" i="28"/>
  <c r="O60" i="44" s="1"/>
  <c r="J57" i="28"/>
  <c r="H55" i="28"/>
  <c r="M60" i="44" s="1"/>
  <c r="H57" i="28"/>
  <c r="R55" i="28"/>
  <c r="R57" i="28"/>
  <c r="R58" i="28" s="1"/>
  <c r="S17" i="38" s="1"/>
  <c r="T55" i="28"/>
  <c r="T59" i="28" s="1"/>
  <c r="P55" i="28"/>
  <c r="U60" i="44" s="1"/>
  <c r="P57" i="28"/>
  <c r="L28" i="3"/>
  <c r="J28" i="3"/>
  <c r="S50" i="31"/>
  <c r="T50" i="31"/>
  <c r="M58" i="26"/>
  <c r="M62" i="26" s="1"/>
  <c r="R64" i="31" s="1"/>
  <c r="R65" i="31" s="1"/>
  <c r="F58" i="26"/>
  <c r="F62" i="26" s="1"/>
  <c r="N58" i="26"/>
  <c r="N62" i="26" s="1"/>
  <c r="L58" i="26"/>
  <c r="L60" i="26"/>
  <c r="L61" i="26" s="1"/>
  <c r="K58" i="26"/>
  <c r="K60" i="26"/>
  <c r="K61" i="26" s="1"/>
  <c r="O58" i="26"/>
  <c r="O60" i="26"/>
  <c r="O61" i="26" s="1"/>
  <c r="J30" i="3"/>
  <c r="H58" i="26"/>
  <c r="H62" i="26" s="1"/>
  <c r="M64" i="31" s="1"/>
  <c r="M65" i="31" s="1"/>
  <c r="G58" i="26"/>
  <c r="G62" i="26" s="1"/>
  <c r="Q49" i="30"/>
  <c r="H28" i="3"/>
  <c r="O57" i="44"/>
  <c r="O58" i="44" s="1"/>
  <c r="V57" i="45"/>
  <c r="P57" i="44"/>
  <c r="P58" i="44" s="1"/>
  <c r="V57" i="44"/>
  <c r="M57" i="44"/>
  <c r="M58" i="44" s="1"/>
  <c r="N57" i="44"/>
  <c r="N58" i="44" s="1"/>
  <c r="N55" i="28"/>
  <c r="U22" i="28"/>
  <c r="R50" i="44"/>
  <c r="R52" i="44"/>
  <c r="U57" i="44"/>
  <c r="U58" i="44" s="1"/>
  <c r="R46" i="44"/>
  <c r="U46" i="32"/>
  <c r="K48" i="32"/>
  <c r="S48" i="32"/>
  <c r="N50" i="32"/>
  <c r="S56" i="32"/>
  <c r="S54" i="32"/>
  <c r="K56" i="32"/>
  <c r="U48" i="32"/>
  <c r="K52" i="32"/>
  <c r="R46" i="32"/>
  <c r="V50" i="32"/>
  <c r="K50" i="32"/>
  <c r="U56" i="32"/>
  <c r="U50" i="32"/>
  <c r="P54" i="32"/>
  <c r="N52" i="32"/>
  <c r="O46" i="32"/>
  <c r="H57" i="27"/>
  <c r="N54" i="32"/>
  <c r="N46" i="32"/>
  <c r="P50" i="32"/>
  <c r="P52" i="32"/>
  <c r="T54" i="32"/>
  <c r="T56" i="32"/>
  <c r="T46" i="32"/>
  <c r="T52" i="32"/>
  <c r="S50" i="32"/>
  <c r="T50" i="32"/>
  <c r="Q46" i="32"/>
  <c r="P56" i="32"/>
  <c r="V54" i="32"/>
  <c r="V56" i="32"/>
  <c r="V46" i="32"/>
  <c r="V48" i="32"/>
  <c r="V57" i="32"/>
  <c r="N56" i="32"/>
  <c r="Q52" i="32"/>
  <c r="U22" i="27"/>
  <c r="Q50" i="32"/>
  <c r="N62" i="31"/>
  <c r="R62" i="31"/>
  <c r="U23" i="26"/>
  <c r="S54" i="31"/>
  <c r="P48" i="31"/>
  <c r="P56" i="31"/>
  <c r="R52" i="31"/>
  <c r="S48" i="31"/>
  <c r="P54" i="31"/>
  <c r="S46" i="31"/>
  <c r="O62" i="31"/>
  <c r="V50" i="31"/>
  <c r="R54" i="31"/>
  <c r="R50" i="31"/>
  <c r="S52" i="31"/>
  <c r="L52" i="31"/>
  <c r="S56" i="31"/>
  <c r="L56" i="31"/>
  <c r="R46" i="31"/>
  <c r="N49" i="30"/>
  <c r="N55" i="30"/>
  <c r="N53" i="30"/>
  <c r="T55" i="23"/>
  <c r="T57" i="23" s="1"/>
  <c r="R55" i="23"/>
  <c r="R57" i="23" s="1"/>
  <c r="S55" i="23"/>
  <c r="S57" i="23" s="1"/>
  <c r="P51" i="30"/>
  <c r="Q53" i="30"/>
  <c r="P45" i="30"/>
  <c r="O45" i="30"/>
  <c r="O51" i="30"/>
  <c r="P53" i="30"/>
  <c r="Q47" i="30"/>
  <c r="Q55" i="30"/>
  <c r="P55" i="30"/>
  <c r="Q45" i="30"/>
  <c r="O53" i="30"/>
  <c r="O55" i="30"/>
  <c r="M55" i="30"/>
  <c r="Q51" i="30"/>
  <c r="O56" i="30"/>
  <c r="O57" i="30" s="1"/>
  <c r="P49" i="30"/>
  <c r="M49" i="30"/>
  <c r="O49" i="30"/>
  <c r="M47" i="30"/>
  <c r="N45" i="30"/>
  <c r="M51" i="30"/>
  <c r="M53" i="30"/>
  <c r="O50" i="45"/>
  <c r="P50" i="45"/>
  <c r="U56" i="44"/>
  <c r="S54" i="44"/>
  <c r="T46" i="44"/>
  <c r="M55" i="28"/>
  <c r="S46" i="44"/>
  <c r="N57" i="45"/>
  <c r="N58" i="45" s="1"/>
  <c r="O54" i="45"/>
  <c r="T46" i="45"/>
  <c r="U46" i="45"/>
  <c r="U54" i="45"/>
  <c r="U50" i="45"/>
  <c r="Q50" i="45"/>
  <c r="S46" i="45"/>
  <c r="Q48" i="45"/>
  <c r="R48" i="45"/>
  <c r="M52" i="45"/>
  <c r="M54" i="45"/>
  <c r="M56" i="45"/>
  <c r="T56" i="44"/>
  <c r="K57" i="44"/>
  <c r="K58" i="44" s="1"/>
  <c r="T54" i="44"/>
  <c r="N46" i="44"/>
  <c r="R56" i="44"/>
  <c r="L55" i="28"/>
  <c r="L59" i="28" s="1"/>
  <c r="Q64" i="44" s="1"/>
  <c r="Q65" i="44" s="1"/>
  <c r="M50" i="44"/>
  <c r="M52" i="44"/>
  <c r="R48" i="44"/>
  <c r="S52" i="44"/>
  <c r="S48" i="44"/>
  <c r="S50" i="44"/>
  <c r="O57" i="32"/>
  <c r="O58" i="32" s="1"/>
  <c r="N57" i="32"/>
  <c r="N58" i="32" s="1"/>
  <c r="N57" i="27"/>
  <c r="U55" i="27"/>
  <c r="P57" i="27"/>
  <c r="M61" i="27"/>
  <c r="R64" i="32" s="1"/>
  <c r="R65" i="32" s="1"/>
  <c r="T52" i="44"/>
  <c r="T48" i="44"/>
  <c r="U46" i="44"/>
  <c r="V50" i="44"/>
  <c r="V52" i="44"/>
  <c r="V46" i="44"/>
  <c r="V56" i="44"/>
  <c r="V48" i="44"/>
  <c r="P50" i="44"/>
  <c r="M54" i="44"/>
  <c r="M56" i="44"/>
  <c r="O50" i="44"/>
  <c r="N50" i="44"/>
  <c r="Q50" i="44"/>
  <c r="Q57" i="44"/>
  <c r="Q58" i="44" s="1"/>
  <c r="O48" i="44"/>
  <c r="O54" i="44"/>
  <c r="O46" i="44"/>
  <c r="O56" i="44"/>
  <c r="Q54" i="44"/>
  <c r="Q46" i="44"/>
  <c r="Q56" i="44"/>
  <c r="P52" i="44"/>
  <c r="P48" i="44"/>
  <c r="P46" i="44"/>
  <c r="P56" i="44"/>
  <c r="P54" i="44"/>
  <c r="N56" i="44"/>
  <c r="N52" i="44"/>
  <c r="N54" i="44"/>
  <c r="N48" i="44"/>
  <c r="Q56" i="32"/>
  <c r="Q48" i="32"/>
  <c r="O48" i="32"/>
  <c r="R54" i="32"/>
  <c r="P46" i="32"/>
  <c r="R56" i="32"/>
  <c r="O54" i="32"/>
  <c r="O52" i="32"/>
  <c r="O50" i="32"/>
  <c r="U54" i="32"/>
  <c r="U52" i="32"/>
  <c r="R52" i="32"/>
  <c r="O56" i="32"/>
  <c r="S46" i="32"/>
  <c r="Q57" i="32"/>
  <c r="Q58" i="32" s="1"/>
  <c r="R48" i="32"/>
  <c r="R50" i="32"/>
  <c r="R62" i="32"/>
  <c r="R57" i="32"/>
  <c r="R58" i="32" s="1"/>
  <c r="N56" i="30"/>
  <c r="N57" i="30" s="1"/>
  <c r="P61" i="30"/>
  <c r="P56" i="30"/>
  <c r="P57" i="30" s="1"/>
  <c r="P59" i="30"/>
  <c r="R56" i="31"/>
  <c r="N46" i="31"/>
  <c r="O52" i="31"/>
  <c r="V62" i="31"/>
  <c r="Q48" i="31"/>
  <c r="Q52" i="31"/>
  <c r="Q46" i="31"/>
  <c r="Q50" i="31"/>
  <c r="Q56" i="31"/>
  <c r="U46" i="31"/>
  <c r="U52" i="31"/>
  <c r="U50" i="31"/>
  <c r="U48" i="31"/>
  <c r="V46" i="31"/>
  <c r="U56" i="31"/>
  <c r="U62" i="31"/>
  <c r="Q59" i="30"/>
  <c r="Q56" i="30"/>
  <c r="Q57" i="30" s="1"/>
  <c r="Q61" i="30"/>
  <c r="K87" i="30"/>
  <c r="S57" i="45"/>
  <c r="S58" i="45" s="1"/>
  <c r="L57" i="44"/>
  <c r="L58" i="44" s="1"/>
  <c r="T57" i="44"/>
  <c r="T58" i="44" s="1"/>
  <c r="R57" i="44"/>
  <c r="R58" i="44" s="1"/>
  <c r="O57" i="27"/>
  <c r="T57" i="32"/>
  <c r="T58" i="32" s="1"/>
  <c r="K57" i="27"/>
  <c r="P57" i="32"/>
  <c r="P58" i="32" s="1"/>
  <c r="K48" i="31"/>
  <c r="K56" i="31"/>
  <c r="V56" i="31"/>
  <c r="O46" i="31"/>
  <c r="M56" i="31"/>
  <c r="N52" i="31"/>
  <c r="N56" i="31"/>
  <c r="T56" i="31"/>
  <c r="O54" i="31"/>
  <c r="T52" i="31"/>
  <c r="M48" i="31"/>
  <c r="L54" i="31"/>
  <c r="K54" i="31"/>
  <c r="T48" i="31"/>
  <c r="V52" i="31"/>
  <c r="T46" i="31"/>
  <c r="P46" i="31"/>
  <c r="L46" i="31"/>
  <c r="K52" i="31"/>
  <c r="O56" i="31"/>
  <c r="V48" i="31"/>
  <c r="M46" i="31"/>
  <c r="M52" i="31"/>
  <c r="O50" i="31"/>
  <c r="M62" i="31"/>
  <c r="T54" i="31"/>
  <c r="N50" i="31"/>
  <c r="K50" i="31"/>
  <c r="N48" i="31"/>
  <c r="V54" i="31"/>
  <c r="L57" i="32"/>
  <c r="L58" i="32" s="1"/>
  <c r="M59" i="30"/>
  <c r="M56" i="30"/>
  <c r="M57" i="30" s="1"/>
  <c r="P57" i="45"/>
  <c r="P58" i="45" s="1"/>
  <c r="K56" i="45"/>
  <c r="P46" i="45"/>
  <c r="N46" i="45"/>
  <c r="N54" i="45"/>
  <c r="N52" i="45"/>
  <c r="K54" i="45"/>
  <c r="S48" i="45"/>
  <c r="N50" i="45"/>
  <c r="K48" i="45"/>
  <c r="L50" i="45"/>
  <c r="O46" i="45"/>
  <c r="K50" i="45"/>
  <c r="M46" i="45"/>
  <c r="Q52" i="45"/>
  <c r="Q54" i="45"/>
  <c r="Q56" i="45"/>
  <c r="P48" i="45"/>
  <c r="L54" i="45"/>
  <c r="M57" i="45"/>
  <c r="M58" i="45" s="1"/>
  <c r="R57" i="45"/>
  <c r="R58" i="45" s="1"/>
  <c r="Q46" i="45"/>
  <c r="S54" i="45"/>
  <c r="P56" i="45"/>
  <c r="V54" i="45"/>
  <c r="U57" i="45"/>
  <c r="U58" i="45" s="1"/>
  <c r="R52" i="45"/>
  <c r="R54" i="45"/>
  <c r="R46" i="45"/>
  <c r="N48" i="45"/>
  <c r="O57" i="45"/>
  <c r="O58" i="45" s="1"/>
  <c r="L46" i="45"/>
  <c r="L48" i="45"/>
  <c r="L52" i="45"/>
  <c r="L57" i="45"/>
  <c r="L58" i="45" s="1"/>
  <c r="S52" i="45"/>
  <c r="P54" i="45"/>
  <c r="N56" i="45"/>
  <c r="R50" i="45"/>
  <c r="T56" i="45"/>
  <c r="T54" i="45"/>
  <c r="T48" i="45"/>
  <c r="T57" i="45"/>
  <c r="T58" i="45" s="1"/>
  <c r="T50" i="45"/>
  <c r="V48" i="45"/>
  <c r="V46" i="45"/>
  <c r="U56" i="45"/>
  <c r="V50" i="45"/>
  <c r="V56" i="45"/>
  <c r="V52" i="45"/>
  <c r="I31" i="25"/>
  <c r="G47" i="37"/>
  <c r="K62" i="31"/>
  <c r="N59" i="28" l="1"/>
  <c r="S63" i="45"/>
  <c r="S63" i="44"/>
  <c r="T63" i="32"/>
  <c r="I15" i="24"/>
  <c r="I47" i="24" s="1"/>
  <c r="M60" i="30"/>
  <c r="J27" i="25"/>
  <c r="I58" i="23"/>
  <c r="T63" i="45"/>
  <c r="M17" i="38"/>
  <c r="M49" i="38" s="1"/>
  <c r="I16" i="25"/>
  <c r="J16" i="25" s="1"/>
  <c r="M17" i="37"/>
  <c r="U63" i="32"/>
  <c r="O61" i="27"/>
  <c r="T64" i="32" s="1"/>
  <c r="T65" i="32" s="1"/>
  <c r="L63" i="32"/>
  <c r="V63" i="32"/>
  <c r="G63" i="31" s="1"/>
  <c r="J17" i="37"/>
  <c r="J49" i="37" s="1"/>
  <c r="J61" i="27"/>
  <c r="O64" i="32" s="1"/>
  <c r="O65" i="32" s="1"/>
  <c r="O63" i="32"/>
  <c r="R63" i="32"/>
  <c r="I17" i="37"/>
  <c r="I49" i="37" s="1"/>
  <c r="H24" i="41" s="1"/>
  <c r="H25" i="41" s="1"/>
  <c r="M91" i="32" s="1"/>
  <c r="K63" i="32"/>
  <c r="F61" i="27"/>
  <c r="U60" i="27"/>
  <c r="U50" i="38"/>
  <c r="U55" i="38" s="1"/>
  <c r="V17" i="39"/>
  <c r="BB49" i="2"/>
  <c r="T63" i="44"/>
  <c r="O59" i="28"/>
  <c r="H17" i="38"/>
  <c r="H49" i="38" s="1"/>
  <c r="G24" i="42" s="1"/>
  <c r="G25" i="42" s="1"/>
  <c r="L91" i="44" s="1"/>
  <c r="R63" i="44"/>
  <c r="Q59" i="28"/>
  <c r="V64" i="44" s="1"/>
  <c r="V65" i="44" s="1"/>
  <c r="R63" i="45"/>
  <c r="V63" i="45"/>
  <c r="I63" i="32" s="1"/>
  <c r="V63" i="44"/>
  <c r="H63" i="31" s="1"/>
  <c r="G59" i="28"/>
  <c r="V62" i="44"/>
  <c r="H61" i="30" s="1"/>
  <c r="O17" i="37"/>
  <c r="O19" i="37" s="1"/>
  <c r="Q62" i="32"/>
  <c r="M62" i="32"/>
  <c r="G61" i="27"/>
  <c r="L64" i="32" s="1"/>
  <c r="L65" i="32" s="1"/>
  <c r="P63" i="32"/>
  <c r="O62" i="32"/>
  <c r="V62" i="32"/>
  <c r="G62" i="32" s="1"/>
  <c r="L61" i="27"/>
  <c r="Q64" i="32" s="1"/>
  <c r="Q65" i="32" s="1"/>
  <c r="K61" i="27"/>
  <c r="P64" i="32" s="1"/>
  <c r="P65" i="32" s="1"/>
  <c r="T50" i="37"/>
  <c r="T54" i="37" s="1"/>
  <c r="S60" i="23"/>
  <c r="T16" i="24" s="1"/>
  <c r="M17" i="33"/>
  <c r="Q63" i="31"/>
  <c r="J49" i="33"/>
  <c r="H49" i="33"/>
  <c r="G24" i="40" s="1"/>
  <c r="G25" i="40" s="1"/>
  <c r="L91" i="31" s="1"/>
  <c r="L17" i="33"/>
  <c r="P63" i="31"/>
  <c r="N49" i="33"/>
  <c r="T60" i="23"/>
  <c r="U16" i="24" s="1"/>
  <c r="F63" i="44"/>
  <c r="F63" i="31"/>
  <c r="F63" i="32"/>
  <c r="F63" i="45"/>
  <c r="F62" i="30"/>
  <c r="Q49" i="33"/>
  <c r="K49" i="33"/>
  <c r="R49" i="33"/>
  <c r="U61" i="26"/>
  <c r="P17" i="33"/>
  <c r="T63" i="31"/>
  <c r="R60" i="23"/>
  <c r="S16" i="24" s="1"/>
  <c r="I49" i="33"/>
  <c r="H24" i="40" s="1"/>
  <c r="H25" i="40" s="1"/>
  <c r="M91" i="31" s="1"/>
  <c r="O49" i="33"/>
  <c r="G49" i="33"/>
  <c r="F24" i="40" s="1"/>
  <c r="F25" i="40" s="1"/>
  <c r="L16" i="24"/>
  <c r="P62" i="30"/>
  <c r="K16" i="24"/>
  <c r="O62" i="30"/>
  <c r="K61" i="23"/>
  <c r="P63" i="30" s="1"/>
  <c r="P64" i="30" s="1"/>
  <c r="M16" i="24"/>
  <c r="Q62" i="30"/>
  <c r="I16" i="24"/>
  <c r="M62" i="30"/>
  <c r="J16" i="24"/>
  <c r="N62" i="30"/>
  <c r="R48" i="39"/>
  <c r="R18" i="39"/>
  <c r="Q48" i="39"/>
  <c r="Q18" i="39"/>
  <c r="P48" i="39"/>
  <c r="P18" i="39"/>
  <c r="O48" i="39"/>
  <c r="O18" i="39"/>
  <c r="N48" i="39"/>
  <c r="N18" i="39"/>
  <c r="M48" i="39"/>
  <c r="M18" i="39"/>
  <c r="L48" i="39"/>
  <c r="L18" i="39"/>
  <c r="K48" i="39"/>
  <c r="K18" i="39"/>
  <c r="J48" i="39"/>
  <c r="J18" i="39"/>
  <c r="I48" i="39"/>
  <c r="I18" i="39"/>
  <c r="H48" i="39"/>
  <c r="H18" i="39"/>
  <c r="T50" i="38"/>
  <c r="T57" i="38" s="1"/>
  <c r="S49" i="38"/>
  <c r="R24" i="42" s="1"/>
  <c r="R25" i="42" s="1"/>
  <c r="S19" i="38"/>
  <c r="G16" i="39"/>
  <c r="K63" i="45"/>
  <c r="U58" i="29"/>
  <c r="S50" i="37"/>
  <c r="S55" i="37" s="1"/>
  <c r="U50" i="37"/>
  <c r="R49" i="38"/>
  <c r="R19" i="38"/>
  <c r="U62" i="44"/>
  <c r="P58" i="28"/>
  <c r="O49" i="38"/>
  <c r="O19" i="38"/>
  <c r="P49" i="38"/>
  <c r="P19" i="38"/>
  <c r="N49" i="38"/>
  <c r="N19" i="38"/>
  <c r="P62" i="44"/>
  <c r="K58" i="28"/>
  <c r="K59" i="28" s="1"/>
  <c r="P64" i="44" s="1"/>
  <c r="P65" i="44" s="1"/>
  <c r="J58" i="28"/>
  <c r="N62" i="44"/>
  <c r="I58" i="28"/>
  <c r="I59" i="28" s="1"/>
  <c r="N64" i="44" s="1"/>
  <c r="N65" i="44" s="1"/>
  <c r="M62" i="44"/>
  <c r="H58" i="28"/>
  <c r="G17" i="38"/>
  <c r="K63" i="44"/>
  <c r="R49" i="37"/>
  <c r="R19" i="37"/>
  <c r="Q49" i="37"/>
  <c r="Q19" i="37"/>
  <c r="P49" i="37"/>
  <c r="P19" i="37"/>
  <c r="N49" i="37"/>
  <c r="L49" i="37"/>
  <c r="K49" i="37"/>
  <c r="H49" i="37"/>
  <c r="G24" i="41" s="1"/>
  <c r="G25" i="41" s="1"/>
  <c r="L91" i="32" s="1"/>
  <c r="G49" i="37"/>
  <c r="F24" i="41" s="1"/>
  <c r="F25" i="41" s="1"/>
  <c r="I46" i="31"/>
  <c r="I46" i="45"/>
  <c r="I45" i="30"/>
  <c r="I46" i="32"/>
  <c r="I46" i="44"/>
  <c r="I48" i="32"/>
  <c r="I48" i="31"/>
  <c r="I48" i="45"/>
  <c r="I48" i="44"/>
  <c r="I47" i="30"/>
  <c r="I52" i="32"/>
  <c r="I51" i="30"/>
  <c r="I52" i="44"/>
  <c r="I52" i="31"/>
  <c r="I52" i="45"/>
  <c r="I56" i="32"/>
  <c r="I56" i="31"/>
  <c r="I56" i="44"/>
  <c r="I56" i="45"/>
  <c r="I55" i="30"/>
  <c r="I49" i="30"/>
  <c r="I50" i="44"/>
  <c r="I50" i="31"/>
  <c r="I50" i="45"/>
  <c r="I50" i="32"/>
  <c r="I54" i="45"/>
  <c r="I53" i="30"/>
  <c r="I54" i="32"/>
  <c r="I54" i="44"/>
  <c r="I54" i="31"/>
  <c r="V58" i="45"/>
  <c r="I56" i="30"/>
  <c r="I57" i="44"/>
  <c r="I57" i="31"/>
  <c r="I57" i="45"/>
  <c r="I57" i="32"/>
  <c r="I60" i="32"/>
  <c r="I59" i="30"/>
  <c r="I60" i="44"/>
  <c r="I60" i="31"/>
  <c r="I60" i="45"/>
  <c r="H55" i="30"/>
  <c r="H56" i="44"/>
  <c r="H56" i="31"/>
  <c r="H56" i="45"/>
  <c r="H56" i="32"/>
  <c r="H46" i="44"/>
  <c r="H46" i="31"/>
  <c r="H46" i="45"/>
  <c r="H46" i="32"/>
  <c r="H45" i="30"/>
  <c r="V58" i="44"/>
  <c r="H57" i="32"/>
  <c r="H56" i="30"/>
  <c r="H57" i="45"/>
  <c r="H57" i="44"/>
  <c r="H57" i="31"/>
  <c r="H52" i="45"/>
  <c r="H52" i="31"/>
  <c r="H52" i="32"/>
  <c r="H51" i="30"/>
  <c r="H52" i="44"/>
  <c r="H62" i="31"/>
  <c r="H62" i="44"/>
  <c r="H62" i="45"/>
  <c r="H62" i="32"/>
  <c r="H53" i="30"/>
  <c r="H54" i="31"/>
  <c r="H54" i="45"/>
  <c r="H54" i="32"/>
  <c r="H54" i="44"/>
  <c r="H50" i="32"/>
  <c r="H50" i="45"/>
  <c r="H49" i="30"/>
  <c r="H50" i="44"/>
  <c r="H50" i="31"/>
  <c r="H64" i="45"/>
  <c r="H47" i="30"/>
  <c r="H48" i="44"/>
  <c r="H48" i="32"/>
  <c r="H48" i="31"/>
  <c r="H48" i="45"/>
  <c r="G47" i="30"/>
  <c r="G48" i="44"/>
  <c r="G48" i="31"/>
  <c r="G48" i="45"/>
  <c r="G48" i="32"/>
  <c r="G60" i="31"/>
  <c r="G60" i="45"/>
  <c r="G60" i="32"/>
  <c r="G59" i="30"/>
  <c r="G60" i="44"/>
  <c r="V58" i="32"/>
  <c r="G57" i="32"/>
  <c r="G56" i="30"/>
  <c r="G57" i="44"/>
  <c r="G57" i="31"/>
  <c r="G57" i="45"/>
  <c r="G50" i="32"/>
  <c r="G49" i="30"/>
  <c r="G50" i="44"/>
  <c r="G50" i="31"/>
  <c r="G50" i="45"/>
  <c r="G46" i="44"/>
  <c r="G46" i="31"/>
  <c r="G46" i="45"/>
  <c r="G46" i="32"/>
  <c r="G45" i="30"/>
  <c r="G55" i="30"/>
  <c r="G56" i="44"/>
  <c r="G56" i="31"/>
  <c r="G56" i="32"/>
  <c r="G56" i="45"/>
  <c r="G54" i="44"/>
  <c r="G54" i="31"/>
  <c r="G54" i="45"/>
  <c r="G54" i="32"/>
  <c r="G53" i="30"/>
  <c r="G52" i="31"/>
  <c r="G52" i="45"/>
  <c r="G52" i="32"/>
  <c r="G51" i="30"/>
  <c r="G52" i="44"/>
  <c r="F53" i="30"/>
  <c r="F54" i="44"/>
  <c r="F54" i="31"/>
  <c r="F54" i="45"/>
  <c r="F54" i="32"/>
  <c r="F52" i="45"/>
  <c r="F52" i="32"/>
  <c r="F52" i="44"/>
  <c r="F51" i="30"/>
  <c r="F52" i="31"/>
  <c r="F45" i="30"/>
  <c r="F46" i="44"/>
  <c r="F46" i="31"/>
  <c r="F46" i="45"/>
  <c r="F46" i="32"/>
  <c r="F56" i="32"/>
  <c r="F56" i="44"/>
  <c r="F55" i="30"/>
  <c r="F56" i="31"/>
  <c r="F56" i="45"/>
  <c r="F48" i="32"/>
  <c r="F48" i="44"/>
  <c r="F47" i="30"/>
  <c r="F48" i="31"/>
  <c r="F48" i="45"/>
  <c r="F50" i="45"/>
  <c r="F50" i="32"/>
  <c r="F50" i="31"/>
  <c r="F49" i="30"/>
  <c r="F50" i="44"/>
  <c r="F61" i="30"/>
  <c r="F62" i="44"/>
  <c r="F62" i="31"/>
  <c r="F62" i="45"/>
  <c r="F62" i="32"/>
  <c r="V65" i="31"/>
  <c r="F64" i="32"/>
  <c r="F64" i="44"/>
  <c r="F64" i="31"/>
  <c r="F64" i="45"/>
  <c r="F63" i="30"/>
  <c r="K60" i="32"/>
  <c r="P31" i="3"/>
  <c r="L31" i="3"/>
  <c r="G11" i="24"/>
  <c r="U60" i="26"/>
  <c r="K60" i="31"/>
  <c r="P62" i="31"/>
  <c r="O62" i="44"/>
  <c r="U55" i="29"/>
  <c r="U57" i="29"/>
  <c r="K60" i="45"/>
  <c r="R59" i="28"/>
  <c r="V60" i="44"/>
  <c r="H59" i="28"/>
  <c r="M64" i="44" s="1"/>
  <c r="M65" i="44" s="1"/>
  <c r="N29" i="3"/>
  <c r="P59" i="28"/>
  <c r="U64" i="44" s="1"/>
  <c r="U65" i="44" s="1"/>
  <c r="F59" i="28"/>
  <c r="L29" i="3"/>
  <c r="K62" i="26"/>
  <c r="P64" i="31" s="1"/>
  <c r="P65" i="31" s="1"/>
  <c r="J29" i="3"/>
  <c r="O62" i="26"/>
  <c r="T64" i="31" s="1"/>
  <c r="T65" i="31" s="1"/>
  <c r="L62" i="26"/>
  <c r="U60" i="45"/>
  <c r="L59" i="29"/>
  <c r="Q64" i="45" s="1"/>
  <c r="Q65" i="45" s="1"/>
  <c r="Q62" i="45"/>
  <c r="S60" i="45"/>
  <c r="P59" i="29"/>
  <c r="U64" i="45" s="1"/>
  <c r="U65" i="45" s="1"/>
  <c r="U62" i="45"/>
  <c r="N59" i="29"/>
  <c r="S64" i="45" s="1"/>
  <c r="S65" i="45" s="1"/>
  <c r="S62" i="45"/>
  <c r="U53" i="28"/>
  <c r="S57" i="44"/>
  <c r="S58" i="44" s="1"/>
  <c r="H61" i="27"/>
  <c r="M64" i="32" s="1"/>
  <c r="M65" i="32" s="1"/>
  <c r="M60" i="32"/>
  <c r="U55" i="28"/>
  <c r="Q60" i="44"/>
  <c r="Q62" i="44"/>
  <c r="Q61" i="27"/>
  <c r="V64" i="32" s="1"/>
  <c r="S60" i="32"/>
  <c r="U60" i="32"/>
  <c r="U57" i="27"/>
  <c r="I61" i="27"/>
  <c r="N64" i="32" s="1"/>
  <c r="N65" i="32" s="1"/>
  <c r="N62" i="32"/>
  <c r="U58" i="26"/>
  <c r="L60" i="44"/>
  <c r="R60" i="44"/>
  <c r="T60" i="44"/>
  <c r="S60" i="44"/>
  <c r="P60" i="32"/>
  <c r="T60" i="32"/>
  <c r="L60" i="32"/>
  <c r="G59" i="29"/>
  <c r="L60" i="45"/>
  <c r="H59" i="29"/>
  <c r="M60" i="45"/>
  <c r="M59" i="29"/>
  <c r="R60" i="45"/>
  <c r="J59" i="29"/>
  <c r="O60" i="45"/>
  <c r="K59" i="29"/>
  <c r="P60" i="45"/>
  <c r="O59" i="29"/>
  <c r="T60" i="45"/>
  <c r="T62" i="32"/>
  <c r="L62" i="32"/>
  <c r="P62" i="32"/>
  <c r="J31" i="25"/>
  <c r="Q62" i="31"/>
  <c r="T62" i="31"/>
  <c r="I18" i="25"/>
  <c r="I19" i="25" s="1"/>
  <c r="K62" i="44"/>
  <c r="K62" i="32"/>
  <c r="H62" i="30" l="1"/>
  <c r="H64" i="31"/>
  <c r="U54" i="38"/>
  <c r="M19" i="38"/>
  <c r="G62" i="31"/>
  <c r="J15" i="24"/>
  <c r="J47" i="24" s="1"/>
  <c r="N60" i="30"/>
  <c r="K27" i="25"/>
  <c r="K31" i="25" s="1"/>
  <c r="J58" i="23"/>
  <c r="O90" i="30"/>
  <c r="H64" i="32"/>
  <c r="H63" i="30"/>
  <c r="I63" i="44"/>
  <c r="I63" i="31"/>
  <c r="I63" i="45"/>
  <c r="I62" i="30"/>
  <c r="H19" i="38"/>
  <c r="AP50" i="2" s="1"/>
  <c r="U57" i="38"/>
  <c r="G63" i="32"/>
  <c r="G62" i="30"/>
  <c r="G63" i="44"/>
  <c r="G61" i="30"/>
  <c r="M49" i="37"/>
  <c r="O49" i="37"/>
  <c r="N24" i="41" s="1"/>
  <c r="N25" i="41" s="1"/>
  <c r="S91" i="32" s="1"/>
  <c r="G63" i="45"/>
  <c r="G62" i="45"/>
  <c r="G62" i="44"/>
  <c r="Q19" i="39"/>
  <c r="U8" i="45" s="1"/>
  <c r="BK50" i="2"/>
  <c r="R19" i="39"/>
  <c r="R52" i="39" s="1"/>
  <c r="BL50" i="2"/>
  <c r="I19" i="39"/>
  <c r="M16" i="45" s="1"/>
  <c r="BC50" i="2"/>
  <c r="J19" i="39"/>
  <c r="J20" i="39" s="1"/>
  <c r="BD50" i="2"/>
  <c r="K19" i="39"/>
  <c r="K40" i="39" s="1"/>
  <c r="BE50" i="2"/>
  <c r="O19" i="39"/>
  <c r="O40" i="39" s="1"/>
  <c r="BI50" i="2"/>
  <c r="N19" i="39"/>
  <c r="N40" i="39" s="1"/>
  <c r="BH50" i="2"/>
  <c r="M19" i="39"/>
  <c r="Q16" i="45" s="1"/>
  <c r="BG50" i="2"/>
  <c r="H19" i="39"/>
  <c r="H52" i="39" s="1"/>
  <c r="BB50" i="2"/>
  <c r="L19" i="39"/>
  <c r="P8" i="45" s="1"/>
  <c r="BF50" i="2"/>
  <c r="P19" i="39"/>
  <c r="T8" i="45" s="1"/>
  <c r="BJ50" i="2"/>
  <c r="H64" i="44"/>
  <c r="O20" i="38"/>
  <c r="O53" i="38" s="1"/>
  <c r="AW50" i="2"/>
  <c r="H63" i="45"/>
  <c r="S54" i="37"/>
  <c r="M20" i="38"/>
  <c r="Q8" i="44" s="1"/>
  <c r="AU50" i="2"/>
  <c r="H63" i="44"/>
  <c r="N20" i="38"/>
  <c r="R16" i="44" s="1"/>
  <c r="AV50" i="2"/>
  <c r="R20" i="38"/>
  <c r="R21" i="38" s="1"/>
  <c r="AZ50" i="2"/>
  <c r="H63" i="32"/>
  <c r="P20" i="38"/>
  <c r="T8" i="44" s="1"/>
  <c r="AX50" i="2"/>
  <c r="O20" i="37"/>
  <c r="O41" i="37" s="1"/>
  <c r="AK50" i="2"/>
  <c r="R20" i="37"/>
  <c r="R21" i="37" s="1"/>
  <c r="AN50" i="2"/>
  <c r="Q20" i="37"/>
  <c r="U8" i="32" s="1"/>
  <c r="AM50" i="2"/>
  <c r="P20" i="37"/>
  <c r="P21" i="37" s="1"/>
  <c r="AL50" i="2"/>
  <c r="F22" i="23"/>
  <c r="K48" i="30" s="1"/>
  <c r="E42" i="2"/>
  <c r="S50" i="38"/>
  <c r="S54" i="38" s="1"/>
  <c r="S57" i="37"/>
  <c r="T57" i="37"/>
  <c r="T55" i="37"/>
  <c r="S48" i="24"/>
  <c r="R24" i="25" s="1"/>
  <c r="R25" i="25" s="1"/>
  <c r="J24" i="40"/>
  <c r="J25" i="40" s="1"/>
  <c r="O91" i="31" s="1"/>
  <c r="U48" i="24"/>
  <c r="T24" i="25" s="1"/>
  <c r="T25" i="25" s="1"/>
  <c r="N24" i="40"/>
  <c r="N25" i="40" s="1"/>
  <c r="S91" i="31" s="1"/>
  <c r="R61" i="23"/>
  <c r="T61" i="23"/>
  <c r="I24" i="40"/>
  <c r="I25" i="40" s="1"/>
  <c r="N91" i="31" s="1"/>
  <c r="P24" i="40"/>
  <c r="P25" i="40" s="1"/>
  <c r="U91" i="31" s="1"/>
  <c r="L49" i="33"/>
  <c r="Q24" i="40"/>
  <c r="Q25" i="40" s="1"/>
  <c r="V91" i="31" s="1"/>
  <c r="P49" i="33"/>
  <c r="M24" i="40"/>
  <c r="M25" i="40" s="1"/>
  <c r="R91" i="31" s="1"/>
  <c r="M49" i="33"/>
  <c r="T48" i="24"/>
  <c r="S24" i="25" s="1"/>
  <c r="S25" i="25" s="1"/>
  <c r="S61" i="23"/>
  <c r="M48" i="24"/>
  <c r="J48" i="24"/>
  <c r="J18" i="24"/>
  <c r="K48" i="24"/>
  <c r="I48" i="24"/>
  <c r="I18" i="24"/>
  <c r="L48" i="24"/>
  <c r="T55" i="38"/>
  <c r="Q24" i="43"/>
  <c r="R49" i="39"/>
  <c r="P24" i="43"/>
  <c r="Q49" i="39"/>
  <c r="P52" i="39"/>
  <c r="P20" i="39"/>
  <c r="O24" i="43"/>
  <c r="P49" i="39"/>
  <c r="N24" i="43"/>
  <c r="O49" i="39"/>
  <c r="R16" i="45"/>
  <c r="M24" i="43"/>
  <c r="M25" i="43" s="1"/>
  <c r="R91" i="45" s="1"/>
  <c r="N49" i="39"/>
  <c r="L24" i="43"/>
  <c r="L25" i="43" s="1"/>
  <c r="Q91" i="45" s="1"/>
  <c r="M49" i="39"/>
  <c r="K24" i="43"/>
  <c r="K25" i="43" s="1"/>
  <c r="P91" i="45" s="1"/>
  <c r="L49" i="39"/>
  <c r="J24" i="43"/>
  <c r="J25" i="43" s="1"/>
  <c r="O91" i="45" s="1"/>
  <c r="K49" i="39"/>
  <c r="I24" i="43"/>
  <c r="I25" i="43" s="1"/>
  <c r="N91" i="45" s="1"/>
  <c r="J49" i="39"/>
  <c r="H24" i="43"/>
  <c r="H25" i="43" s="1"/>
  <c r="M91" i="45" s="1"/>
  <c r="I49" i="39"/>
  <c r="T54" i="38"/>
  <c r="G24" i="43"/>
  <c r="G25" i="43" s="1"/>
  <c r="L91" i="45" s="1"/>
  <c r="H49" i="39"/>
  <c r="P32" i="3"/>
  <c r="G48" i="39"/>
  <c r="G18" i="39"/>
  <c r="BA50" i="2" s="1"/>
  <c r="U57" i="37"/>
  <c r="U54" i="37"/>
  <c r="U55" i="37"/>
  <c r="R53" i="38"/>
  <c r="Q24" i="42"/>
  <c r="Q25" i="42" s="1"/>
  <c r="V91" i="44" s="1"/>
  <c r="R50" i="38"/>
  <c r="N24" i="42"/>
  <c r="N25" i="42" s="1"/>
  <c r="S91" i="44" s="1"/>
  <c r="O50" i="38"/>
  <c r="Q17" i="38"/>
  <c r="U63" i="44"/>
  <c r="U63" i="45"/>
  <c r="U58" i="28"/>
  <c r="N32" i="3" s="1"/>
  <c r="O24" i="42"/>
  <c r="O25" i="42" s="1"/>
  <c r="T91" i="44" s="1"/>
  <c r="P50" i="38"/>
  <c r="S8" i="44"/>
  <c r="M24" i="42"/>
  <c r="M25" i="42" s="1"/>
  <c r="R91" i="44" s="1"/>
  <c r="N50" i="38"/>
  <c r="Q16" i="44"/>
  <c r="L24" i="42"/>
  <c r="L25" i="42" s="1"/>
  <c r="Q91" i="44" s="1"/>
  <c r="M50" i="38"/>
  <c r="L17" i="38"/>
  <c r="P63" i="45"/>
  <c r="P63" i="44"/>
  <c r="K17" i="38"/>
  <c r="O63" i="45"/>
  <c r="O63" i="44"/>
  <c r="J59" i="28"/>
  <c r="O64" i="44" s="1"/>
  <c r="O65" i="44" s="1"/>
  <c r="J17" i="38"/>
  <c r="N63" i="45"/>
  <c r="N63" i="44"/>
  <c r="I17" i="38"/>
  <c r="M63" i="45"/>
  <c r="M63" i="44"/>
  <c r="H50" i="38"/>
  <c r="G49" i="38"/>
  <c r="G19" i="38"/>
  <c r="AO50" i="2" s="1"/>
  <c r="Q24" i="41"/>
  <c r="Q25" i="41" s="1"/>
  <c r="V91" i="32" s="1"/>
  <c r="R50" i="37"/>
  <c r="P24" i="41"/>
  <c r="P25" i="41" s="1"/>
  <c r="U91" i="32" s="1"/>
  <c r="Q50" i="37"/>
  <c r="O24" i="41"/>
  <c r="O25" i="41" s="1"/>
  <c r="T91" i="32" s="1"/>
  <c r="P50" i="37"/>
  <c r="M24" i="41"/>
  <c r="M25" i="41" s="1"/>
  <c r="R91" i="32" s="1"/>
  <c r="K24" i="41"/>
  <c r="K25" i="41" s="1"/>
  <c r="P91" i="32" s="1"/>
  <c r="J24" i="41"/>
  <c r="J25" i="41" s="1"/>
  <c r="O91" i="32" s="1"/>
  <c r="I24" i="41"/>
  <c r="I25" i="41" s="1"/>
  <c r="N91" i="32" s="1"/>
  <c r="K91" i="32"/>
  <c r="I57" i="30"/>
  <c r="I58" i="44"/>
  <c r="I58" i="45"/>
  <c r="I58" i="31"/>
  <c r="I58" i="32"/>
  <c r="H65" i="45"/>
  <c r="H65" i="32"/>
  <c r="H64" i="30"/>
  <c r="H65" i="44"/>
  <c r="H65" i="31"/>
  <c r="H58" i="32"/>
  <c r="H57" i="30"/>
  <c r="H58" i="44"/>
  <c r="H58" i="31"/>
  <c r="H58" i="45"/>
  <c r="H60" i="45"/>
  <c r="H60" i="31"/>
  <c r="H60" i="32"/>
  <c r="H59" i="30"/>
  <c r="H60" i="44"/>
  <c r="V65" i="32"/>
  <c r="G63" i="30"/>
  <c r="G64" i="44"/>
  <c r="G64" i="31"/>
  <c r="G64" i="45"/>
  <c r="G64" i="32"/>
  <c r="G58" i="32"/>
  <c r="G57" i="30"/>
  <c r="G58" i="44"/>
  <c r="G58" i="45"/>
  <c r="G58" i="31"/>
  <c r="F65" i="32"/>
  <c r="F64" i="30"/>
  <c r="F65" i="44"/>
  <c r="F65" i="31"/>
  <c r="F65" i="45"/>
  <c r="K44" i="30"/>
  <c r="K47" i="30" s="1"/>
  <c r="F55" i="23"/>
  <c r="F57" i="23" s="1"/>
  <c r="F59" i="23"/>
  <c r="J33" i="3"/>
  <c r="G44" i="24"/>
  <c r="G46" i="24" s="1"/>
  <c r="K5" i="30"/>
  <c r="G17" i="24"/>
  <c r="E49" i="2" s="1"/>
  <c r="N31" i="3"/>
  <c r="Q59" i="29"/>
  <c r="V64" i="45" s="1"/>
  <c r="V62" i="45"/>
  <c r="I59" i="29"/>
  <c r="N64" i="45" s="1"/>
  <c r="N65" i="45" s="1"/>
  <c r="N62" i="45"/>
  <c r="K62" i="45"/>
  <c r="F59" i="29"/>
  <c r="M59" i="28"/>
  <c r="U57" i="28"/>
  <c r="N61" i="27"/>
  <c r="S64" i="32" s="1"/>
  <c r="S65" i="32" s="1"/>
  <c r="S62" i="32"/>
  <c r="P61" i="27"/>
  <c r="U62" i="32"/>
  <c r="U59" i="27"/>
  <c r="U56" i="26"/>
  <c r="K57" i="31"/>
  <c r="K58" i="31" s="1"/>
  <c r="Q64" i="31"/>
  <c r="Q65" i="31" s="1"/>
  <c r="N87" i="30"/>
  <c r="R62" i="44"/>
  <c r="S64" i="44"/>
  <c r="S65" i="44" s="1"/>
  <c r="S62" i="44"/>
  <c r="L64" i="44"/>
  <c r="L65" i="44" s="1"/>
  <c r="L62" i="44"/>
  <c r="T64" i="44"/>
  <c r="T65" i="44" s="1"/>
  <c r="T62" i="44"/>
  <c r="S64" i="31"/>
  <c r="S65" i="31" s="1"/>
  <c r="S62" i="31"/>
  <c r="L64" i="45"/>
  <c r="L65" i="45" s="1"/>
  <c r="L62" i="45"/>
  <c r="O64" i="45"/>
  <c r="O65" i="45" s="1"/>
  <c r="O62" i="45"/>
  <c r="R64" i="45"/>
  <c r="R65" i="45" s="1"/>
  <c r="R62" i="45"/>
  <c r="P64" i="45"/>
  <c r="P65" i="45" s="1"/>
  <c r="P62" i="45"/>
  <c r="M64" i="45"/>
  <c r="M65" i="45" s="1"/>
  <c r="M62" i="45"/>
  <c r="T64" i="45"/>
  <c r="T65" i="45" s="1"/>
  <c r="T62" i="45"/>
  <c r="K64" i="31"/>
  <c r="K65" i="31" s="1"/>
  <c r="K16" i="25"/>
  <c r="J18" i="25"/>
  <c r="J19" i="25" s="1"/>
  <c r="P33" i="3"/>
  <c r="R8" i="45" l="1"/>
  <c r="J40" i="39"/>
  <c r="BD51" i="2" s="1"/>
  <c r="N16" i="45"/>
  <c r="J52" i="39"/>
  <c r="N8" i="45"/>
  <c r="M40" i="39"/>
  <c r="I52" i="39"/>
  <c r="H20" i="38"/>
  <c r="L8" i="44" s="1"/>
  <c r="L16" i="44"/>
  <c r="O41" i="38"/>
  <c r="S17" i="44" s="1"/>
  <c r="S16" i="44"/>
  <c r="O21" i="38"/>
  <c r="P53" i="38"/>
  <c r="H21" i="38"/>
  <c r="T21" i="37" s="1"/>
  <c r="K15" i="24"/>
  <c r="O60" i="30"/>
  <c r="L27" i="25"/>
  <c r="K58" i="23"/>
  <c r="P90" i="30"/>
  <c r="P16" i="45"/>
  <c r="Q8" i="45"/>
  <c r="M52" i="39"/>
  <c r="I20" i="39"/>
  <c r="U21" i="38" s="1"/>
  <c r="P40" i="39"/>
  <c r="T17" i="45" s="1"/>
  <c r="N52" i="39"/>
  <c r="I40" i="39"/>
  <c r="M17" i="45" s="1"/>
  <c r="N20" i="39"/>
  <c r="T16" i="45"/>
  <c r="U20" i="38"/>
  <c r="U41" i="38" s="1"/>
  <c r="M8" i="45"/>
  <c r="O16" i="45"/>
  <c r="H40" i="39"/>
  <c r="L17" i="45" s="1"/>
  <c r="M20" i="39"/>
  <c r="V16" i="44"/>
  <c r="H16" i="44" s="1"/>
  <c r="V8" i="44"/>
  <c r="H8" i="44" s="1"/>
  <c r="T20" i="37"/>
  <c r="T41" i="37" s="1"/>
  <c r="H53" i="38"/>
  <c r="N21" i="38"/>
  <c r="N53" i="38"/>
  <c r="N41" i="38"/>
  <c r="AV51" i="2" s="1"/>
  <c r="R8" i="44"/>
  <c r="R20" i="39"/>
  <c r="O20" i="39"/>
  <c r="R40" i="39"/>
  <c r="BL51" i="2" s="1"/>
  <c r="L40" i="39"/>
  <c r="BF51" i="2" s="1"/>
  <c r="S16" i="45"/>
  <c r="S55" i="38"/>
  <c r="S8" i="45"/>
  <c r="S57" i="38"/>
  <c r="L20" i="39"/>
  <c r="O50" i="37"/>
  <c r="O55" i="37" s="1"/>
  <c r="L24" i="41"/>
  <c r="L25" i="41" s="1"/>
  <c r="Q91" i="32" s="1"/>
  <c r="O21" i="37"/>
  <c r="V8" i="32"/>
  <c r="G8" i="31" s="1"/>
  <c r="Q41" i="37"/>
  <c r="U17" i="32" s="1"/>
  <c r="R41" i="37"/>
  <c r="V17" i="32" s="1"/>
  <c r="G17" i="44" s="1"/>
  <c r="V16" i="32"/>
  <c r="G16" i="31" s="1"/>
  <c r="S16" i="32"/>
  <c r="U16" i="32"/>
  <c r="R53" i="37"/>
  <c r="Q21" i="37"/>
  <c r="Q53" i="37"/>
  <c r="T8" i="32"/>
  <c r="O17" i="45"/>
  <c r="BE51" i="2"/>
  <c r="S17" i="45"/>
  <c r="BI51" i="2"/>
  <c r="N17" i="45"/>
  <c r="K52" i="39"/>
  <c r="H20" i="39"/>
  <c r="T21" i="38" s="1"/>
  <c r="K20" i="39"/>
  <c r="L52" i="39"/>
  <c r="V16" i="45"/>
  <c r="I16" i="32" s="1"/>
  <c r="L8" i="45"/>
  <c r="R17" i="45"/>
  <c r="BH51" i="2"/>
  <c r="O8" i="45"/>
  <c r="Q20" i="39"/>
  <c r="Q40" i="39"/>
  <c r="V8" i="45"/>
  <c r="I8" i="44" s="1"/>
  <c r="T20" i="38"/>
  <c r="T41" i="38" s="1"/>
  <c r="P17" i="45"/>
  <c r="O52" i="39"/>
  <c r="Q52" i="39"/>
  <c r="U16" i="45"/>
  <c r="Q17" i="45"/>
  <c r="BG51" i="2"/>
  <c r="L16" i="45"/>
  <c r="M41" i="38"/>
  <c r="M21" i="38"/>
  <c r="R41" i="38"/>
  <c r="M53" i="38"/>
  <c r="T16" i="44"/>
  <c r="H41" i="38"/>
  <c r="P41" i="38"/>
  <c r="P21" i="38"/>
  <c r="S17" i="32"/>
  <c r="AK51" i="2"/>
  <c r="T16" i="32"/>
  <c r="S8" i="32"/>
  <c r="P41" i="37"/>
  <c r="O53" i="37"/>
  <c r="P53" i="37"/>
  <c r="J19" i="24"/>
  <c r="J20" i="24" s="1"/>
  <c r="H50" i="2"/>
  <c r="I19" i="24"/>
  <c r="I40" i="24" s="1"/>
  <c r="G50" i="2"/>
  <c r="L24" i="40"/>
  <c r="L25" i="40" s="1"/>
  <c r="Q91" i="31" s="1"/>
  <c r="K24" i="40"/>
  <c r="K25" i="40" s="1"/>
  <c r="P91" i="31" s="1"/>
  <c r="O24" i="40"/>
  <c r="O25" i="40" s="1"/>
  <c r="T91" i="31" s="1"/>
  <c r="F91" i="32"/>
  <c r="F91" i="45"/>
  <c r="F89" i="30"/>
  <c r="F91" i="31"/>
  <c r="F91" i="44"/>
  <c r="H24" i="25"/>
  <c r="I49" i="24"/>
  <c r="F60" i="23"/>
  <c r="F61" i="23" s="1"/>
  <c r="K63" i="30" s="1"/>
  <c r="K64" i="30" s="1"/>
  <c r="I24" i="25"/>
  <c r="J49" i="24"/>
  <c r="J24" i="25"/>
  <c r="K24" i="25"/>
  <c r="K25" i="25" s="1"/>
  <c r="P89" i="30" s="1"/>
  <c r="L24" i="25"/>
  <c r="L25" i="25" s="1"/>
  <c r="Q89" i="30" s="1"/>
  <c r="Q32" i="43"/>
  <c r="V93" i="45" s="1"/>
  <c r="Q25" i="43"/>
  <c r="V91" i="45" s="1"/>
  <c r="R53" i="39"/>
  <c r="R54" i="39"/>
  <c r="R56" i="39"/>
  <c r="Q53" i="39"/>
  <c r="Q54" i="39"/>
  <c r="Q56" i="39"/>
  <c r="P32" i="43"/>
  <c r="U93" i="45" s="1"/>
  <c r="P25" i="43"/>
  <c r="U91" i="45" s="1"/>
  <c r="P54" i="39"/>
  <c r="P56" i="39"/>
  <c r="P53" i="39"/>
  <c r="O32" i="43"/>
  <c r="T93" i="45" s="1"/>
  <c r="O25" i="43"/>
  <c r="T91" i="45" s="1"/>
  <c r="N32" i="43"/>
  <c r="S93" i="45" s="1"/>
  <c r="N25" i="43"/>
  <c r="S91" i="45" s="1"/>
  <c r="O56" i="39"/>
  <c r="O53" i="39"/>
  <c r="O54" i="39"/>
  <c r="N53" i="39"/>
  <c r="N54" i="39"/>
  <c r="N56" i="39"/>
  <c r="M56" i="39"/>
  <c r="M54" i="39"/>
  <c r="M53" i="39"/>
  <c r="L54" i="39"/>
  <c r="L56" i="39"/>
  <c r="L53" i="39"/>
  <c r="K53" i="39"/>
  <c r="K56" i="39"/>
  <c r="K54" i="39"/>
  <c r="J53" i="39"/>
  <c r="J54" i="39"/>
  <c r="J56" i="39"/>
  <c r="U53" i="38"/>
  <c r="I53" i="39"/>
  <c r="I54" i="39"/>
  <c r="I56" i="39"/>
  <c r="H53" i="39"/>
  <c r="H54" i="39"/>
  <c r="H56" i="39"/>
  <c r="V18" i="39"/>
  <c r="G19" i="39"/>
  <c r="F24" i="43"/>
  <c r="F25" i="43" s="1"/>
  <c r="G49" i="39"/>
  <c r="R54" i="38"/>
  <c r="R55" i="38"/>
  <c r="R57" i="38"/>
  <c r="H16" i="30"/>
  <c r="H89" i="30"/>
  <c r="H91" i="32"/>
  <c r="H91" i="31"/>
  <c r="H91" i="44"/>
  <c r="H91" i="45"/>
  <c r="O57" i="38"/>
  <c r="O54" i="38"/>
  <c r="O55" i="38"/>
  <c r="Q49" i="38"/>
  <c r="Q19" i="38"/>
  <c r="P54" i="38"/>
  <c r="P55" i="38"/>
  <c r="P57" i="38"/>
  <c r="N54" i="38"/>
  <c r="N55" i="38"/>
  <c r="N57" i="38"/>
  <c r="M57" i="38"/>
  <c r="M54" i="38"/>
  <c r="M55" i="38"/>
  <c r="L49" i="38"/>
  <c r="L19" i="38"/>
  <c r="U59" i="28"/>
  <c r="K49" i="38"/>
  <c r="K19" i="38"/>
  <c r="J49" i="38"/>
  <c r="J19" i="38"/>
  <c r="I49" i="38"/>
  <c r="I19" i="38"/>
  <c r="T53" i="37"/>
  <c r="H54" i="38"/>
  <c r="H57" i="38"/>
  <c r="H55" i="38"/>
  <c r="G20" i="38"/>
  <c r="F24" i="42"/>
  <c r="F25" i="42" s="1"/>
  <c r="G50" i="38"/>
  <c r="G91" i="32"/>
  <c r="G91" i="44"/>
  <c r="G91" i="45"/>
  <c r="G89" i="30"/>
  <c r="G91" i="31"/>
  <c r="R54" i="37"/>
  <c r="R57" i="37"/>
  <c r="R55" i="37"/>
  <c r="Q54" i="37"/>
  <c r="Q57" i="37"/>
  <c r="Q55" i="37"/>
  <c r="P54" i="37"/>
  <c r="P57" i="37"/>
  <c r="P55" i="37"/>
  <c r="V65" i="45"/>
  <c r="I64" i="32"/>
  <c r="I64" i="44"/>
  <c r="I64" i="31"/>
  <c r="I64" i="45"/>
  <c r="I63" i="30"/>
  <c r="I62" i="45"/>
  <c r="I62" i="31"/>
  <c r="I61" i="30"/>
  <c r="I62" i="32"/>
  <c r="I62" i="44"/>
  <c r="G65" i="32"/>
  <c r="G64" i="30"/>
  <c r="G65" i="44"/>
  <c r="G65" i="31"/>
  <c r="G65" i="45"/>
  <c r="K55" i="30"/>
  <c r="K53" i="30"/>
  <c r="K51" i="30"/>
  <c r="K49" i="30"/>
  <c r="K56" i="30"/>
  <c r="K57" i="30" s="1"/>
  <c r="K61" i="30"/>
  <c r="N33" i="3"/>
  <c r="L33" i="3"/>
  <c r="J31" i="3"/>
  <c r="K59" i="30"/>
  <c r="U59" i="29"/>
  <c r="R64" i="44"/>
  <c r="R65" i="44" s="1"/>
  <c r="U61" i="27"/>
  <c r="U64" i="32"/>
  <c r="U65" i="32" s="1"/>
  <c r="O87" i="30"/>
  <c r="K64" i="44"/>
  <c r="K65" i="44" s="1"/>
  <c r="K64" i="45"/>
  <c r="K65" i="45" s="1"/>
  <c r="K64" i="32"/>
  <c r="K65" i="32" s="1"/>
  <c r="L31" i="25"/>
  <c r="L16" i="25"/>
  <c r="K18" i="25"/>
  <c r="K19" i="25" s="1"/>
  <c r="AW51" i="2" l="1"/>
  <c r="H16" i="32"/>
  <c r="H8" i="30"/>
  <c r="H8" i="31"/>
  <c r="H8" i="45"/>
  <c r="H8" i="32"/>
  <c r="H16" i="45"/>
  <c r="H16" i="31"/>
  <c r="L15" i="24"/>
  <c r="P60" i="30"/>
  <c r="M27" i="25"/>
  <c r="L58" i="23"/>
  <c r="Q90" i="30"/>
  <c r="K47" i="24"/>
  <c r="K49" i="24" s="1"/>
  <c r="K53" i="24" s="1"/>
  <c r="K18" i="24"/>
  <c r="I8" i="32"/>
  <c r="BC51" i="2"/>
  <c r="BB51" i="2"/>
  <c r="I8" i="30"/>
  <c r="BJ51" i="2"/>
  <c r="T53" i="38"/>
  <c r="I8" i="45"/>
  <c r="I8" i="31"/>
  <c r="I16" i="45"/>
  <c r="V17" i="45"/>
  <c r="I17" i="32" s="1"/>
  <c r="R17" i="44"/>
  <c r="I16" i="31"/>
  <c r="I16" i="44"/>
  <c r="I16" i="30"/>
  <c r="G8" i="32"/>
  <c r="O57" i="37"/>
  <c r="O54" i="37"/>
  <c r="U25" i="41"/>
  <c r="AM51" i="2"/>
  <c r="G16" i="45"/>
  <c r="G16" i="30"/>
  <c r="G16" i="32"/>
  <c r="G16" i="44"/>
  <c r="AN51" i="2"/>
  <c r="G8" i="44"/>
  <c r="G17" i="45"/>
  <c r="G8" i="30"/>
  <c r="G8" i="45"/>
  <c r="U17" i="45"/>
  <c r="BK51" i="2"/>
  <c r="I20" i="38"/>
  <c r="I41" i="38" s="1"/>
  <c r="AQ50" i="2"/>
  <c r="J20" i="38"/>
  <c r="J21" i="38" s="1"/>
  <c r="AR50" i="2"/>
  <c r="Q17" i="44"/>
  <c r="AU51" i="2"/>
  <c r="T17" i="44"/>
  <c r="AX51" i="2"/>
  <c r="K20" i="38"/>
  <c r="O8" i="44" s="1"/>
  <c r="AS50" i="2"/>
  <c r="V17" i="44"/>
  <c r="AZ51" i="2"/>
  <c r="Q20" i="38"/>
  <c r="U8" i="44" s="1"/>
  <c r="AY50" i="2"/>
  <c r="L17" i="44"/>
  <c r="AP51" i="2"/>
  <c r="L20" i="38"/>
  <c r="P8" i="44" s="1"/>
  <c r="AT50" i="2"/>
  <c r="G17" i="31"/>
  <c r="T17" i="32"/>
  <c r="AL51" i="2"/>
  <c r="G17" i="32"/>
  <c r="G17" i="30"/>
  <c r="J40" i="24"/>
  <c r="N17" i="30" s="1"/>
  <c r="N16" i="30"/>
  <c r="M16" i="30"/>
  <c r="J52" i="24"/>
  <c r="N8" i="30"/>
  <c r="M17" i="30"/>
  <c r="G51" i="2"/>
  <c r="M8" i="30"/>
  <c r="I52" i="24"/>
  <c r="I20" i="24"/>
  <c r="U25" i="40"/>
  <c r="J25" i="25"/>
  <c r="O89" i="30" s="1"/>
  <c r="J32" i="25"/>
  <c r="O91" i="30" s="1"/>
  <c r="I25" i="25"/>
  <c r="N89" i="30" s="1"/>
  <c r="I32" i="25"/>
  <c r="N91" i="30" s="1"/>
  <c r="J56" i="24"/>
  <c r="J53" i="24"/>
  <c r="J54" i="24"/>
  <c r="K32" i="25"/>
  <c r="P91" i="30" s="1"/>
  <c r="K54" i="24"/>
  <c r="I56" i="24"/>
  <c r="I53" i="24"/>
  <c r="I54" i="24"/>
  <c r="L32" i="25"/>
  <c r="Q91" i="30" s="1"/>
  <c r="G16" i="24"/>
  <c r="K62" i="30"/>
  <c r="H25" i="25"/>
  <c r="M89" i="30" s="1"/>
  <c r="H32" i="25"/>
  <c r="M91" i="30" s="1"/>
  <c r="I91" i="31"/>
  <c r="I91" i="32"/>
  <c r="I91" i="44"/>
  <c r="I91" i="45"/>
  <c r="I89" i="30"/>
  <c r="I93" i="44"/>
  <c r="I93" i="32"/>
  <c r="I93" i="45"/>
  <c r="I91" i="30"/>
  <c r="I93" i="31"/>
  <c r="G53" i="39"/>
  <c r="G56" i="39"/>
  <c r="G40" i="39"/>
  <c r="BA51" i="2" s="1"/>
  <c r="G54" i="39"/>
  <c r="K91" i="45"/>
  <c r="F32" i="43"/>
  <c r="U25" i="43"/>
  <c r="K16" i="45"/>
  <c r="S20" i="38"/>
  <c r="K8" i="45"/>
  <c r="G52" i="39"/>
  <c r="G20" i="39"/>
  <c r="S21" i="38" s="1"/>
  <c r="V19" i="39"/>
  <c r="V19" i="38"/>
  <c r="U16" i="44"/>
  <c r="P24" i="42"/>
  <c r="P25" i="42" s="1"/>
  <c r="U91" i="44" s="1"/>
  <c r="Q50" i="38"/>
  <c r="N34" i="3"/>
  <c r="K24" i="42"/>
  <c r="K25" i="42" s="1"/>
  <c r="P91" i="44" s="1"/>
  <c r="L50" i="38"/>
  <c r="J24" i="42"/>
  <c r="J25" i="42" s="1"/>
  <c r="O91" i="44" s="1"/>
  <c r="K50" i="38"/>
  <c r="I24" i="42"/>
  <c r="I25" i="42" s="1"/>
  <c r="N91" i="44" s="1"/>
  <c r="J50" i="38"/>
  <c r="H24" i="42"/>
  <c r="H25" i="42" s="1"/>
  <c r="M91" i="44" s="1"/>
  <c r="I50" i="38"/>
  <c r="G41" i="38"/>
  <c r="AO51" i="2" s="1"/>
  <c r="G57" i="38"/>
  <c r="G55" i="38"/>
  <c r="G54" i="38"/>
  <c r="G21" i="38"/>
  <c r="S21" i="37" s="1"/>
  <c r="G53" i="38"/>
  <c r="K8" i="44"/>
  <c r="K16" i="44"/>
  <c r="S20" i="37"/>
  <c r="K91" i="44"/>
  <c r="I65" i="44"/>
  <c r="I65" i="31"/>
  <c r="I65" i="45"/>
  <c r="I65" i="32"/>
  <c r="I64" i="30"/>
  <c r="L34" i="3"/>
  <c r="P34" i="3"/>
  <c r="P87" i="30"/>
  <c r="M31" i="25"/>
  <c r="M16" i="25"/>
  <c r="L18" i="25"/>
  <c r="L19" i="25" s="1"/>
  <c r="M61" i="30"/>
  <c r="K56" i="24" l="1"/>
  <c r="I17" i="30"/>
  <c r="I17" i="44"/>
  <c r="Q53" i="38"/>
  <c r="Q41" i="38"/>
  <c r="U17" i="44" s="1"/>
  <c r="I50" i="2"/>
  <c r="K19" i="24"/>
  <c r="L47" i="24"/>
  <c r="L49" i="24" s="1"/>
  <c r="L18" i="24"/>
  <c r="M15" i="24"/>
  <c r="Q60" i="30"/>
  <c r="N27" i="25"/>
  <c r="M58" i="23"/>
  <c r="R90" i="30"/>
  <c r="I17" i="31"/>
  <c r="I17" i="45"/>
  <c r="J41" i="38"/>
  <c r="N17" i="44" s="1"/>
  <c r="N8" i="44"/>
  <c r="J53" i="38"/>
  <c r="K41" i="38"/>
  <c r="O17" i="44" s="1"/>
  <c r="N16" i="44"/>
  <c r="I21" i="38"/>
  <c r="U21" i="37" s="1"/>
  <c r="H51" i="2"/>
  <c r="M17" i="44"/>
  <c r="AQ51" i="2"/>
  <c r="K53" i="38"/>
  <c r="L53" i="38"/>
  <c r="AY51" i="2"/>
  <c r="V20" i="38"/>
  <c r="K21" i="38"/>
  <c r="L41" i="38"/>
  <c r="Q21" i="38"/>
  <c r="M8" i="44"/>
  <c r="L21" i="38"/>
  <c r="P16" i="44"/>
  <c r="M16" i="44"/>
  <c r="O16" i="44"/>
  <c r="U20" i="37"/>
  <c r="U41" i="37" s="1"/>
  <c r="H17" i="44"/>
  <c r="H17" i="45"/>
  <c r="H17" i="32"/>
  <c r="H17" i="30"/>
  <c r="H17" i="31"/>
  <c r="I53" i="38"/>
  <c r="G48" i="24"/>
  <c r="G18" i="24"/>
  <c r="E50" i="2" s="1"/>
  <c r="K17" i="45"/>
  <c r="V40" i="39"/>
  <c r="S41" i="38"/>
  <c r="S53" i="38"/>
  <c r="Q55" i="38"/>
  <c r="Q57" i="38"/>
  <c r="Q54" i="38"/>
  <c r="L57" i="38"/>
  <c r="L55" i="38"/>
  <c r="L54" i="38"/>
  <c r="K57" i="38"/>
  <c r="K55" i="38"/>
  <c r="K54" i="38"/>
  <c r="J54" i="38"/>
  <c r="J57" i="38"/>
  <c r="J55" i="38"/>
  <c r="I57" i="38"/>
  <c r="I54" i="38"/>
  <c r="I55" i="38"/>
  <c r="U25" i="42"/>
  <c r="S41" i="37"/>
  <c r="S53" i="37"/>
  <c r="K17" i="44"/>
  <c r="Q87" i="30"/>
  <c r="M63" i="30"/>
  <c r="M64" i="30" s="1"/>
  <c r="N16" i="25"/>
  <c r="M18" i="25"/>
  <c r="M19" i="25" s="1"/>
  <c r="AS51" i="2" l="1"/>
  <c r="M47" i="24"/>
  <c r="M49" i="24" s="1"/>
  <c r="M18" i="24"/>
  <c r="O27" i="25"/>
  <c r="N58" i="23"/>
  <c r="S90" i="30"/>
  <c r="J50" i="2"/>
  <c r="L19" i="24"/>
  <c r="L54" i="24"/>
  <c r="L56" i="24"/>
  <c r="L53" i="24"/>
  <c r="K52" i="24"/>
  <c r="O16" i="30"/>
  <c r="K20" i="24"/>
  <c r="O8" i="30"/>
  <c r="K40" i="24"/>
  <c r="N31" i="25"/>
  <c r="N15" i="24"/>
  <c r="N47" i="24" s="1"/>
  <c r="R60" i="30"/>
  <c r="AR51" i="2"/>
  <c r="U53" i="37"/>
  <c r="P17" i="44"/>
  <c r="AT51" i="2"/>
  <c r="V41" i="38"/>
  <c r="G19" i="24"/>
  <c r="F24" i="25"/>
  <c r="G49" i="24"/>
  <c r="R87" i="30"/>
  <c r="O31" i="25"/>
  <c r="O16" i="25"/>
  <c r="N18" i="25"/>
  <c r="N19" i="25" s="1"/>
  <c r="N61" i="30"/>
  <c r="M54" i="24" l="1"/>
  <c r="M53" i="24"/>
  <c r="M56" i="24"/>
  <c r="O17" i="30"/>
  <c r="I51" i="2"/>
  <c r="O15" i="24"/>
  <c r="O47" i="24" s="1"/>
  <c r="S60" i="30"/>
  <c r="M19" i="24"/>
  <c r="K50" i="2"/>
  <c r="P8" i="30"/>
  <c r="P16" i="30"/>
  <c r="L40" i="24"/>
  <c r="L52" i="24"/>
  <c r="L20" i="24"/>
  <c r="P27" i="25"/>
  <c r="P31" i="25" s="1"/>
  <c r="O58" i="23"/>
  <c r="T90" i="30"/>
  <c r="G53" i="24"/>
  <c r="G56" i="24"/>
  <c r="G54" i="24"/>
  <c r="G40" i="24"/>
  <c r="E51" i="2" s="1"/>
  <c r="F25" i="25"/>
  <c r="F32" i="25"/>
  <c r="K91" i="30" s="1"/>
  <c r="G20" i="24"/>
  <c r="G52" i="24"/>
  <c r="K8" i="30"/>
  <c r="S87" i="30"/>
  <c r="O63" i="30"/>
  <c r="O64" i="30" s="1"/>
  <c r="O61" i="30"/>
  <c r="N63" i="30"/>
  <c r="N64" i="30" s="1"/>
  <c r="P16" i="25"/>
  <c r="O18" i="25"/>
  <c r="O19" i="25" s="1"/>
  <c r="M20" i="24" l="1"/>
  <c r="Q16" i="30"/>
  <c r="M40" i="24"/>
  <c r="M52" i="24"/>
  <c r="Q8" i="30"/>
  <c r="P15" i="24"/>
  <c r="P47" i="24" s="1"/>
  <c r="T60" i="30"/>
  <c r="Q27" i="25"/>
  <c r="P58" i="23"/>
  <c r="U90" i="30"/>
  <c r="J51" i="2"/>
  <c r="P17" i="30"/>
  <c r="F11" i="25"/>
  <c r="F14" i="25" s="1"/>
  <c r="K17" i="30"/>
  <c r="T87" i="30"/>
  <c r="Q16" i="25"/>
  <c r="P18" i="25"/>
  <c r="P19" i="25" s="1"/>
  <c r="V90" i="30" l="1"/>
  <c r="Q58" i="23"/>
  <c r="F27" i="40"/>
  <c r="Q31" i="25"/>
  <c r="Q17" i="30"/>
  <c r="K51" i="2"/>
  <c r="U27" i="25"/>
  <c r="Q15" i="24"/>
  <c r="Q47" i="24" s="1"/>
  <c r="U60" i="30"/>
  <c r="F20" i="25"/>
  <c r="K86" i="30"/>
  <c r="K93" i="30"/>
  <c r="Q18" i="25"/>
  <c r="Q19" i="25" s="1"/>
  <c r="F16" i="40"/>
  <c r="U87" i="30"/>
  <c r="K92" i="31" l="1"/>
  <c r="F59" i="26"/>
  <c r="G27" i="40"/>
  <c r="R27" i="25"/>
  <c r="R15" i="24"/>
  <c r="R47" i="24" s="1"/>
  <c r="V60" i="30"/>
  <c r="U58" i="23"/>
  <c r="E92" i="32"/>
  <c r="E90" i="30"/>
  <c r="E92" i="44"/>
  <c r="E92" i="45"/>
  <c r="E92" i="31"/>
  <c r="K88" i="30"/>
  <c r="F33" i="25"/>
  <c r="R16" i="25"/>
  <c r="G16" i="40"/>
  <c r="F18" i="40"/>
  <c r="F19" i="40" s="1"/>
  <c r="V87" i="30"/>
  <c r="U19" i="25"/>
  <c r="G16" i="33" l="1"/>
  <c r="K61" i="31"/>
  <c r="R58" i="23"/>
  <c r="S15" i="24" s="1"/>
  <c r="R31" i="25"/>
  <c r="R32" i="25" s="1"/>
  <c r="E60" i="30"/>
  <c r="E61" i="31"/>
  <c r="E61" i="44"/>
  <c r="E61" i="32"/>
  <c r="E61" i="45"/>
  <c r="G59" i="26"/>
  <c r="H27" i="40"/>
  <c r="L92" i="31"/>
  <c r="S27" i="25"/>
  <c r="E87" i="30"/>
  <c r="E89" i="32"/>
  <c r="E89" i="44"/>
  <c r="E89" i="45"/>
  <c r="E89" i="31"/>
  <c r="F35" i="25"/>
  <c r="F36" i="25" s="1"/>
  <c r="K92" i="30"/>
  <c r="K96" i="30" s="1"/>
  <c r="K97" i="30" s="1"/>
  <c r="K89" i="31"/>
  <c r="R18" i="25"/>
  <c r="R19" i="25" s="1"/>
  <c r="S16" i="25"/>
  <c r="H16" i="40"/>
  <c r="G18" i="40"/>
  <c r="G19" i="40" s="1"/>
  <c r="F31" i="40"/>
  <c r="G31" i="40"/>
  <c r="G32" i="40" s="1"/>
  <c r="L93" i="31" s="1"/>
  <c r="S58" i="23" l="1"/>
  <c r="T15" i="24" s="1"/>
  <c r="S31" i="25"/>
  <c r="S32" i="25" s="1"/>
  <c r="H59" i="26"/>
  <c r="I27" i="40"/>
  <c r="M92" i="31"/>
  <c r="T27" i="25"/>
  <c r="S47" i="24"/>
  <c r="S18" i="24"/>
  <c r="G48" i="33"/>
  <c r="G19" i="33"/>
  <c r="H16" i="33"/>
  <c r="L61" i="31"/>
  <c r="F32" i="40"/>
  <c r="K93" i="31" s="1"/>
  <c r="L89" i="31"/>
  <c r="T16" i="25"/>
  <c r="T18" i="25" s="1"/>
  <c r="T19" i="25" s="1"/>
  <c r="S18" i="25"/>
  <c r="S19" i="25" s="1"/>
  <c r="I16" i="40"/>
  <c r="H18" i="40"/>
  <c r="H19" i="40" s="1"/>
  <c r="Q50" i="2" l="1"/>
  <c r="T47" i="24"/>
  <c r="T18" i="24"/>
  <c r="I59" i="26"/>
  <c r="J27" i="40"/>
  <c r="N92" i="31"/>
  <c r="T58" i="23"/>
  <c r="U15" i="24" s="1"/>
  <c r="T31" i="25"/>
  <c r="T32" i="25" s="1"/>
  <c r="H48" i="33"/>
  <c r="H19" i="33"/>
  <c r="R50" i="2" s="1"/>
  <c r="I16" i="33"/>
  <c r="M61" i="31"/>
  <c r="M89" i="31"/>
  <c r="J16" i="40"/>
  <c r="I18" i="40"/>
  <c r="I19" i="40" s="1"/>
  <c r="H31" i="40"/>
  <c r="H32" i="40" s="1"/>
  <c r="M93" i="31" s="1"/>
  <c r="U47" i="24" l="1"/>
  <c r="U18" i="24"/>
  <c r="J16" i="33"/>
  <c r="N61" i="31"/>
  <c r="J59" i="26"/>
  <c r="O92" i="31"/>
  <c r="K27" i="40"/>
  <c r="I48" i="33"/>
  <c r="I19" i="33"/>
  <c r="N89" i="31"/>
  <c r="K16" i="40"/>
  <c r="J18" i="40"/>
  <c r="J19" i="40" s="1"/>
  <c r="I31" i="40"/>
  <c r="I32" i="40" s="1"/>
  <c r="N93" i="31" s="1"/>
  <c r="K59" i="26" l="1"/>
  <c r="L27" i="40"/>
  <c r="P92" i="31"/>
  <c r="K16" i="33"/>
  <c r="O61" i="31"/>
  <c r="S50" i="2"/>
  <c r="J48" i="33"/>
  <c r="J50" i="33" s="1"/>
  <c r="J19" i="33"/>
  <c r="O89" i="31"/>
  <c r="L16" i="40"/>
  <c r="K18" i="40"/>
  <c r="K19" i="40" s="1"/>
  <c r="J31" i="40"/>
  <c r="J32" i="40" s="1"/>
  <c r="O93" i="31" s="1"/>
  <c r="J57" i="33" l="1"/>
  <c r="J55" i="33"/>
  <c r="J54" i="33"/>
  <c r="T50" i="2"/>
  <c r="J20" i="33"/>
  <c r="L59" i="26"/>
  <c r="M27" i="40"/>
  <c r="Q92" i="31"/>
  <c r="L16" i="33"/>
  <c r="P61" i="31"/>
  <c r="K48" i="33"/>
  <c r="K50" i="33" s="1"/>
  <c r="K19" i="33"/>
  <c r="M16" i="40"/>
  <c r="L18" i="40"/>
  <c r="L19" i="40" s="1"/>
  <c r="P89" i="31"/>
  <c r="K31" i="40"/>
  <c r="K32" i="40" s="1"/>
  <c r="P93" i="31" s="1"/>
  <c r="L48" i="33" l="1"/>
  <c r="L50" i="33" s="1"/>
  <c r="L19" i="33"/>
  <c r="K20" i="33"/>
  <c r="U50" i="2"/>
  <c r="M59" i="26"/>
  <c r="R92" i="31"/>
  <c r="N27" i="40"/>
  <c r="K57" i="33"/>
  <c r="K54" i="33"/>
  <c r="K55" i="33"/>
  <c r="M16" i="33"/>
  <c r="Q61" i="31"/>
  <c r="N8" i="31"/>
  <c r="J21" i="33"/>
  <c r="J53" i="33"/>
  <c r="J41" i="33"/>
  <c r="N16" i="31"/>
  <c r="N16" i="40"/>
  <c r="M18" i="40"/>
  <c r="M19" i="40" s="1"/>
  <c r="Q89" i="31"/>
  <c r="L31" i="40"/>
  <c r="L32" i="40" s="1"/>
  <c r="Q93" i="31" s="1"/>
  <c r="L54" i="33" l="1"/>
  <c r="L55" i="33"/>
  <c r="L57" i="33"/>
  <c r="N59" i="26"/>
  <c r="O27" i="40"/>
  <c r="S92" i="31"/>
  <c r="K53" i="33"/>
  <c r="K21" i="33"/>
  <c r="K41" i="33"/>
  <c r="O8" i="31"/>
  <c r="O16" i="31"/>
  <c r="N17" i="31"/>
  <c r="T51" i="2"/>
  <c r="N16" i="33"/>
  <c r="R61" i="31"/>
  <c r="M48" i="33"/>
  <c r="M50" i="33" s="1"/>
  <c r="M19" i="33"/>
  <c r="V50" i="2"/>
  <c r="L20" i="33"/>
  <c r="O16" i="40"/>
  <c r="N18" i="40"/>
  <c r="N19" i="40" s="1"/>
  <c r="R89" i="31"/>
  <c r="M31" i="40"/>
  <c r="M32" i="40" s="1"/>
  <c r="R93" i="31" s="1"/>
  <c r="O16" i="33" l="1"/>
  <c r="S61" i="31"/>
  <c r="N48" i="33"/>
  <c r="N50" i="33" s="1"/>
  <c r="N19" i="33"/>
  <c r="L21" i="33"/>
  <c r="L53" i="33"/>
  <c r="P8" i="31"/>
  <c r="P16" i="31"/>
  <c r="L41" i="33"/>
  <c r="O59" i="26"/>
  <c r="T92" i="31"/>
  <c r="P27" i="40"/>
  <c r="M20" i="33"/>
  <c r="W50" i="2"/>
  <c r="O17" i="31"/>
  <c r="U51" i="2"/>
  <c r="M54" i="33"/>
  <c r="M57" i="33"/>
  <c r="M55" i="33"/>
  <c r="P16" i="40"/>
  <c r="O18" i="40"/>
  <c r="O19" i="40" s="1"/>
  <c r="S89" i="31"/>
  <c r="N31" i="40"/>
  <c r="N32" i="40" s="1"/>
  <c r="S93" i="31" s="1"/>
  <c r="P59" i="26" l="1"/>
  <c r="U92" i="31"/>
  <c r="Q27" i="40"/>
  <c r="U27" i="40" s="1"/>
  <c r="M53" i="33"/>
  <c r="M21" i="33"/>
  <c r="Q16" i="31"/>
  <c r="M41" i="33"/>
  <c r="Q8" i="31"/>
  <c r="N20" i="33"/>
  <c r="X50" i="2"/>
  <c r="N57" i="33"/>
  <c r="N54" i="33"/>
  <c r="N55" i="33"/>
  <c r="P16" i="33"/>
  <c r="T61" i="31"/>
  <c r="P17" i="31"/>
  <c r="V51" i="2"/>
  <c r="O48" i="33"/>
  <c r="O50" i="33" s="1"/>
  <c r="O19" i="33"/>
  <c r="N31" i="41"/>
  <c r="N32" i="41" s="1"/>
  <c r="Q16" i="40"/>
  <c r="F16" i="41" s="1"/>
  <c r="P18" i="40"/>
  <c r="P19" i="40" s="1"/>
  <c r="T89" i="31"/>
  <c r="O31" i="40"/>
  <c r="O32" i="40" s="1"/>
  <c r="T93" i="31" s="1"/>
  <c r="Q17" i="31" l="1"/>
  <c r="W51" i="2"/>
  <c r="P48" i="33"/>
  <c r="P50" i="33" s="1"/>
  <c r="P19" i="33"/>
  <c r="O20" i="33"/>
  <c r="Y50" i="2"/>
  <c r="O57" i="33"/>
  <c r="O54" i="33"/>
  <c r="O55" i="33"/>
  <c r="F27" i="41"/>
  <c r="Q59" i="26"/>
  <c r="V92" i="31"/>
  <c r="N53" i="33"/>
  <c r="N21" i="33"/>
  <c r="N41" i="33"/>
  <c r="R16" i="31"/>
  <c r="R8" i="31"/>
  <c r="Q16" i="33"/>
  <c r="U61" i="31"/>
  <c r="O31" i="41"/>
  <c r="O32" i="41" s="1"/>
  <c r="F18" i="41"/>
  <c r="F19" i="41" s="1"/>
  <c r="G16" i="41"/>
  <c r="S92" i="32"/>
  <c r="R16" i="40"/>
  <c r="Q18" i="40"/>
  <c r="Q19" i="40" s="1"/>
  <c r="U89" i="31"/>
  <c r="P31" i="40"/>
  <c r="P32" i="40" s="1"/>
  <c r="U93" i="31" s="1"/>
  <c r="R17" i="31" l="1"/>
  <c r="X51" i="2"/>
  <c r="O41" i="33"/>
  <c r="O21" i="33"/>
  <c r="S8" i="31"/>
  <c r="O53" i="33"/>
  <c r="S16" i="31"/>
  <c r="F92" i="32"/>
  <c r="F92" i="45"/>
  <c r="F92" i="31"/>
  <c r="F90" i="30"/>
  <c r="F92" i="44"/>
  <c r="P20" i="33"/>
  <c r="Z50" i="2"/>
  <c r="R16" i="33"/>
  <c r="V61" i="31"/>
  <c r="U59" i="26"/>
  <c r="J32" i="3" s="1"/>
  <c r="P54" i="33"/>
  <c r="P57" i="33"/>
  <c r="P55" i="33"/>
  <c r="Q48" i="33"/>
  <c r="Q50" i="33" s="1"/>
  <c r="Q19" i="33"/>
  <c r="F58" i="27"/>
  <c r="G27" i="41"/>
  <c r="F31" i="41"/>
  <c r="F32" i="41" s="1"/>
  <c r="K93" i="32" s="1"/>
  <c r="K92" i="32"/>
  <c r="R27" i="40"/>
  <c r="R59" i="26" s="1"/>
  <c r="S16" i="33" s="1"/>
  <c r="P31" i="41"/>
  <c r="P32" i="41" s="1"/>
  <c r="H16" i="41"/>
  <c r="G18" i="41"/>
  <c r="G19" i="41" s="1"/>
  <c r="T92" i="32"/>
  <c r="V89" i="31"/>
  <c r="U19" i="40"/>
  <c r="R18" i="40"/>
  <c r="R19" i="40" s="1"/>
  <c r="S16" i="40"/>
  <c r="Q31" i="40"/>
  <c r="Q32" i="40" s="1"/>
  <c r="V93" i="31" s="1"/>
  <c r="G58" i="27" l="1"/>
  <c r="H27" i="41"/>
  <c r="G31" i="41"/>
  <c r="G32" i="41" s="1"/>
  <c r="L93" i="32" s="1"/>
  <c r="S27" i="40"/>
  <c r="S59" i="26" s="1"/>
  <c r="T16" i="33" s="1"/>
  <c r="L92" i="32"/>
  <c r="R48" i="33"/>
  <c r="R50" i="33" s="1"/>
  <c r="R19" i="33"/>
  <c r="Q20" i="33"/>
  <c r="AA50" i="2"/>
  <c r="P53" i="33"/>
  <c r="P41" i="33"/>
  <c r="T8" i="31"/>
  <c r="T16" i="31"/>
  <c r="P21" i="33"/>
  <c r="F61" i="32"/>
  <c r="F61" i="44"/>
  <c r="F61" i="45"/>
  <c r="F60" i="30"/>
  <c r="F61" i="31"/>
  <c r="G16" i="37"/>
  <c r="K61" i="32"/>
  <c r="Q54" i="33"/>
  <c r="Q55" i="33"/>
  <c r="Q57" i="33"/>
  <c r="S48" i="33"/>
  <c r="S50" i="33" s="1"/>
  <c r="S19" i="33"/>
  <c r="Y51" i="2"/>
  <c r="S17" i="31"/>
  <c r="F89" i="32"/>
  <c r="F89" i="45"/>
  <c r="F89" i="31"/>
  <c r="F89" i="44"/>
  <c r="F87" i="30"/>
  <c r="F93" i="31"/>
  <c r="F93" i="32"/>
  <c r="F93" i="44"/>
  <c r="F93" i="45"/>
  <c r="F91" i="30"/>
  <c r="Q31" i="41"/>
  <c r="Q32" i="41" s="1"/>
  <c r="H18" i="41"/>
  <c r="H19" i="41" s="1"/>
  <c r="I16" i="41"/>
  <c r="U92" i="32"/>
  <c r="S18" i="40"/>
  <c r="S19" i="40" s="1"/>
  <c r="T16" i="40"/>
  <c r="T18" i="40" s="1"/>
  <c r="T19" i="40" s="1"/>
  <c r="R31" i="40"/>
  <c r="R32" i="40" s="1"/>
  <c r="R20" i="33" l="1"/>
  <c r="AB50" i="2"/>
  <c r="V19" i="33"/>
  <c r="R57" i="33"/>
  <c r="R55" i="33"/>
  <c r="R54" i="33"/>
  <c r="H16" i="37"/>
  <c r="L61" i="32"/>
  <c r="G48" i="37"/>
  <c r="G50" i="37" s="1"/>
  <c r="G19" i="37"/>
  <c r="T48" i="33"/>
  <c r="T50" i="33" s="1"/>
  <c r="T19" i="33"/>
  <c r="S57" i="33"/>
  <c r="S54" i="33"/>
  <c r="S55" i="33"/>
  <c r="Q21" i="33"/>
  <c r="Q41" i="33"/>
  <c r="Q53" i="33"/>
  <c r="U8" i="31"/>
  <c r="U16" i="31"/>
  <c r="Z51" i="2"/>
  <c r="T17" i="31"/>
  <c r="I27" i="41"/>
  <c r="H58" i="27"/>
  <c r="H31" i="41"/>
  <c r="H32" i="41" s="1"/>
  <c r="M93" i="32" s="1"/>
  <c r="T27" i="40"/>
  <c r="T59" i="26" s="1"/>
  <c r="U16" i="33" s="1"/>
  <c r="M92" i="32"/>
  <c r="I18" i="41"/>
  <c r="I19" i="41" s="1"/>
  <c r="J16" i="41"/>
  <c r="V92" i="32"/>
  <c r="R31" i="41"/>
  <c r="R32" i="41" s="1"/>
  <c r="S31" i="40"/>
  <c r="S32" i="40" s="1"/>
  <c r="K89" i="32"/>
  <c r="T31" i="40" l="1"/>
  <c r="T32" i="40" s="1"/>
  <c r="I16" i="37"/>
  <c r="M61" i="32"/>
  <c r="I58" i="27"/>
  <c r="J27" i="41"/>
  <c r="I31" i="41"/>
  <c r="I32" i="41" s="1"/>
  <c r="N93" i="32" s="1"/>
  <c r="N92" i="32"/>
  <c r="H48" i="37"/>
  <c r="H50" i="37" s="1"/>
  <c r="H19" i="37"/>
  <c r="T55" i="33"/>
  <c r="T54" i="33"/>
  <c r="T57" i="33"/>
  <c r="U48" i="33"/>
  <c r="U50" i="33" s="1"/>
  <c r="U19" i="33"/>
  <c r="AC50" i="2"/>
  <c r="G20" i="37"/>
  <c r="U17" i="31"/>
  <c r="AA51" i="2"/>
  <c r="G55" i="37"/>
  <c r="G54" i="37"/>
  <c r="G57" i="37"/>
  <c r="G41" i="37"/>
  <c r="V8" i="31"/>
  <c r="R21" i="33"/>
  <c r="R53" i="33"/>
  <c r="V16" i="31"/>
  <c r="R41" i="33"/>
  <c r="J18" i="41"/>
  <c r="J19" i="41" s="1"/>
  <c r="K16" i="41"/>
  <c r="K92" i="44"/>
  <c r="K16" i="32" l="1"/>
  <c r="G53" i="37"/>
  <c r="K8" i="32"/>
  <c r="S20" i="33"/>
  <c r="G21" i="37"/>
  <c r="S21" i="33" s="1"/>
  <c r="K27" i="41"/>
  <c r="J58" i="27"/>
  <c r="J31" i="41"/>
  <c r="J32" i="41" s="1"/>
  <c r="O93" i="32" s="1"/>
  <c r="O92" i="32"/>
  <c r="U54" i="33"/>
  <c r="U57" i="33"/>
  <c r="U55" i="33"/>
  <c r="J16" i="37"/>
  <c r="N61" i="32"/>
  <c r="F8" i="45"/>
  <c r="F8" i="31"/>
  <c r="F8" i="32"/>
  <c r="F8" i="30"/>
  <c r="F8" i="44"/>
  <c r="H55" i="37"/>
  <c r="H57" i="37"/>
  <c r="H54" i="37"/>
  <c r="F16" i="45"/>
  <c r="F16" i="44"/>
  <c r="F16" i="30"/>
  <c r="F16" i="31"/>
  <c r="F16" i="32"/>
  <c r="AC51" i="2"/>
  <c r="K17" i="32"/>
  <c r="V17" i="31"/>
  <c r="AB51" i="2"/>
  <c r="H20" i="37"/>
  <c r="AD50" i="2"/>
  <c r="I48" i="37"/>
  <c r="I50" i="37" s="1"/>
  <c r="I19" i="37"/>
  <c r="S31" i="41"/>
  <c r="S32" i="41" s="1"/>
  <c r="K18" i="41"/>
  <c r="K19" i="41" s="1"/>
  <c r="L16" i="41"/>
  <c r="L92" i="44"/>
  <c r="L89" i="32"/>
  <c r="M89" i="32"/>
  <c r="F17" i="31" l="1"/>
  <c r="F17" i="45"/>
  <c r="F17" i="32"/>
  <c r="F17" i="44"/>
  <c r="F17" i="30"/>
  <c r="L27" i="41"/>
  <c r="K58" i="27"/>
  <c r="K31" i="41"/>
  <c r="K32" i="41" s="1"/>
  <c r="P93" i="32" s="1"/>
  <c r="P92" i="32"/>
  <c r="K16" i="37"/>
  <c r="O61" i="32"/>
  <c r="J48" i="37"/>
  <c r="J50" i="37" s="1"/>
  <c r="J19" i="37"/>
  <c r="I20" i="37"/>
  <c r="AE50" i="2"/>
  <c r="S41" i="33"/>
  <c r="S53" i="33"/>
  <c r="I55" i="37"/>
  <c r="I54" i="37"/>
  <c r="I57" i="37"/>
  <c r="H41" i="37"/>
  <c r="L16" i="32"/>
  <c r="L8" i="32"/>
  <c r="T20" i="33"/>
  <c r="H21" i="37"/>
  <c r="T21" i="33" s="1"/>
  <c r="H53" i="37"/>
  <c r="L18" i="41"/>
  <c r="L19" i="41" s="1"/>
  <c r="M16" i="41"/>
  <c r="T31" i="41"/>
  <c r="T32" i="41" s="1"/>
  <c r="M92" i="44"/>
  <c r="N89" i="32"/>
  <c r="L16" i="37" l="1"/>
  <c r="P61" i="32"/>
  <c r="M27" i="41"/>
  <c r="L58" i="27"/>
  <c r="L31" i="41"/>
  <c r="L32" i="41" s="1"/>
  <c r="Q93" i="32" s="1"/>
  <c r="Q92" i="32"/>
  <c r="M16" i="32"/>
  <c r="I53" i="37"/>
  <c r="I41" i="37"/>
  <c r="M8" i="32"/>
  <c r="U20" i="33"/>
  <c r="I21" i="37"/>
  <c r="U21" i="33" s="1"/>
  <c r="J54" i="37"/>
  <c r="J55" i="37"/>
  <c r="J57" i="37"/>
  <c r="L17" i="32"/>
  <c r="AD51" i="2"/>
  <c r="J20" i="37"/>
  <c r="AF50" i="2"/>
  <c r="K48" i="37"/>
  <c r="K50" i="37" s="1"/>
  <c r="K19" i="37"/>
  <c r="T53" i="33"/>
  <c r="T41" i="33"/>
  <c r="N16" i="41"/>
  <c r="M18" i="41"/>
  <c r="M19" i="41" s="1"/>
  <c r="N92" i="44"/>
  <c r="O89" i="32"/>
  <c r="K20" i="37" l="1"/>
  <c r="AG50" i="2"/>
  <c r="K55" i="37"/>
  <c r="K54" i="37"/>
  <c r="K57" i="37"/>
  <c r="J41" i="37"/>
  <c r="J21" i="37"/>
  <c r="J53" i="37"/>
  <c r="N8" i="32"/>
  <c r="N16" i="32"/>
  <c r="M16" i="37"/>
  <c r="Q61" i="32"/>
  <c r="U41" i="33"/>
  <c r="U53" i="33"/>
  <c r="M58" i="27"/>
  <c r="M31" i="41"/>
  <c r="M32" i="41" s="1"/>
  <c r="R93" i="32" s="1"/>
  <c r="R92" i="32"/>
  <c r="U27" i="41"/>
  <c r="U58" i="27" s="1"/>
  <c r="L32" i="3" s="1"/>
  <c r="M17" i="32"/>
  <c r="AE51" i="2"/>
  <c r="L48" i="37"/>
  <c r="L50" i="37" s="1"/>
  <c r="L19" i="37"/>
  <c r="O16" i="41"/>
  <c r="N18" i="41"/>
  <c r="N19" i="41" s="1"/>
  <c r="O92" i="44"/>
  <c r="P89" i="32"/>
  <c r="L20" i="37" l="1"/>
  <c r="AH50" i="2"/>
  <c r="L54" i="37"/>
  <c r="L57" i="37"/>
  <c r="L55" i="37"/>
  <c r="AF51" i="2"/>
  <c r="N17" i="32"/>
  <c r="M48" i="37"/>
  <c r="M50" i="37" s="1"/>
  <c r="M19" i="37"/>
  <c r="N16" i="37"/>
  <c r="R61" i="32"/>
  <c r="O16" i="32"/>
  <c r="K21" i="37"/>
  <c r="K53" i="37"/>
  <c r="O8" i="32"/>
  <c r="K41" i="37"/>
  <c r="O18" i="41"/>
  <c r="O19" i="41" s="1"/>
  <c r="P16" i="41"/>
  <c r="P92" i="44"/>
  <c r="Q89" i="32"/>
  <c r="S93" i="32"/>
  <c r="N48" i="37" l="1"/>
  <c r="N50" i="37" s="1"/>
  <c r="N19" i="37"/>
  <c r="M20" i="37"/>
  <c r="AI50" i="2"/>
  <c r="AG51" i="2"/>
  <c r="O17" i="32"/>
  <c r="M57" i="37"/>
  <c r="M54" i="37"/>
  <c r="M55" i="37"/>
  <c r="L41" i="37"/>
  <c r="L53" i="37"/>
  <c r="P8" i="32"/>
  <c r="L21" i="37"/>
  <c r="P16" i="32"/>
  <c r="P18" i="41"/>
  <c r="P19" i="41" s="1"/>
  <c r="Q16" i="41"/>
  <c r="Q18" i="41" s="1"/>
  <c r="Q19" i="41" s="1"/>
  <c r="Q92" i="44"/>
  <c r="R89" i="32"/>
  <c r="T93" i="32"/>
  <c r="N55" i="37" l="1"/>
  <c r="N57" i="37"/>
  <c r="N54" i="37"/>
  <c r="AH51" i="2"/>
  <c r="P17" i="32"/>
  <c r="M41" i="37"/>
  <c r="Q16" i="32"/>
  <c r="M21" i="37"/>
  <c r="Q8" i="32"/>
  <c r="M53" i="37"/>
  <c r="N20" i="37"/>
  <c r="AJ50" i="2"/>
  <c r="V19" i="37"/>
  <c r="U19" i="41"/>
  <c r="R92" i="44"/>
  <c r="S89" i="32"/>
  <c r="U93" i="32"/>
  <c r="Q17" i="32" l="1"/>
  <c r="AI51" i="2"/>
  <c r="R8" i="32"/>
  <c r="N21" i="37"/>
  <c r="N53" i="37"/>
  <c r="R16" i="32"/>
  <c r="N41" i="37"/>
  <c r="V20" i="37"/>
  <c r="S92" i="44"/>
  <c r="T89" i="32"/>
  <c r="V93" i="32"/>
  <c r="R17" i="32" l="1"/>
  <c r="AJ51" i="2"/>
  <c r="V41" i="37"/>
  <c r="G93" i="31"/>
  <c r="G93" i="32"/>
  <c r="G93" i="44"/>
  <c r="G93" i="45"/>
  <c r="G91" i="30"/>
  <c r="T92" i="44"/>
  <c r="U89" i="32"/>
  <c r="V89" i="32"/>
  <c r="F16" i="42"/>
  <c r="R16" i="41" s="1"/>
  <c r="F31" i="42"/>
  <c r="F32" i="42" s="1"/>
  <c r="K93" i="44" s="1"/>
  <c r="G89" i="44" l="1"/>
  <c r="G89" i="31"/>
  <c r="G89" i="45"/>
  <c r="G89" i="32"/>
  <c r="G87" i="30"/>
  <c r="S16" i="41"/>
  <c r="R18" i="41"/>
  <c r="R19" i="41" s="1"/>
  <c r="U92" i="44"/>
  <c r="U27" i="42"/>
  <c r="F18" i="42"/>
  <c r="F19" i="42" s="1"/>
  <c r="K89" i="44" s="1"/>
  <c r="G16" i="42"/>
  <c r="G31" i="42"/>
  <c r="G32" i="42" s="1"/>
  <c r="L93" i="44" s="1"/>
  <c r="T16" i="41" l="1"/>
  <c r="T18" i="41" s="1"/>
  <c r="T19" i="41" s="1"/>
  <c r="S18" i="41"/>
  <c r="S19" i="41" s="1"/>
  <c r="V92" i="44"/>
  <c r="H16" i="42"/>
  <c r="G18" i="42"/>
  <c r="G19" i="42" s="1"/>
  <c r="H31" i="42"/>
  <c r="H32" i="42" s="1"/>
  <c r="M93" i="44" s="1"/>
  <c r="K92" i="45" l="1"/>
  <c r="F31" i="43"/>
  <c r="K93" i="45" s="1"/>
  <c r="L89" i="44"/>
  <c r="H18" i="42"/>
  <c r="H19" i="42" s="1"/>
  <c r="I16" i="42"/>
  <c r="I31" i="42"/>
  <c r="I32" i="42" s="1"/>
  <c r="N93" i="44" s="1"/>
  <c r="G31" i="43" l="1"/>
  <c r="G32" i="43" s="1"/>
  <c r="L93" i="45" s="1"/>
  <c r="L92" i="45"/>
  <c r="M89" i="44"/>
  <c r="J16" i="42"/>
  <c r="I18" i="42"/>
  <c r="I19" i="42" s="1"/>
  <c r="J31" i="42"/>
  <c r="J32" i="42" s="1"/>
  <c r="O93" i="44" s="1"/>
  <c r="M92" i="45" l="1"/>
  <c r="H31" i="43"/>
  <c r="H32" i="43" s="1"/>
  <c r="M93" i="45" s="1"/>
  <c r="N89" i="44"/>
  <c r="K16" i="42"/>
  <c r="J18" i="42"/>
  <c r="J19" i="42" s="1"/>
  <c r="O89" i="44" s="1"/>
  <c r="K31" i="42"/>
  <c r="K32" i="42" s="1"/>
  <c r="P93" i="44" s="1"/>
  <c r="I31" i="43" l="1"/>
  <c r="I32" i="43" s="1"/>
  <c r="N93" i="45" s="1"/>
  <c r="N92" i="45"/>
  <c r="K18" i="42"/>
  <c r="K19" i="42" s="1"/>
  <c r="L16" i="42"/>
  <c r="L31" i="42"/>
  <c r="L32" i="42" s="1"/>
  <c r="Q93" i="44" s="1"/>
  <c r="J31" i="43" l="1"/>
  <c r="J32" i="43" s="1"/>
  <c r="O93" i="45" s="1"/>
  <c r="O92" i="45"/>
  <c r="P89" i="44"/>
  <c r="M16" i="42"/>
  <c r="L18" i="42"/>
  <c r="L19" i="42" s="1"/>
  <c r="M31" i="42"/>
  <c r="M32" i="42" s="1"/>
  <c r="R93" i="44" s="1"/>
  <c r="K31" i="43" l="1"/>
  <c r="K32" i="43" s="1"/>
  <c r="P93" i="45" s="1"/>
  <c r="P92" i="45"/>
  <c r="Q89" i="44"/>
  <c r="N16" i="42"/>
  <c r="M18" i="42"/>
  <c r="M19" i="42" s="1"/>
  <c r="N31" i="43"/>
  <c r="N31" i="42"/>
  <c r="N32" i="42" s="1"/>
  <c r="S93" i="44" s="1"/>
  <c r="U27" i="43" l="1"/>
  <c r="L31" i="43"/>
  <c r="L32" i="43" s="1"/>
  <c r="Q93" i="45" s="1"/>
  <c r="Q92" i="45"/>
  <c r="R89" i="44"/>
  <c r="O16" i="42"/>
  <c r="N18" i="42"/>
  <c r="N19" i="42" s="1"/>
  <c r="O31" i="42"/>
  <c r="O31" i="43"/>
  <c r="M31" i="43" l="1"/>
  <c r="M32" i="43" s="1"/>
  <c r="R93" i="45" s="1"/>
  <c r="R92" i="45"/>
  <c r="O32" i="42"/>
  <c r="T93" i="44" s="1"/>
  <c r="S89" i="44"/>
  <c r="O18" i="42"/>
  <c r="O19" i="42" s="1"/>
  <c r="P16" i="42"/>
  <c r="Q31" i="43"/>
  <c r="P31" i="43"/>
  <c r="P31" i="42"/>
  <c r="P32" i="42" l="1"/>
  <c r="U93" i="44" s="1"/>
  <c r="T89" i="44"/>
  <c r="P18" i="42"/>
  <c r="P19" i="42" s="1"/>
  <c r="Q16" i="42"/>
  <c r="Q31" i="42"/>
  <c r="Q32" i="42" l="1"/>
  <c r="V93" i="44" s="1"/>
  <c r="U89" i="44"/>
  <c r="Q18" i="42"/>
  <c r="Q19" i="42" s="1"/>
  <c r="V89" i="44" s="1"/>
  <c r="F16" i="43"/>
  <c r="R31" i="42"/>
  <c r="R32" i="42" s="1"/>
  <c r="H89" i="45" l="1"/>
  <c r="H89" i="32"/>
  <c r="H87" i="30"/>
  <c r="H89" i="44"/>
  <c r="H89" i="31"/>
  <c r="H93" i="31"/>
  <c r="H91" i="30"/>
  <c r="H93" i="32"/>
  <c r="H93" i="44"/>
  <c r="H93" i="45"/>
  <c r="R16" i="42"/>
  <c r="G16" i="43"/>
  <c r="F18" i="43"/>
  <c r="F19" i="43" s="1"/>
  <c r="K89" i="45" s="1"/>
  <c r="U19" i="42"/>
  <c r="T31" i="42"/>
  <c r="T32" i="42" s="1"/>
  <c r="S31" i="42"/>
  <c r="S32" i="42" s="1"/>
  <c r="H16" i="43" l="1"/>
  <c r="G18" i="43"/>
  <c r="G19" i="43" s="1"/>
  <c r="R18" i="42"/>
  <c r="R19" i="42" s="1"/>
  <c r="S16" i="42"/>
  <c r="L89" i="45" l="1"/>
  <c r="S18" i="42"/>
  <c r="S19" i="42" s="1"/>
  <c r="T16" i="42"/>
  <c r="T18" i="42" s="1"/>
  <c r="T19" i="42" s="1"/>
  <c r="H18" i="43"/>
  <c r="H19" i="43" s="1"/>
  <c r="I16" i="43"/>
  <c r="M89" i="45" l="1"/>
  <c r="J16" i="43"/>
  <c r="I18" i="43"/>
  <c r="I19" i="43" s="1"/>
  <c r="N89" i="45" s="1"/>
  <c r="K16" i="43" l="1"/>
  <c r="J18" i="43"/>
  <c r="J19" i="43" s="1"/>
  <c r="O89" i="45" l="1"/>
  <c r="L16" i="43"/>
  <c r="K18" i="43"/>
  <c r="K19" i="43" s="1"/>
  <c r="P89" i="45" l="1"/>
  <c r="L18" i="43"/>
  <c r="L19" i="43" s="1"/>
  <c r="Q89" i="45" s="1"/>
  <c r="M16" i="43"/>
  <c r="N16" i="43" l="1"/>
  <c r="M18" i="43"/>
  <c r="M19" i="43" s="1"/>
  <c r="R89" i="45" l="1"/>
  <c r="N18" i="43"/>
  <c r="N19" i="43" s="1"/>
  <c r="O16" i="43"/>
  <c r="S89" i="45" l="1"/>
  <c r="P16" i="43"/>
  <c r="O18" i="43"/>
  <c r="O19" i="43" s="1"/>
  <c r="T89" i="45" l="1"/>
  <c r="P18" i="43"/>
  <c r="P19" i="43" s="1"/>
  <c r="Q16" i="43"/>
  <c r="Q18" i="43" s="1"/>
  <c r="Q19" i="43" s="1"/>
  <c r="V89" i="45" s="1"/>
  <c r="I89" i="44" l="1"/>
  <c r="I89" i="31"/>
  <c r="I89" i="45"/>
  <c r="I89" i="32"/>
  <c r="I87" i="30"/>
  <c r="U89" i="45"/>
  <c r="U19" i="43"/>
  <c r="U62" i="26" l="1"/>
  <c r="J34" i="3" l="1"/>
  <c r="L64" i="31"/>
  <c r="L65" i="31" s="1"/>
  <c r="L62" i="31"/>
  <c r="O57" i="31" l="1"/>
  <c r="O58" i="31" s="1"/>
  <c r="N57" i="31"/>
  <c r="N58" i="31" s="1"/>
  <c r="V57" i="31"/>
  <c r="T57" i="31"/>
  <c r="T58" i="31" s="1"/>
  <c r="R60" i="31"/>
  <c r="L57" i="31"/>
  <c r="L58" i="31" s="1"/>
  <c r="S60" i="31"/>
  <c r="S57" i="31"/>
  <c r="S58" i="31" s="1"/>
  <c r="U57" i="31"/>
  <c r="U58" i="31" s="1"/>
  <c r="M57" i="31"/>
  <c r="M58" i="31" s="1"/>
  <c r="R57" i="31"/>
  <c r="R58" i="31" s="1"/>
  <c r="Q60" i="31"/>
  <c r="Q57" i="31"/>
  <c r="Q58" i="31" s="1"/>
  <c r="O60" i="31"/>
  <c r="P60" i="31"/>
  <c r="P57" i="31"/>
  <c r="P58" i="31" s="1"/>
  <c r="V60" i="31"/>
  <c r="N60" i="31"/>
  <c r="U60" i="31"/>
  <c r="M60" i="31"/>
  <c r="T60" i="31"/>
  <c r="L60" i="31"/>
  <c r="V58" i="31" l="1"/>
  <c r="F57" i="32"/>
  <c r="F56" i="30"/>
  <c r="F57" i="44"/>
  <c r="F57" i="31"/>
  <c r="F57" i="45"/>
  <c r="F60" i="31"/>
  <c r="F60" i="45"/>
  <c r="F60" i="32"/>
  <c r="F59" i="30"/>
  <c r="F60" i="44"/>
  <c r="F58" i="45" l="1"/>
  <c r="F58" i="32"/>
  <c r="F57" i="30"/>
  <c r="F58" i="31"/>
  <c r="F58" i="44"/>
  <c r="H45" i="33"/>
  <c r="H47" i="33" s="1"/>
  <c r="H50" i="33" s="1"/>
  <c r="V11" i="33"/>
  <c r="H18" i="33"/>
  <c r="R49" i="2" s="1"/>
  <c r="G18" i="33"/>
  <c r="Q49" i="2" s="1"/>
  <c r="G45" i="33"/>
  <c r="G47" i="33" s="1"/>
  <c r="G50" i="33" s="1"/>
  <c r="G55" i="33" s="1"/>
  <c r="T11" i="24"/>
  <c r="T17" i="24" s="1"/>
  <c r="T19" i="24" s="1"/>
  <c r="H20" i="33" s="1"/>
  <c r="L16" i="31" s="1"/>
  <c r="L5" i="31"/>
  <c r="U12" i="24"/>
  <c r="S11" i="24"/>
  <c r="S17" i="24" s="1"/>
  <c r="S19" i="24" s="1"/>
  <c r="G20" i="33" s="1"/>
  <c r="K5" i="31"/>
  <c r="I18" i="33"/>
  <c r="S49" i="2" s="1"/>
  <c r="T12" i="24"/>
  <c r="S12" i="24"/>
  <c r="M5" i="31"/>
  <c r="U11" i="24"/>
  <c r="U17" i="24" s="1"/>
  <c r="U19" i="24" s="1"/>
  <c r="I20" i="33" s="1"/>
  <c r="I45" i="33"/>
  <c r="I47" i="33" s="1"/>
  <c r="I50" i="33" s="1"/>
  <c r="V18" i="33" l="1"/>
  <c r="S20" i="24"/>
  <c r="G21" i="33" s="1"/>
  <c r="U44" i="24"/>
  <c r="U46" i="24" s="1"/>
  <c r="U49" i="24" s="1"/>
  <c r="U53" i="24" s="1"/>
  <c r="T40" i="24"/>
  <c r="H53" i="33"/>
  <c r="U52" i="24"/>
  <c r="T52" i="24"/>
  <c r="T20" i="24"/>
  <c r="H21" i="33" s="1"/>
  <c r="I55" i="33"/>
  <c r="I57" i="33"/>
  <c r="I54" i="33"/>
  <c r="U40" i="24"/>
  <c r="U20" i="24"/>
  <c r="I21" i="33" s="1"/>
  <c r="T44" i="24"/>
  <c r="T46" i="24" s="1"/>
  <c r="T49" i="24" s="1"/>
  <c r="K8" i="31"/>
  <c r="G53" i="33"/>
  <c r="G41" i="33"/>
  <c r="Q51" i="2" s="1"/>
  <c r="V20" i="33"/>
  <c r="K16" i="31"/>
  <c r="S40" i="24"/>
  <c r="S52" i="24"/>
  <c r="I53" i="33"/>
  <c r="M8" i="31"/>
  <c r="I41" i="33"/>
  <c r="M16" i="31"/>
  <c r="G57" i="33"/>
  <c r="G54" i="33"/>
  <c r="H54" i="33"/>
  <c r="H57" i="33"/>
  <c r="H55" i="33"/>
  <c r="L8" i="31"/>
  <c r="H41" i="33"/>
  <c r="S44" i="24"/>
  <c r="S46" i="24" s="1"/>
  <c r="S49" i="24" s="1"/>
  <c r="L17" i="31" l="1"/>
  <c r="R51" i="2"/>
  <c r="M17" i="31"/>
  <c r="S51" i="2"/>
  <c r="U54" i="24"/>
  <c r="U56" i="24"/>
  <c r="K17" i="31"/>
  <c r="V41" i="33"/>
  <c r="S54" i="24"/>
  <c r="S53" i="24"/>
  <c r="S56" i="24"/>
  <c r="T54" i="24"/>
  <c r="T56" i="24"/>
  <c r="T53" i="24"/>
  <c r="H11" i="24"/>
  <c r="L5" i="30" l="1"/>
  <c r="H17" i="24"/>
  <c r="F49" i="2" s="1"/>
  <c r="H44" i="24"/>
  <c r="H46" i="24" s="1"/>
  <c r="F42" i="2"/>
  <c r="L44" i="30" l="1"/>
  <c r="G55" i="23"/>
  <c r="G59" i="23"/>
  <c r="G60" i="23" s="1"/>
  <c r="G22" i="23"/>
  <c r="H16" i="24" l="1"/>
  <c r="L62" i="30"/>
  <c r="L48" i="30"/>
  <c r="L49" i="30" s="1"/>
  <c r="G61" i="23"/>
  <c r="L61" i="30"/>
  <c r="G57" i="23"/>
  <c r="L56" i="30"/>
  <c r="L57" i="30" s="1"/>
  <c r="L55" i="30"/>
  <c r="L45" i="30"/>
  <c r="L53" i="30"/>
  <c r="L51" i="30"/>
  <c r="L47" i="30"/>
  <c r="M45" i="30"/>
  <c r="H48" i="24" l="1"/>
  <c r="H18" i="24"/>
  <c r="F50" i="2" s="1"/>
  <c r="L63" i="30"/>
  <c r="L64" i="30" s="1"/>
  <c r="L59" i="30"/>
  <c r="H19" i="24" l="1"/>
  <c r="G24" i="25"/>
  <c r="H49" i="24"/>
  <c r="H20" i="24" l="1"/>
  <c r="L8" i="30"/>
  <c r="L16" i="30"/>
  <c r="H52" i="24"/>
  <c r="H40" i="24"/>
  <c r="H56" i="24"/>
  <c r="H53" i="24"/>
  <c r="H54" i="24"/>
  <c r="G11" i="25"/>
  <c r="G14" i="25" s="1"/>
  <c r="G25" i="25"/>
  <c r="G32" i="25"/>
  <c r="L91" i="30" s="1"/>
  <c r="L17" i="30" l="1"/>
  <c r="F51" i="2"/>
  <c r="L89" i="30"/>
  <c r="G20" i="25"/>
  <c r="L93" i="30"/>
  <c r="L86" i="30"/>
  <c r="H11" i="25"/>
  <c r="H14" i="25" s="1"/>
  <c r="H20" i="25" l="1"/>
  <c r="M86" i="30"/>
  <c r="M93" i="30"/>
  <c r="I11" i="25"/>
  <c r="I14" i="25" s="1"/>
  <c r="G33" i="25"/>
  <c r="L88" i="30"/>
  <c r="L92" i="30" l="1"/>
  <c r="L96" i="30" s="1"/>
  <c r="L97" i="30" s="1"/>
  <c r="G35" i="25"/>
  <c r="G36" i="25" s="1"/>
  <c r="I20" i="25"/>
  <c r="J11" i="25"/>
  <c r="J14" i="25" s="1"/>
  <c r="N86" i="30"/>
  <c r="N93" i="30"/>
  <c r="H33" i="25"/>
  <c r="M88" i="30"/>
  <c r="M92" i="30" l="1"/>
  <c r="M96" i="30" s="1"/>
  <c r="M97" i="30" s="1"/>
  <c r="H35" i="25"/>
  <c r="H36" i="25" s="1"/>
  <c r="J20" i="25"/>
  <c r="K11" i="25"/>
  <c r="K14" i="25" s="1"/>
  <c r="O86" i="30"/>
  <c r="O93" i="30"/>
  <c r="I33" i="25"/>
  <c r="N88" i="30"/>
  <c r="I35" i="25" l="1"/>
  <c r="I36" i="25" s="1"/>
  <c r="N92" i="30"/>
  <c r="N96" i="30" s="1"/>
  <c r="N97" i="30" s="1"/>
  <c r="K20" i="25"/>
  <c r="P93" i="30"/>
  <c r="L11" i="25"/>
  <c r="L14" i="25" s="1"/>
  <c r="P86" i="30"/>
  <c r="J33" i="25"/>
  <c r="O88" i="30"/>
  <c r="P42" i="2"/>
  <c r="R11" i="24"/>
  <c r="J35" i="25" l="1"/>
  <c r="J36" i="25" s="1"/>
  <c r="O92" i="30"/>
  <c r="O96" i="30" s="1"/>
  <c r="O97" i="30" s="1"/>
  <c r="Q86" i="30"/>
  <c r="Q93" i="30"/>
  <c r="L20" i="25"/>
  <c r="K33" i="25"/>
  <c r="P88" i="30"/>
  <c r="R17" i="24"/>
  <c r="P49" i="2" s="1"/>
  <c r="V5" i="30"/>
  <c r="R44" i="24"/>
  <c r="R46" i="24" s="1"/>
  <c r="Q22" i="23"/>
  <c r="V48" i="30" s="1"/>
  <c r="V44" i="30"/>
  <c r="Q59" i="23"/>
  <c r="Q60" i="23" s="1"/>
  <c r="Q55" i="23"/>
  <c r="R16" i="24" l="1"/>
  <c r="V62" i="30"/>
  <c r="K35" i="25"/>
  <c r="K36" i="25" s="1"/>
  <c r="P92" i="30"/>
  <c r="P96" i="30" s="1"/>
  <c r="P97" i="30" s="1"/>
  <c r="L33" i="25"/>
  <c r="Q88" i="30"/>
  <c r="Q57" i="23"/>
  <c r="V59" i="30" s="1"/>
  <c r="V56" i="30"/>
  <c r="V47" i="30"/>
  <c r="V55" i="30"/>
  <c r="V53" i="30"/>
  <c r="E44" i="30"/>
  <c r="E45" i="44"/>
  <c r="E45" i="32"/>
  <c r="E45" i="31"/>
  <c r="V51" i="30"/>
  <c r="E45" i="45"/>
  <c r="E49" i="44"/>
  <c r="E49" i="32"/>
  <c r="V49" i="30"/>
  <c r="E49" i="45"/>
  <c r="E48" i="30"/>
  <c r="E49" i="31"/>
  <c r="E5" i="30"/>
  <c r="E5" i="45"/>
  <c r="E5" i="32"/>
  <c r="E5" i="31"/>
  <c r="E5" i="44"/>
  <c r="Q61" i="23"/>
  <c r="V63" i="30" s="1"/>
  <c r="V61" i="30"/>
  <c r="Q92" i="30" l="1"/>
  <c r="Q96" i="30" s="1"/>
  <c r="Q97" i="30" s="1"/>
  <c r="L35" i="25"/>
  <c r="L36" i="25" s="1"/>
  <c r="E63" i="45"/>
  <c r="E62" i="30"/>
  <c r="E63" i="31"/>
  <c r="E63" i="32"/>
  <c r="E63" i="44"/>
  <c r="R48" i="24"/>
  <c r="R18" i="24"/>
  <c r="E54" i="32"/>
  <c r="E54" i="44"/>
  <c r="E53" i="30"/>
  <c r="E54" i="45"/>
  <c r="E54" i="31"/>
  <c r="E56" i="32"/>
  <c r="E56" i="44"/>
  <c r="E56" i="45"/>
  <c r="E56" i="31"/>
  <c r="E55" i="30"/>
  <c r="E48" i="32"/>
  <c r="E48" i="45"/>
  <c r="E48" i="31"/>
  <c r="E48" i="44"/>
  <c r="E47" i="30"/>
  <c r="E62" i="31"/>
  <c r="E62" i="45"/>
  <c r="E62" i="32"/>
  <c r="E61" i="30"/>
  <c r="E62" i="44"/>
  <c r="E64" i="44"/>
  <c r="V64" i="30"/>
  <c r="E63" i="30"/>
  <c r="E64" i="45"/>
  <c r="E64" i="32"/>
  <c r="E64" i="31"/>
  <c r="E49" i="30"/>
  <c r="E50" i="31"/>
  <c r="E50" i="45"/>
  <c r="E50" i="32"/>
  <c r="E50" i="44"/>
  <c r="E52" i="44"/>
  <c r="E52" i="45"/>
  <c r="E51" i="30"/>
  <c r="E52" i="31"/>
  <c r="E52" i="32"/>
  <c r="E57" i="44"/>
  <c r="E57" i="31"/>
  <c r="E57" i="32"/>
  <c r="V57" i="30"/>
  <c r="E57" i="45"/>
  <c r="E56" i="30"/>
  <c r="E60" i="45"/>
  <c r="E60" i="32"/>
  <c r="E60" i="44"/>
  <c r="E60" i="31"/>
  <c r="E59" i="30"/>
  <c r="R19" i="24" l="1"/>
  <c r="R40" i="24" s="1"/>
  <c r="P50" i="2"/>
  <c r="Q24" i="25"/>
  <c r="R49" i="24"/>
  <c r="V16" i="30"/>
  <c r="V8" i="30"/>
  <c r="E58" i="44"/>
  <c r="E57" i="30"/>
  <c r="E58" i="32"/>
  <c r="E58" i="31"/>
  <c r="E58" i="45"/>
  <c r="E65" i="32"/>
  <c r="E65" i="31"/>
  <c r="E65" i="44"/>
  <c r="E64" i="30"/>
  <c r="E65" i="45"/>
  <c r="L42" i="2"/>
  <c r="R52" i="24" l="1"/>
  <c r="R20" i="24"/>
  <c r="V17" i="30"/>
  <c r="E17" i="30" s="1"/>
  <c r="P51" i="2"/>
  <c r="E16" i="44"/>
  <c r="E16" i="30"/>
  <c r="E16" i="31"/>
  <c r="E16" i="32"/>
  <c r="E16" i="45"/>
  <c r="R56" i="24"/>
  <c r="R54" i="24"/>
  <c r="R53" i="24"/>
  <c r="E8" i="45"/>
  <c r="E8" i="30"/>
  <c r="E8" i="31"/>
  <c r="E8" i="32"/>
  <c r="E8" i="44"/>
  <c r="Q25" i="25"/>
  <c r="V89" i="30" s="1"/>
  <c r="Q32" i="25"/>
  <c r="V91" i="30" s="1"/>
  <c r="N11" i="24"/>
  <c r="N44" i="24" s="1"/>
  <c r="N46" i="24" s="1"/>
  <c r="M59" i="23"/>
  <c r="M60" i="23" s="1"/>
  <c r="M55" i="23"/>
  <c r="M22" i="23"/>
  <c r="R44" i="30"/>
  <c r="E17" i="44" l="1"/>
  <c r="E17" i="31"/>
  <c r="E17" i="32"/>
  <c r="E17" i="45"/>
  <c r="N16" i="24"/>
  <c r="R62" i="30"/>
  <c r="E91" i="31"/>
  <c r="E89" i="30"/>
  <c r="E91" i="44"/>
  <c r="E91" i="45"/>
  <c r="E91" i="32"/>
  <c r="R5" i="30"/>
  <c r="E93" i="32"/>
  <c r="E93" i="44"/>
  <c r="E93" i="45"/>
  <c r="E93" i="31"/>
  <c r="E91" i="30"/>
  <c r="N17" i="24"/>
  <c r="L49" i="2" s="1"/>
  <c r="R55" i="30"/>
  <c r="R47" i="30"/>
  <c r="R45" i="30"/>
  <c r="R51" i="30"/>
  <c r="R53" i="30"/>
  <c r="R48" i="30"/>
  <c r="R49" i="30" s="1"/>
  <c r="M57" i="23"/>
  <c r="R56" i="30"/>
  <c r="R57" i="30" s="1"/>
  <c r="M61" i="23"/>
  <c r="R61" i="30"/>
  <c r="N48" i="24" l="1"/>
  <c r="N18" i="24"/>
  <c r="L50" i="2" s="1"/>
  <c r="R59" i="30"/>
  <c r="R63" i="30"/>
  <c r="R64" i="30" s="1"/>
  <c r="M24" i="25" l="1"/>
  <c r="N49" i="24"/>
  <c r="N19" i="24"/>
  <c r="N20" i="24" l="1"/>
  <c r="R16" i="30"/>
  <c r="R8" i="30"/>
  <c r="N52" i="24"/>
  <c r="N40" i="24"/>
  <c r="N54" i="24"/>
  <c r="N56" i="24"/>
  <c r="M11" i="25"/>
  <c r="M14" i="25" s="1"/>
  <c r="N53" i="24"/>
  <c r="M25" i="25"/>
  <c r="M32" i="25"/>
  <c r="R91" i="30" s="1"/>
  <c r="Q11" i="24"/>
  <c r="Q17" i="24" s="1"/>
  <c r="O49" i="2" s="1"/>
  <c r="P55" i="23"/>
  <c r="P59" i="23"/>
  <c r="P60" i="23" s="1"/>
  <c r="P22" i="23"/>
  <c r="U48" i="30" s="1"/>
  <c r="R17" i="30" l="1"/>
  <c r="L51" i="2"/>
  <c r="U44" i="30"/>
  <c r="U53" i="30" s="1"/>
  <c r="O42" i="2"/>
  <c r="R86" i="30"/>
  <c r="M20" i="25"/>
  <c r="R93" i="30"/>
  <c r="U5" i="30"/>
  <c r="Q16" i="24"/>
  <c r="U62" i="30"/>
  <c r="Q44" i="24"/>
  <c r="Q46" i="24" s="1"/>
  <c r="R89" i="30"/>
  <c r="V45" i="30"/>
  <c r="U51" i="30"/>
  <c r="U55" i="30"/>
  <c r="U47" i="30"/>
  <c r="U61" i="30"/>
  <c r="P61" i="23"/>
  <c r="U63" i="30" s="1"/>
  <c r="U56" i="30"/>
  <c r="P57" i="23"/>
  <c r="U59" i="30" s="1"/>
  <c r="U57" i="30" l="1"/>
  <c r="U64" i="30"/>
  <c r="U49" i="30"/>
  <c r="Q48" i="24"/>
  <c r="P24" i="25" s="1"/>
  <c r="Q18" i="24"/>
  <c r="M33" i="25"/>
  <c r="R88" i="30"/>
  <c r="E46" i="44"/>
  <c r="E46" i="45"/>
  <c r="E46" i="31"/>
  <c r="E45" i="30"/>
  <c r="E46" i="32"/>
  <c r="Q19" i="24" l="1"/>
  <c r="Q52" i="24" s="1"/>
  <c r="O50" i="2"/>
  <c r="P25" i="25"/>
  <c r="U89" i="30" s="1"/>
  <c r="P32" i="25"/>
  <c r="U91" i="30" s="1"/>
  <c r="M35" i="25"/>
  <c r="M36" i="25" s="1"/>
  <c r="R92" i="30"/>
  <c r="R96" i="30" s="1"/>
  <c r="R97" i="30" s="1"/>
  <c r="Q49" i="24"/>
  <c r="M42" i="2"/>
  <c r="O11" i="24"/>
  <c r="U16" i="30" l="1"/>
  <c r="Q20" i="24"/>
  <c r="Q40" i="24"/>
  <c r="U17" i="30" s="1"/>
  <c r="U8" i="30"/>
  <c r="O51" i="2"/>
  <c r="Q56" i="24"/>
  <c r="Q53" i="24"/>
  <c r="Q54" i="24"/>
  <c r="S5" i="30"/>
  <c r="O17" i="24"/>
  <c r="M49" i="2" s="1"/>
  <c r="O44" i="24"/>
  <c r="O46" i="24" s="1"/>
  <c r="N22" i="23"/>
  <c r="S44" i="30"/>
  <c r="N59" i="23"/>
  <c r="N60" i="23" s="1"/>
  <c r="N55" i="23"/>
  <c r="O16" i="24" l="1"/>
  <c r="S62" i="30"/>
  <c r="N57" i="23"/>
  <c r="S56" i="30"/>
  <c r="S57" i="30" s="1"/>
  <c r="S61" i="30"/>
  <c r="N61" i="23"/>
  <c r="S55" i="30"/>
  <c r="S51" i="30"/>
  <c r="S53" i="30"/>
  <c r="S45" i="30"/>
  <c r="S47" i="30"/>
  <c r="S48" i="30"/>
  <c r="S49" i="30" s="1"/>
  <c r="O48" i="24" l="1"/>
  <c r="O18" i="24"/>
  <c r="M50" i="2" s="1"/>
  <c r="S63" i="30"/>
  <c r="S64" i="30" s="1"/>
  <c r="S59" i="30"/>
  <c r="O19" i="24" l="1"/>
  <c r="N24" i="25"/>
  <c r="O49" i="24"/>
  <c r="O53" i="24" l="1"/>
  <c r="N11" i="25"/>
  <c r="N14" i="25" s="1"/>
  <c r="O56" i="24"/>
  <c r="O54" i="24"/>
  <c r="N25" i="25"/>
  <c r="N32" i="25"/>
  <c r="S91" i="30" s="1"/>
  <c r="O40" i="24"/>
  <c r="S16" i="30"/>
  <c r="S8" i="30"/>
  <c r="O20" i="24"/>
  <c r="O52" i="24"/>
  <c r="N42" i="2"/>
  <c r="S17" i="30" l="1"/>
  <c r="M51" i="2"/>
  <c r="S93" i="30"/>
  <c r="S86" i="30"/>
  <c r="N20" i="25"/>
  <c r="S89" i="30"/>
  <c r="P11" i="24"/>
  <c r="P17" i="24" s="1"/>
  <c r="N49" i="2" s="1"/>
  <c r="O22" i="23"/>
  <c r="O59" i="23"/>
  <c r="O60" i="23" s="1"/>
  <c r="T44" i="30"/>
  <c r="O55" i="23"/>
  <c r="U13" i="23"/>
  <c r="P44" i="24" l="1"/>
  <c r="P46" i="24" s="1"/>
  <c r="P16" i="24"/>
  <c r="T62" i="30"/>
  <c r="U60" i="23"/>
  <c r="T5" i="30"/>
  <c r="V11" i="24"/>
  <c r="S88" i="30"/>
  <c r="N33" i="25"/>
  <c r="H27" i="3"/>
  <c r="T56" i="30"/>
  <c r="T57" i="30" s="1"/>
  <c r="O57" i="23"/>
  <c r="U55" i="23"/>
  <c r="T61" i="30"/>
  <c r="O61" i="23"/>
  <c r="U59" i="23"/>
  <c r="T47" i="30"/>
  <c r="T45" i="30"/>
  <c r="U45" i="30"/>
  <c r="T53" i="30"/>
  <c r="T51" i="30"/>
  <c r="T55" i="30"/>
  <c r="V17" i="24"/>
  <c r="U22" i="23"/>
  <c r="H29" i="3" s="1"/>
  <c r="T48" i="30"/>
  <c r="T49" i="30" s="1"/>
  <c r="N35" i="25" l="1"/>
  <c r="N36" i="25" s="1"/>
  <c r="S92" i="30"/>
  <c r="S96" i="30" s="1"/>
  <c r="S97" i="30" s="1"/>
  <c r="H32" i="3"/>
  <c r="P48" i="24"/>
  <c r="P18" i="24"/>
  <c r="N50" i="2" s="1"/>
  <c r="H33" i="3"/>
  <c r="T63" i="30"/>
  <c r="T64" i="30" s="1"/>
  <c r="U61" i="23"/>
  <c r="H31" i="3"/>
  <c r="U57" i="23"/>
  <c r="T59" i="30"/>
  <c r="V18" i="24" l="1"/>
  <c r="P19" i="24"/>
  <c r="O24" i="25"/>
  <c r="P49" i="24"/>
  <c r="H34" i="3"/>
  <c r="P56" i="24" l="1"/>
  <c r="P53" i="24"/>
  <c r="P54" i="24"/>
  <c r="O11" i="25"/>
  <c r="O14" i="25" s="1"/>
  <c r="O25" i="25"/>
  <c r="O32" i="25"/>
  <c r="T91" i="30" s="1"/>
  <c r="V19" i="24"/>
  <c r="P40" i="24"/>
  <c r="N51" i="2" s="1"/>
  <c r="T16" i="30"/>
  <c r="T8" i="30"/>
  <c r="P52" i="24"/>
  <c r="P20" i="24"/>
  <c r="V40" i="24" l="1"/>
  <c r="T17" i="30"/>
  <c r="T89" i="30"/>
  <c r="U25" i="25"/>
  <c r="O20" i="25"/>
  <c r="T93" i="30"/>
  <c r="P11" i="25"/>
  <c r="P14" i="25" s="1"/>
  <c r="T86" i="30"/>
  <c r="T88" i="30" l="1"/>
  <c r="O33" i="25"/>
  <c r="U93" i="30"/>
  <c r="Q11" i="25"/>
  <c r="Q14" i="25" s="1"/>
  <c r="U14" i="25" s="1"/>
  <c r="U86" i="30"/>
  <c r="P20" i="25"/>
  <c r="F11" i="40" l="1"/>
  <c r="V93" i="30"/>
  <c r="Q20" i="25"/>
  <c r="V86" i="30"/>
  <c r="T92" i="30"/>
  <c r="T96" i="30" s="1"/>
  <c r="T97" i="30" s="1"/>
  <c r="O35" i="25"/>
  <c r="O36" i="25" s="1"/>
  <c r="P33" i="25"/>
  <c r="U88" i="30"/>
  <c r="E86" i="30" l="1"/>
  <c r="E88" i="45"/>
  <c r="E88" i="44"/>
  <c r="E88" i="32"/>
  <c r="E88" i="31"/>
  <c r="U20" i="25"/>
  <c r="V88" i="30"/>
  <c r="Q33" i="25"/>
  <c r="P35" i="25"/>
  <c r="P36" i="25" s="1"/>
  <c r="U92" i="30"/>
  <c r="U96" i="30" s="1"/>
  <c r="U97" i="30" s="1"/>
  <c r="E95" i="32"/>
  <c r="E95" i="31"/>
  <c r="E95" i="44"/>
  <c r="E95" i="45"/>
  <c r="E93" i="30"/>
  <c r="R11" i="25"/>
  <c r="R14" i="25" s="1"/>
  <c r="R20" i="25" s="1"/>
  <c r="R33" i="25" s="1"/>
  <c r="R35" i="25" s="1"/>
  <c r="R36" i="25" s="1"/>
  <c r="F14" i="40"/>
  <c r="E90" i="32" l="1"/>
  <c r="E90" i="44"/>
  <c r="E90" i="45"/>
  <c r="E88" i="30"/>
  <c r="E90" i="31"/>
  <c r="Q35" i="25"/>
  <c r="Q36" i="25" s="1"/>
  <c r="V92" i="30"/>
  <c r="U33" i="25"/>
  <c r="K95" i="31"/>
  <c r="K88" i="31"/>
  <c r="G11" i="40"/>
  <c r="F20" i="40"/>
  <c r="E94" i="45" l="1"/>
  <c r="E92" i="30"/>
  <c r="E94" i="31"/>
  <c r="E94" i="44"/>
  <c r="E94" i="32"/>
  <c r="V96" i="30"/>
  <c r="K90" i="31"/>
  <c r="F33" i="40"/>
  <c r="S11" i="25"/>
  <c r="S14" i="25" s="1"/>
  <c r="S20" i="25" s="1"/>
  <c r="S33" i="25" s="1"/>
  <c r="S35" i="25" s="1"/>
  <c r="S36" i="25" s="1"/>
  <c r="G14" i="40"/>
  <c r="F35" i="40" l="1"/>
  <c r="F36" i="40" s="1"/>
  <c r="K94" i="31"/>
  <c r="K98" i="31" s="1"/>
  <c r="K99" i="31" s="1"/>
  <c r="H11" i="40"/>
  <c r="L88" i="31"/>
  <c r="G20" i="40"/>
  <c r="L95" i="31"/>
  <c r="E98" i="31"/>
  <c r="V97" i="30"/>
  <c r="E98" i="45"/>
  <c r="E98" i="44"/>
  <c r="E96" i="30"/>
  <c r="E98" i="32"/>
  <c r="E97" i="30" l="1"/>
  <c r="E99" i="31"/>
  <c r="E99" i="44"/>
  <c r="E99" i="45"/>
  <c r="E99" i="32"/>
  <c r="L90" i="31"/>
  <c r="G33" i="40"/>
  <c r="T11" i="25"/>
  <c r="T14" i="25" s="1"/>
  <c r="T20" i="25" s="1"/>
  <c r="T33" i="25" s="1"/>
  <c r="T35" i="25" s="1"/>
  <c r="T36" i="25" s="1"/>
  <c r="H14" i="40"/>
  <c r="G35" i="40" l="1"/>
  <c r="G36" i="40" s="1"/>
  <c r="L94" i="31"/>
  <c r="L98" i="31" s="1"/>
  <c r="L99" i="31" s="1"/>
  <c r="H20" i="40"/>
  <c r="M95" i="31"/>
  <c r="M88" i="31"/>
  <c r="I11" i="40"/>
  <c r="I14" i="40" s="1"/>
  <c r="N95" i="31" l="1"/>
  <c r="N88" i="31"/>
  <c r="J11" i="40"/>
  <c r="J14" i="40" s="1"/>
  <c r="I20" i="40"/>
  <c r="H33" i="40"/>
  <c r="M90" i="31"/>
  <c r="N90" i="31" l="1"/>
  <c r="I33" i="40"/>
  <c r="H35" i="40"/>
  <c r="H36" i="40" s="1"/>
  <c r="M94" i="31"/>
  <c r="M98" i="31" s="1"/>
  <c r="M99" i="31" s="1"/>
  <c r="K11" i="40"/>
  <c r="K14" i="40" s="1"/>
  <c r="O95" i="31"/>
  <c r="J20" i="40"/>
  <c r="O88" i="31"/>
  <c r="J33" i="40" l="1"/>
  <c r="O90" i="31"/>
  <c r="P88" i="31"/>
  <c r="L11" i="40"/>
  <c r="L14" i="40" s="1"/>
  <c r="P95" i="31"/>
  <c r="K20" i="40"/>
  <c r="I35" i="40"/>
  <c r="I36" i="40" s="1"/>
  <c r="N94" i="31"/>
  <c r="N98" i="31" s="1"/>
  <c r="N99" i="31" s="1"/>
  <c r="P90" i="31" l="1"/>
  <c r="K33" i="40"/>
  <c r="M11" i="40"/>
  <c r="M14" i="40" s="1"/>
  <c r="Q95" i="31"/>
  <c r="L20" i="40"/>
  <c r="Q88" i="31"/>
  <c r="O94" i="31"/>
  <c r="O98" i="31" s="1"/>
  <c r="O99" i="31" s="1"/>
  <c r="J35" i="40"/>
  <c r="J36" i="40" s="1"/>
  <c r="Q90" i="31" l="1"/>
  <c r="L33" i="40"/>
  <c r="K35" i="40"/>
  <c r="K36" i="40" s="1"/>
  <c r="P94" i="31"/>
  <c r="P98" i="31" s="1"/>
  <c r="P99" i="31" s="1"/>
  <c r="M20" i="40"/>
  <c r="R88" i="31"/>
  <c r="R95" i="31"/>
  <c r="N11" i="40"/>
  <c r="N14" i="40" s="1"/>
  <c r="S95" i="31" l="1"/>
  <c r="N20" i="40"/>
  <c r="S88" i="31"/>
  <c r="O11" i="40"/>
  <c r="O14" i="40" s="1"/>
  <c r="R90" i="31"/>
  <c r="M33" i="40"/>
  <c r="Q94" i="31"/>
  <c r="Q98" i="31" s="1"/>
  <c r="Q99" i="31" s="1"/>
  <c r="L35" i="40"/>
  <c r="L36" i="40" s="1"/>
  <c r="M35" i="40" l="1"/>
  <c r="M36" i="40" s="1"/>
  <c r="R94" i="31"/>
  <c r="R98" i="31" s="1"/>
  <c r="R99" i="31" s="1"/>
  <c r="O20" i="40"/>
  <c r="T88" i="31"/>
  <c r="P11" i="40"/>
  <c r="P14" i="40" s="1"/>
  <c r="T95" i="31"/>
  <c r="N33" i="40"/>
  <c r="S90" i="31"/>
  <c r="S94" i="31" l="1"/>
  <c r="S98" i="31" s="1"/>
  <c r="S99" i="31" s="1"/>
  <c r="N35" i="40"/>
  <c r="N36" i="40" s="1"/>
  <c r="U95" i="31"/>
  <c r="Q11" i="40"/>
  <c r="Q14" i="40" s="1"/>
  <c r="U14" i="40" s="1"/>
  <c r="P20" i="40"/>
  <c r="U88" i="31"/>
  <c r="O33" i="40"/>
  <c r="T90" i="31"/>
  <c r="O35" i="40" l="1"/>
  <c r="O36" i="40" s="1"/>
  <c r="T94" i="31"/>
  <c r="T98" i="31" s="1"/>
  <c r="T99" i="31" s="1"/>
  <c r="P33" i="40"/>
  <c r="U90" i="31"/>
  <c r="V95" i="31"/>
  <c r="F11" i="41"/>
  <c r="Q20" i="40"/>
  <c r="V88" i="31"/>
  <c r="V90" i="31" l="1"/>
  <c r="Q33" i="40"/>
  <c r="U20" i="40"/>
  <c r="R11" i="40"/>
  <c r="R14" i="40" s="1"/>
  <c r="R20" i="40" s="1"/>
  <c r="R33" i="40" s="1"/>
  <c r="R35" i="40" s="1"/>
  <c r="R36" i="40" s="1"/>
  <c r="F14" i="41"/>
  <c r="F95" i="45"/>
  <c r="F93" i="30"/>
  <c r="F95" i="44"/>
  <c r="F95" i="32"/>
  <c r="F95" i="31"/>
  <c r="U94" i="31"/>
  <c r="U98" i="31" s="1"/>
  <c r="U99" i="31" s="1"/>
  <c r="P35" i="40"/>
  <c r="P36" i="40" s="1"/>
  <c r="U33" i="40"/>
  <c r="F88" i="44"/>
  <c r="F88" i="31"/>
  <c r="F88" i="32"/>
  <c r="F88" i="45"/>
  <c r="F86" i="30"/>
  <c r="V94" i="31" l="1"/>
  <c r="Q35" i="40"/>
  <c r="Q36" i="40" s="1"/>
  <c r="K95" i="32"/>
  <c r="K88" i="32"/>
  <c r="G11" i="41"/>
  <c r="F20" i="41"/>
  <c r="F88" i="30"/>
  <c r="F90" i="45"/>
  <c r="F90" i="32"/>
  <c r="F90" i="31"/>
  <c r="F90" i="44"/>
  <c r="K90" i="32" l="1"/>
  <c r="F33" i="41"/>
  <c r="S11" i="40"/>
  <c r="S14" i="40" s="1"/>
  <c r="S20" i="40" s="1"/>
  <c r="S33" i="40" s="1"/>
  <c r="S35" i="40" s="1"/>
  <c r="S36" i="40" s="1"/>
  <c r="G14" i="41"/>
  <c r="F94" i="44"/>
  <c r="F94" i="31"/>
  <c r="V98" i="31"/>
  <c r="F94" i="45"/>
  <c r="F92" i="30"/>
  <c r="F94" i="32"/>
  <c r="F98" i="45" l="1"/>
  <c r="F98" i="32"/>
  <c r="V99" i="31"/>
  <c r="F96" i="30"/>
  <c r="F98" i="44"/>
  <c r="F98" i="31"/>
  <c r="L95" i="32"/>
  <c r="G20" i="41"/>
  <c r="L88" i="32"/>
  <c r="H11" i="41"/>
  <c r="F35" i="41"/>
  <c r="F36" i="41" s="1"/>
  <c r="K94" i="32"/>
  <c r="K98" i="32" s="1"/>
  <c r="K99" i="32" s="1"/>
  <c r="L90" i="32" l="1"/>
  <c r="G33" i="41"/>
  <c r="F99" i="31"/>
  <c r="F99" i="32"/>
  <c r="F99" i="45"/>
  <c r="F99" i="44"/>
  <c r="F97" i="30"/>
  <c r="T11" i="40"/>
  <c r="T14" i="40" s="1"/>
  <c r="T20" i="40" s="1"/>
  <c r="T33" i="40" s="1"/>
  <c r="T35" i="40" s="1"/>
  <c r="T36" i="40" s="1"/>
  <c r="H14" i="41"/>
  <c r="G35" i="41" l="1"/>
  <c r="G36" i="41" s="1"/>
  <c r="L94" i="32"/>
  <c r="L98" i="32" s="1"/>
  <c r="L99" i="32" s="1"/>
  <c r="M88" i="32"/>
  <c r="M95" i="32"/>
  <c r="H20" i="41"/>
  <c r="I11" i="41"/>
  <c r="I14" i="41" s="1"/>
  <c r="N95" i="32" l="1"/>
  <c r="J11" i="41"/>
  <c r="J14" i="41" s="1"/>
  <c r="N88" i="32"/>
  <c r="I20" i="41"/>
  <c r="H33" i="41"/>
  <c r="M90" i="32"/>
  <c r="O88" i="32" l="1"/>
  <c r="O95" i="32"/>
  <c r="J20" i="41"/>
  <c r="K11" i="41"/>
  <c r="K14" i="41" s="1"/>
  <c r="H35" i="41"/>
  <c r="H36" i="41" s="1"/>
  <c r="M94" i="32"/>
  <c r="M98" i="32" s="1"/>
  <c r="M99" i="32" s="1"/>
  <c r="I33" i="41"/>
  <c r="N90" i="32"/>
  <c r="O90" i="32" l="1"/>
  <c r="J33" i="41"/>
  <c r="I35" i="41"/>
  <c r="I36" i="41" s="1"/>
  <c r="N94" i="32"/>
  <c r="N98" i="32" s="1"/>
  <c r="N99" i="32" s="1"/>
  <c r="K20" i="41"/>
  <c r="P95" i="32"/>
  <c r="P88" i="32"/>
  <c r="L11" i="41"/>
  <c r="L14" i="41" s="1"/>
  <c r="L20" i="41" l="1"/>
  <c r="Q88" i="32"/>
  <c r="Q95" i="32"/>
  <c r="M11" i="41"/>
  <c r="M14" i="41" s="1"/>
  <c r="K33" i="41"/>
  <c r="P90" i="32"/>
  <c r="J35" i="41"/>
  <c r="J36" i="41" s="1"/>
  <c r="O94" i="32"/>
  <c r="O98" i="32" s="1"/>
  <c r="O99" i="32" s="1"/>
  <c r="P94" i="32" l="1"/>
  <c r="P98" i="32" s="1"/>
  <c r="P99" i="32" s="1"/>
  <c r="K35" i="41"/>
  <c r="K36" i="41" s="1"/>
  <c r="N11" i="41"/>
  <c r="N14" i="41" s="1"/>
  <c r="R95" i="32"/>
  <c r="R88" i="32"/>
  <c r="M20" i="41"/>
  <c r="L33" i="41"/>
  <c r="Q90" i="32"/>
  <c r="N20" i="41" l="1"/>
  <c r="S95" i="32"/>
  <c r="S88" i="32"/>
  <c r="O11" i="41"/>
  <c r="O14" i="41" s="1"/>
  <c r="L35" i="41"/>
  <c r="L36" i="41" s="1"/>
  <c r="Q94" i="32"/>
  <c r="Q98" i="32" s="1"/>
  <c r="Q99" i="32" s="1"/>
  <c r="M33" i="41"/>
  <c r="R90" i="32"/>
  <c r="M35" i="41" l="1"/>
  <c r="M36" i="41" s="1"/>
  <c r="R94" i="32"/>
  <c r="R98" i="32" s="1"/>
  <c r="R99" i="32" s="1"/>
  <c r="T88" i="32"/>
  <c r="O20" i="41"/>
  <c r="T95" i="32"/>
  <c r="P11" i="41"/>
  <c r="P14" i="41" s="1"/>
  <c r="S90" i="32"/>
  <c r="N33" i="41"/>
  <c r="U88" i="32" l="1"/>
  <c r="U95" i="32"/>
  <c r="P20" i="41"/>
  <c r="Q11" i="41"/>
  <c r="Q14" i="41" s="1"/>
  <c r="U14" i="41" s="1"/>
  <c r="N35" i="41"/>
  <c r="N36" i="41" s="1"/>
  <c r="S94" i="32"/>
  <c r="S98" i="32" s="1"/>
  <c r="S99" i="32" s="1"/>
  <c r="T90" i="32"/>
  <c r="O33" i="41"/>
  <c r="V88" i="32" l="1"/>
  <c r="V95" i="32"/>
  <c r="Q20" i="41"/>
  <c r="F11" i="42"/>
  <c r="P33" i="41"/>
  <c r="U90" i="32"/>
  <c r="T94" i="32"/>
  <c r="T98" i="32" s="1"/>
  <c r="T99" i="32" s="1"/>
  <c r="O35" i="41"/>
  <c r="O36" i="41" s="1"/>
  <c r="U94" i="32" l="1"/>
  <c r="U98" i="32" s="1"/>
  <c r="U99" i="32" s="1"/>
  <c r="P35" i="41"/>
  <c r="P36" i="41" s="1"/>
  <c r="Q33" i="41"/>
  <c r="U33" i="41" s="1"/>
  <c r="V90" i="32"/>
  <c r="G95" i="32"/>
  <c r="G95" i="44"/>
  <c r="G95" i="45"/>
  <c r="G95" i="31"/>
  <c r="G93" i="30"/>
  <c r="R11" i="41"/>
  <c r="R14" i="41" s="1"/>
  <c r="R20" i="41" s="1"/>
  <c r="R33" i="41" s="1"/>
  <c r="R35" i="41" s="1"/>
  <c r="R36" i="41" s="1"/>
  <c r="F14" i="42"/>
  <c r="U20" i="41"/>
  <c r="G86" i="30"/>
  <c r="G88" i="44"/>
  <c r="G88" i="32"/>
  <c r="G88" i="45"/>
  <c r="G88" i="31"/>
  <c r="K88" i="44" l="1"/>
  <c r="F20" i="42"/>
  <c r="G11" i="42"/>
  <c r="K95" i="44"/>
  <c r="V94" i="32"/>
  <c r="Q35" i="41"/>
  <c r="Q36" i="41" s="1"/>
  <c r="G90" i="32"/>
  <c r="G90" i="31"/>
  <c r="G90" i="45"/>
  <c r="G88" i="30"/>
  <c r="G90" i="44"/>
  <c r="F33" i="42" l="1"/>
  <c r="K90" i="44"/>
  <c r="G94" i="31"/>
  <c r="G94" i="32"/>
  <c r="V98" i="32"/>
  <c r="G94" i="44"/>
  <c r="G92" i="30"/>
  <c r="G94" i="45"/>
  <c r="G14" i="42"/>
  <c r="S11" i="41"/>
  <c r="S14" i="41" s="1"/>
  <c r="S20" i="41" s="1"/>
  <c r="S33" i="41" s="1"/>
  <c r="S35" i="41" s="1"/>
  <c r="S36" i="41" s="1"/>
  <c r="V99" i="32" l="1"/>
  <c r="G98" i="44"/>
  <c r="G96" i="30"/>
  <c r="G98" i="31"/>
  <c r="G98" i="45"/>
  <c r="G98" i="32"/>
  <c r="G20" i="42"/>
  <c r="L88" i="44"/>
  <c r="L95" i="44"/>
  <c r="H11" i="42"/>
  <c r="F35" i="42"/>
  <c r="F36" i="42" s="1"/>
  <c r="K94" i="44"/>
  <c r="K98" i="44" s="1"/>
  <c r="K99" i="44" s="1"/>
  <c r="L90" i="44" l="1"/>
  <c r="G33" i="42"/>
  <c r="H14" i="42"/>
  <c r="T11" i="41"/>
  <c r="T14" i="41" s="1"/>
  <c r="T20" i="41" s="1"/>
  <c r="T33" i="41" s="1"/>
  <c r="T35" i="41" s="1"/>
  <c r="T36" i="41" s="1"/>
  <c r="G99" i="45"/>
  <c r="G97" i="30"/>
  <c r="G99" i="31"/>
  <c r="G99" i="32"/>
  <c r="G99" i="44"/>
  <c r="L94" i="44" l="1"/>
  <c r="L98" i="44" s="1"/>
  <c r="L99" i="44" s="1"/>
  <c r="G35" i="42"/>
  <c r="G36" i="42" s="1"/>
  <c r="M95" i="44"/>
  <c r="H20" i="42"/>
  <c r="I11" i="42"/>
  <c r="I14" i="42" s="1"/>
  <c r="M88" i="44"/>
  <c r="N88" i="44" l="1"/>
  <c r="N95" i="44"/>
  <c r="I20" i="42"/>
  <c r="J11" i="42"/>
  <c r="J14" i="42" s="1"/>
  <c r="M90" i="44"/>
  <c r="H33" i="42"/>
  <c r="O88" i="44" l="1"/>
  <c r="J20" i="42"/>
  <c r="O95" i="44"/>
  <c r="K11" i="42"/>
  <c r="K14" i="42" s="1"/>
  <c r="M94" i="44"/>
  <c r="M98" i="44" s="1"/>
  <c r="M99" i="44" s="1"/>
  <c r="H35" i="42"/>
  <c r="H36" i="42" s="1"/>
  <c r="I33" i="42"/>
  <c r="N90" i="44"/>
  <c r="I35" i="42" l="1"/>
  <c r="I36" i="42" s="1"/>
  <c r="N94" i="44"/>
  <c r="N98" i="44" s="1"/>
  <c r="N99" i="44" s="1"/>
  <c r="L11" i="42"/>
  <c r="L14" i="42" s="1"/>
  <c r="P95" i="44"/>
  <c r="K20" i="42"/>
  <c r="P88" i="44"/>
  <c r="J33" i="42"/>
  <c r="O90" i="44"/>
  <c r="J35" i="42" l="1"/>
  <c r="J36" i="42" s="1"/>
  <c r="O94" i="44"/>
  <c r="O98" i="44" s="1"/>
  <c r="O99" i="44" s="1"/>
  <c r="P90" i="44"/>
  <c r="K33" i="42"/>
  <c r="Q95" i="44"/>
  <c r="Q88" i="44"/>
  <c r="L20" i="42"/>
  <c r="M11" i="42"/>
  <c r="M14" i="42" s="1"/>
  <c r="M20" i="42" l="1"/>
  <c r="R88" i="44"/>
  <c r="N11" i="42"/>
  <c r="N14" i="42" s="1"/>
  <c r="R95" i="44"/>
  <c r="Q90" i="44"/>
  <c r="L33" i="42"/>
  <c r="P94" i="44"/>
  <c r="P98" i="44" s="1"/>
  <c r="P99" i="44" s="1"/>
  <c r="K35" i="42"/>
  <c r="K36" i="42" s="1"/>
  <c r="L35" i="42" l="1"/>
  <c r="L36" i="42" s="1"/>
  <c r="Q94" i="44"/>
  <c r="Q98" i="44" s="1"/>
  <c r="Q99" i="44" s="1"/>
  <c r="S95" i="44"/>
  <c r="O11" i="42"/>
  <c r="O14" i="42" s="1"/>
  <c r="N20" i="42"/>
  <c r="S88" i="44"/>
  <c r="M33" i="42"/>
  <c r="R90" i="44"/>
  <c r="R94" i="44" l="1"/>
  <c r="R98" i="44" s="1"/>
  <c r="R99" i="44" s="1"/>
  <c r="M35" i="42"/>
  <c r="M36" i="42" s="1"/>
  <c r="N33" i="42"/>
  <c r="S90" i="44"/>
  <c r="T95" i="44"/>
  <c r="T88" i="44"/>
  <c r="P11" i="42"/>
  <c r="P14" i="42" s="1"/>
  <c r="O20" i="42"/>
  <c r="S94" i="44" l="1"/>
  <c r="S98" i="44" s="1"/>
  <c r="S99" i="44" s="1"/>
  <c r="N35" i="42"/>
  <c r="N36" i="42" s="1"/>
  <c r="T90" i="44"/>
  <c r="O33" i="42"/>
  <c r="U95" i="44"/>
  <c r="P20" i="42"/>
  <c r="U88" i="44"/>
  <c r="Q11" i="42"/>
  <c r="Q14" i="42" s="1"/>
  <c r="V95" i="44" l="1"/>
  <c r="Q20" i="42"/>
  <c r="V88" i="44"/>
  <c r="F11" i="43"/>
  <c r="P33" i="42"/>
  <c r="U90" i="44"/>
  <c r="U20" i="42"/>
  <c r="O35" i="42"/>
  <c r="O36" i="42" s="1"/>
  <c r="T94" i="44"/>
  <c r="T98" i="44" s="1"/>
  <c r="T99" i="44" s="1"/>
  <c r="U14" i="42"/>
  <c r="F14" i="43" l="1"/>
  <c r="R11" i="42"/>
  <c r="R14" i="42" s="1"/>
  <c r="R20" i="42" s="1"/>
  <c r="R33" i="42" s="1"/>
  <c r="R35" i="42" s="1"/>
  <c r="R36" i="42" s="1"/>
  <c r="H86" i="30"/>
  <c r="H88" i="31"/>
  <c r="H88" i="44"/>
  <c r="H88" i="32"/>
  <c r="H88" i="45"/>
  <c r="Q33" i="42"/>
  <c r="V90" i="44"/>
  <c r="U94" i="44"/>
  <c r="U98" i="44" s="1"/>
  <c r="U99" i="44" s="1"/>
  <c r="P35" i="42"/>
  <c r="P36" i="42" s="1"/>
  <c r="H93" i="30"/>
  <c r="H95" i="44"/>
  <c r="H95" i="32"/>
  <c r="H95" i="45"/>
  <c r="H95" i="31"/>
  <c r="V94" i="44" l="1"/>
  <c r="Q35" i="42"/>
  <c r="Q36" i="42" s="1"/>
  <c r="U33" i="42"/>
  <c r="H90" i="45"/>
  <c r="H90" i="32"/>
  <c r="H88" i="30"/>
  <c r="H90" i="44"/>
  <c r="H90" i="31"/>
  <c r="K88" i="45"/>
  <c r="K95" i="45"/>
  <c r="F20" i="43"/>
  <c r="G11" i="43"/>
  <c r="F33" i="43" l="1"/>
  <c r="K90" i="45"/>
  <c r="S11" i="42"/>
  <c r="S14" i="42" s="1"/>
  <c r="S20" i="42" s="1"/>
  <c r="S33" i="42" s="1"/>
  <c r="S35" i="42" s="1"/>
  <c r="S36" i="42" s="1"/>
  <c r="G14" i="43"/>
  <c r="H94" i="45"/>
  <c r="H92" i="30"/>
  <c r="H94" i="31"/>
  <c r="H94" i="32"/>
  <c r="V98" i="44"/>
  <c r="H94" i="44"/>
  <c r="L88" i="45" l="1"/>
  <c r="G20" i="43"/>
  <c r="H11" i="43"/>
  <c r="L95" i="45"/>
  <c r="H98" i="32"/>
  <c r="V99" i="44"/>
  <c r="H96" i="30"/>
  <c r="H98" i="45"/>
  <c r="H98" i="31"/>
  <c r="H98" i="44"/>
  <c r="F35" i="43"/>
  <c r="F36" i="43" s="1"/>
  <c r="K94" i="45"/>
  <c r="K98" i="45" s="1"/>
  <c r="K99" i="45" s="1"/>
  <c r="T11" i="42" l="1"/>
  <c r="T14" i="42" s="1"/>
  <c r="T20" i="42" s="1"/>
  <c r="T33" i="42" s="1"/>
  <c r="T35" i="42" s="1"/>
  <c r="T36" i="42" s="1"/>
  <c r="H14" i="43"/>
  <c r="H99" i="44"/>
  <c r="H99" i="45"/>
  <c r="H97" i="30"/>
  <c r="H99" i="32"/>
  <c r="H99" i="31"/>
  <c r="L90" i="45"/>
  <c r="G33" i="43"/>
  <c r="M88" i="45" l="1"/>
  <c r="M95" i="45"/>
  <c r="H20" i="43"/>
  <c r="I11" i="43"/>
  <c r="I14" i="43" s="1"/>
  <c r="L94" i="45"/>
  <c r="L98" i="45" s="1"/>
  <c r="L99" i="45" s="1"/>
  <c r="G35" i="43"/>
  <c r="G36" i="43" s="1"/>
  <c r="N88" i="45" l="1"/>
  <c r="I20" i="43"/>
  <c r="N95" i="45"/>
  <c r="J11" i="43"/>
  <c r="J14" i="43" s="1"/>
  <c r="M90" i="45"/>
  <c r="H33" i="43"/>
  <c r="H35" i="43" l="1"/>
  <c r="H36" i="43" s="1"/>
  <c r="M94" i="45"/>
  <c r="M98" i="45" s="1"/>
  <c r="M99" i="45" s="1"/>
  <c r="O95" i="45"/>
  <c r="O88" i="45"/>
  <c r="K11" i="43"/>
  <c r="K14" i="43" s="1"/>
  <c r="J20" i="43"/>
  <c r="I33" i="43"/>
  <c r="N90" i="45"/>
  <c r="P95" i="45" l="1"/>
  <c r="K20" i="43"/>
  <c r="P88" i="45"/>
  <c r="L11" i="43"/>
  <c r="L14" i="43" s="1"/>
  <c r="I35" i="43"/>
  <c r="I36" i="43" s="1"/>
  <c r="N94" i="45"/>
  <c r="N98" i="45" s="1"/>
  <c r="N99" i="45" s="1"/>
  <c r="J33" i="43"/>
  <c r="O90" i="45"/>
  <c r="O94" i="45" l="1"/>
  <c r="O98" i="45" s="1"/>
  <c r="O99" i="45" s="1"/>
  <c r="J35" i="43"/>
  <c r="J36" i="43" s="1"/>
  <c r="Q95" i="45"/>
  <c r="M11" i="43"/>
  <c r="M14" i="43" s="1"/>
  <c r="Q88" i="45"/>
  <c r="L20" i="43"/>
  <c r="P90" i="45"/>
  <c r="K33" i="43"/>
  <c r="K35" i="43" l="1"/>
  <c r="K36" i="43" s="1"/>
  <c r="P94" i="45"/>
  <c r="P98" i="45" s="1"/>
  <c r="P99" i="45" s="1"/>
  <c r="Q90" i="45"/>
  <c r="L33" i="43"/>
  <c r="R95" i="45"/>
  <c r="R88" i="45"/>
  <c r="M20" i="43"/>
  <c r="N11" i="43"/>
  <c r="N14" i="43" s="1"/>
  <c r="M33" i="43" l="1"/>
  <c r="R90" i="45"/>
  <c r="N20" i="43"/>
  <c r="O11" i="43"/>
  <c r="O14" i="43" s="1"/>
  <c r="S88" i="45"/>
  <c r="S95" i="45"/>
  <c r="Q94" i="45"/>
  <c r="Q98" i="45" s="1"/>
  <c r="Q99" i="45" s="1"/>
  <c r="L35" i="43"/>
  <c r="L36" i="43" s="1"/>
  <c r="T88" i="45" l="1"/>
  <c r="T95" i="45"/>
  <c r="O20" i="43"/>
  <c r="P11" i="43"/>
  <c r="P14" i="43" s="1"/>
  <c r="S90" i="45"/>
  <c r="N33" i="43"/>
  <c r="R94" i="45"/>
  <c r="R98" i="45" s="1"/>
  <c r="R99" i="45" s="1"/>
  <c r="M35" i="43"/>
  <c r="M36" i="43" s="1"/>
  <c r="U88" i="45" l="1"/>
  <c r="U95" i="45"/>
  <c r="P20" i="43"/>
  <c r="Q11" i="43"/>
  <c r="Q14" i="43" s="1"/>
  <c r="U14" i="43" s="1"/>
  <c r="S94" i="45"/>
  <c r="S98" i="45" s="1"/>
  <c r="S99" i="45" s="1"/>
  <c r="N35" i="43"/>
  <c r="N36" i="43" s="1"/>
  <c r="O33" i="43"/>
  <c r="T90" i="45"/>
  <c r="O35" i="43" l="1"/>
  <c r="O36" i="43" s="1"/>
  <c r="T94" i="45"/>
  <c r="T98" i="45" s="1"/>
  <c r="T99" i="45" s="1"/>
  <c r="V95" i="45"/>
  <c r="Q20" i="43"/>
  <c r="V88" i="45"/>
  <c r="U90" i="45"/>
  <c r="P33" i="43"/>
  <c r="P35" i="43" l="1"/>
  <c r="P36" i="43" s="1"/>
  <c r="U94" i="45"/>
  <c r="U98" i="45" s="1"/>
  <c r="U99" i="45" s="1"/>
  <c r="Q33" i="43"/>
  <c r="V90" i="45"/>
  <c r="I95" i="32"/>
  <c r="I95" i="44"/>
  <c r="I95" i="31"/>
  <c r="I93" i="30"/>
  <c r="I95" i="45"/>
  <c r="I88" i="31"/>
  <c r="I86" i="30"/>
  <c r="I88" i="44"/>
  <c r="I88" i="45"/>
  <c r="I88" i="32"/>
  <c r="U33" i="43"/>
  <c r="U20" i="43"/>
  <c r="I90" i="31" l="1"/>
  <c r="I88" i="30"/>
  <c r="I90" i="45"/>
  <c r="I90" i="44"/>
  <c r="I90" i="32"/>
  <c r="V94" i="45"/>
  <c r="Q35" i="43"/>
  <c r="Q36" i="43" s="1"/>
  <c r="I94" i="31" l="1"/>
  <c r="V98" i="45"/>
  <c r="I94" i="32"/>
  <c r="I92" i="30"/>
  <c r="I94" i="44"/>
  <c r="I94" i="45"/>
  <c r="I98" i="45" l="1"/>
  <c r="I96" i="30"/>
  <c r="V99" i="45"/>
  <c r="I98" i="31"/>
  <c r="I98" i="32"/>
  <c r="I98" i="44"/>
  <c r="I99" i="44" l="1"/>
  <c r="I99" i="31"/>
  <c r="I99" i="45"/>
  <c r="I99" i="32"/>
  <c r="I97" i="30"/>
</calcChain>
</file>

<file path=xl/sharedStrings.xml><?xml version="1.0" encoding="utf-8"?>
<sst xmlns="http://schemas.openxmlformats.org/spreadsheetml/2006/main" count="2536" uniqueCount="306">
  <si>
    <t>Fiscal Year</t>
  </si>
  <si>
    <t>Sun</t>
  </si>
  <si>
    <t>Revenue</t>
  </si>
  <si>
    <t>COGS</t>
  </si>
  <si>
    <t>GROSS MARGIN</t>
  </si>
  <si>
    <t>Variable Expenses</t>
  </si>
  <si>
    <t>EBITDA</t>
  </si>
  <si>
    <t>Depreciation &amp; Amortization</t>
  </si>
  <si>
    <t>EBIT</t>
  </si>
  <si>
    <t>Net Interest Expense</t>
  </si>
  <si>
    <t>Net Profit Before Tax</t>
  </si>
  <si>
    <t>Tax Expense</t>
  </si>
  <si>
    <t>Net Profit After Tax</t>
  </si>
  <si>
    <t>Net Profit After Tax %</t>
  </si>
  <si>
    <t>Operating Cash Flows</t>
  </si>
  <si>
    <t>EBITDA %</t>
  </si>
  <si>
    <t>Break Even Analysis</t>
  </si>
  <si>
    <t>Break Even Chart</t>
  </si>
  <si>
    <t>Gross Margin</t>
  </si>
  <si>
    <t>Break Even level</t>
  </si>
  <si>
    <t>Year Ending</t>
  </si>
  <si>
    <t>Growth %</t>
  </si>
  <si>
    <t>% of Revenue</t>
  </si>
  <si>
    <t>GROSS MARGIN %</t>
  </si>
  <si>
    <t>Fixed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</si>
  <si>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</si>
  <si>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</si>
  <si>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</si>
  <si>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</si>
  <si>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</si>
  <si>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</si>
  <si>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</si>
  <si>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</si>
  <si>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</si>
  <si>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</si>
  <si>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</si>
  <si>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</si>
  <si>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Cash Receipts</t>
  </si>
  <si>
    <t>Cash Payments</t>
  </si>
  <si>
    <t>Other Operating Cash Flows</t>
  </si>
  <si>
    <t>Capital Expenditure</t>
  </si>
  <si>
    <t>Other Investing Cash Flows</t>
  </si>
  <si>
    <t>Investing Cash Flows</t>
  </si>
  <si>
    <t>Debt Drawdowns/(Repayments)</t>
  </si>
  <si>
    <t>Equity Raisings/(Buybacks)</t>
  </si>
  <si>
    <t>Other Financing Cash Flows</t>
  </si>
  <si>
    <t>Financing Cash Flows</t>
  </si>
  <si>
    <t>Closing Cash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</si>
  <si>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</si>
  <si>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</si>
  <si>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</si>
  <si>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</si>
  <si>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</si>
  <si>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</si>
  <si>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Net Assets</t>
  </si>
  <si>
    <t>Net Current Assets</t>
  </si>
  <si>
    <t>Ordinary Equity</t>
  </si>
  <si>
    <t>Other Equity</t>
  </si>
  <si>
    <t>Retained Profits</t>
  </si>
  <si>
    <t>Total Equity</t>
  </si>
  <si>
    <t>Wages</t>
  </si>
  <si>
    <t>Misc</t>
  </si>
  <si>
    <t>Top Expenses To December 2023</t>
  </si>
  <si>
    <t>Top Expenses</t>
  </si>
  <si>
    <t>Month</t>
  </si>
  <si>
    <t>Mon-Fri</t>
  </si>
  <si>
    <t>Sat</t>
  </si>
  <si>
    <t>OOS Seasonal Assumptions</t>
  </si>
  <si>
    <t>Breakdown Seasonal Assumptions</t>
  </si>
  <si>
    <t>Salaries Assumptions</t>
  </si>
  <si>
    <t>Department</t>
  </si>
  <si>
    <t>Number Of Employees and Wages</t>
  </si>
  <si>
    <t>Totals</t>
  </si>
  <si>
    <t>Advertising</t>
  </si>
  <si>
    <t>BUDGET</t>
  </si>
  <si>
    <t>NET EXPENSES</t>
  </si>
  <si>
    <t>REVENUE</t>
  </si>
  <si>
    <t>PROFIT MARGINS</t>
  </si>
  <si>
    <t>DEBT TO EQUITY RATIO</t>
  </si>
  <si>
    <t>NO.</t>
  </si>
  <si>
    <t>NAME</t>
  </si>
  <si>
    <t>GOAL</t>
  </si>
  <si>
    <t>ACTUAL</t>
  </si>
  <si>
    <t>REMAINDER</t>
  </si>
  <si>
    <t>ADDITIONAL</t>
  </si>
  <si>
    <t>TOTAL</t>
  </si>
  <si>
    <t>GROSS</t>
  </si>
  <si>
    <t>NET</t>
  </si>
  <si>
    <t>CALENDAR</t>
  </si>
  <si>
    <t>DEBT</t>
  </si>
  <si>
    <t>EQUITY</t>
  </si>
  <si>
    <t>Balance Sheet 2023</t>
  </si>
  <si>
    <t>Planned Value</t>
  </si>
  <si>
    <t>Actual</t>
  </si>
  <si>
    <t>TEAM AVERAGE</t>
  </si>
  <si>
    <t>Task</t>
  </si>
  <si>
    <t>% OF GOAL REACHED</t>
  </si>
  <si>
    <t>ROI</t>
  </si>
  <si>
    <t>Variables</t>
  </si>
  <si>
    <t>Target</t>
  </si>
  <si>
    <t>Variance</t>
  </si>
  <si>
    <t>Average</t>
  </si>
  <si>
    <t>Totals2</t>
  </si>
  <si>
    <t>Overuns</t>
  </si>
  <si>
    <t>OOS Costs</t>
  </si>
  <si>
    <t>% Of Costs</t>
  </si>
  <si>
    <t>Areas</t>
  </si>
  <si>
    <t>Actual / Target</t>
  </si>
  <si>
    <t>% Target</t>
  </si>
  <si>
    <t>Location 1</t>
  </si>
  <si>
    <t>Location 2</t>
  </si>
  <si>
    <t>Location 3</t>
  </si>
  <si>
    <t>Location 4</t>
  </si>
  <si>
    <t>Location 5</t>
  </si>
  <si>
    <t>Location 6</t>
  </si>
  <si>
    <t>Total Revenue</t>
  </si>
  <si>
    <t>Total COGS</t>
  </si>
  <si>
    <t>Placeholder 1</t>
  </si>
  <si>
    <t>Placeholder 2</t>
  </si>
  <si>
    <t>Placeholder 3</t>
  </si>
  <si>
    <t>Placeholder 5</t>
  </si>
  <si>
    <t>Placeholder 6</t>
  </si>
  <si>
    <t>Placeholder 7</t>
  </si>
  <si>
    <t>Placeholder 8</t>
  </si>
  <si>
    <t>Total Variable Expenses</t>
  </si>
  <si>
    <t>Total Admin Salary and Wages</t>
  </si>
  <si>
    <t>Utilities</t>
  </si>
  <si>
    <t>Miscellaneous</t>
  </si>
  <si>
    <t>Placeholder7</t>
  </si>
  <si>
    <t>Placeholder8</t>
  </si>
  <si>
    <t>Placeholder9</t>
  </si>
  <si>
    <t>Placeholder10</t>
  </si>
  <si>
    <t>Placeholder11</t>
  </si>
  <si>
    <t>Placeholder12</t>
  </si>
  <si>
    <t>Placeholder13</t>
  </si>
  <si>
    <t>Placeholder14</t>
  </si>
  <si>
    <t>Placeholder15</t>
  </si>
  <si>
    <t>Total Fixed Expenses</t>
  </si>
  <si>
    <t>Total Depriciation &amp; Amortization</t>
  </si>
  <si>
    <t>Interest Expense</t>
  </si>
  <si>
    <t>Income Statement</t>
  </si>
  <si>
    <t>[Company Name]</t>
  </si>
  <si>
    <t>.</t>
  </si>
  <si>
    <t>Cash Flow Statement</t>
  </si>
  <si>
    <t>Model Name</t>
  </si>
  <si>
    <t>Go to the Table of Contents</t>
  </si>
  <si>
    <t>Cash Flow from Operating Activities</t>
  </si>
  <si>
    <t>Interest Paid</t>
  </si>
  <si>
    <t>Corporate Tax Paid</t>
  </si>
  <si>
    <t>CASH INFLOW</t>
  </si>
  <si>
    <t>CASH OUTFLOW</t>
  </si>
  <si>
    <t>Net Cash Flow from Operating Activities</t>
  </si>
  <si>
    <t>Cash Flow from Investing Activities</t>
  </si>
  <si>
    <t>Fixed Assets Capital Expenditure</t>
  </si>
  <si>
    <t>Net Cash Flow from Investing Activities</t>
  </si>
  <si>
    <t>Cash Flow from Financing Activities</t>
  </si>
  <si>
    <t>Debt Drawdowns</t>
  </si>
  <si>
    <t>Debt Repayments</t>
  </si>
  <si>
    <t>Ordinary Equity Raisings</t>
  </si>
  <si>
    <t>Ordinary Equity Buybacks</t>
  </si>
  <si>
    <t>Ordinary Equity Dividends Paid</t>
  </si>
  <si>
    <t>Net Cash Flow from Financing Activities</t>
  </si>
  <si>
    <t>Net Increase/(Decrease) in Cash Held</t>
  </si>
  <si>
    <t>Interest on Cash Breakdown</t>
  </si>
  <si>
    <t>Change in Cash (Pre-Corporate Tax &amp; Interest on Cash)</t>
  </si>
  <si>
    <t>Cash Flow to Capital Providers</t>
  </si>
  <si>
    <t>Cash Flow Available To Capital Providers (CFACP)</t>
  </si>
  <si>
    <t>Cash Flow Available to Equity (CFAE)</t>
  </si>
  <si>
    <t>Cash Flow Available for Dividends (CFAD)</t>
  </si>
  <si>
    <t>Balance Sheet</t>
  </si>
  <si>
    <t>Financial Year</t>
  </si>
  <si>
    <t>Cash</t>
  </si>
  <si>
    <t>Accounts Receivable</t>
  </si>
  <si>
    <t>Inventory</t>
  </si>
  <si>
    <t>Total Current Assets</t>
  </si>
  <si>
    <t>Assets Closing Net Book Value</t>
  </si>
  <si>
    <t>CAPEX Prepayment</t>
  </si>
  <si>
    <t>Fixed Assets</t>
  </si>
  <si>
    <t>Total Non-Current Assets</t>
  </si>
  <si>
    <t>CAPEX Payable</t>
  </si>
  <si>
    <t>Accounts Payable</t>
  </si>
  <si>
    <t>Corporate Tax Payable</t>
  </si>
  <si>
    <t>Total Current Liabilities</t>
  </si>
  <si>
    <t>Debt</t>
  </si>
  <si>
    <t>Other Non-Current Liabilities</t>
  </si>
  <si>
    <t>Total Non-Current Liabilities</t>
  </si>
  <si>
    <t>Total Error Checks Result</t>
  </si>
  <si>
    <t>Alert Check (Negative Cash)</t>
  </si>
  <si>
    <t>Deviation</t>
  </si>
  <si>
    <t>-</t>
  </si>
  <si>
    <t>Admin Salaries &amp; Wages</t>
  </si>
  <si>
    <t>Financial year</t>
  </si>
  <si>
    <t>Placeholder</t>
  </si>
  <si>
    <t>Net Cash Flow from Operating Activities (Indirect)</t>
  </si>
  <si>
    <t>Change In Cash Held</t>
  </si>
  <si>
    <t>Non-Current Liabilties</t>
  </si>
  <si>
    <t>Income Statement Summer 2023</t>
  </si>
  <si>
    <t>Cash Flow Statement 2024</t>
  </si>
  <si>
    <t>Income Statement Summer 2024</t>
  </si>
  <si>
    <t>Balance Sheet 2024</t>
  </si>
  <si>
    <t>Direct Salaries and Wages</t>
  </si>
  <si>
    <t>COGS Placeholder 1</t>
  </si>
  <si>
    <t>COGS Placeholder 2</t>
  </si>
  <si>
    <t>COGS Placeholder 3</t>
  </si>
  <si>
    <t>COGS Placeholder 4</t>
  </si>
  <si>
    <t>COGS Placeholder 5</t>
  </si>
  <si>
    <t>COGS Placeholder 6</t>
  </si>
  <si>
    <t>Break Even Calculation</t>
  </si>
  <si>
    <t>Top Expenses To December 2024</t>
  </si>
  <si>
    <t>Number Of Employees</t>
  </si>
  <si>
    <t>Percentage Of Time Taken</t>
  </si>
  <si>
    <t>Run</t>
  </si>
  <si>
    <t>Planner Name:</t>
  </si>
  <si>
    <t>Manager:</t>
  </si>
  <si>
    <t>Planned</t>
  </si>
  <si>
    <t>Active Customers</t>
  </si>
  <si>
    <t>Billable Days</t>
  </si>
  <si>
    <t>Cost Per Day</t>
  </si>
  <si>
    <t>Services Assumptions</t>
  </si>
  <si>
    <t>% Rise</t>
  </si>
  <si>
    <t>COGS Assumptions</t>
  </si>
  <si>
    <t>Contract Name:</t>
  </si>
  <si>
    <t>Building Rent</t>
  </si>
  <si>
    <t>Equipment Rental</t>
  </si>
  <si>
    <t>Cash Flow Statement 5 Years to December 2027</t>
  </si>
  <si>
    <t>Income Statement 5 Years to December 2027</t>
  </si>
  <si>
    <t>Balance Sheet 5 Years to December 2027</t>
  </si>
  <si>
    <t>Income Statement Summer 2027</t>
  </si>
  <si>
    <t>Cash Flow Statement Summer 2023</t>
  </si>
  <si>
    <t>Cash Flow Statement 2025</t>
  </si>
  <si>
    <t>Income Statement Summer 2025</t>
  </si>
  <si>
    <t>Balance Sheet 2025</t>
  </si>
  <si>
    <t>Cash Flow Statement 2026</t>
  </si>
  <si>
    <t>Income Statement Summer 2026</t>
  </si>
  <si>
    <t>Balance Sheet 2026</t>
  </si>
  <si>
    <t>Cash Flow Statement 2027</t>
  </si>
  <si>
    <t>Balance Sheet 2027</t>
  </si>
  <si>
    <t>Service 1</t>
  </si>
  <si>
    <t>Service 2</t>
  </si>
  <si>
    <t>Service 3</t>
  </si>
  <si>
    <t>Service 4</t>
  </si>
  <si>
    <t>Service 5</t>
  </si>
  <si>
    <t>Service 6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</si>
  <si>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</si>
  <si>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</si>
  <si>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</si>
  <si>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</si>
  <si>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</si>
  <si>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</si>
  <si>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</si>
  <si>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</si>
  <si>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</si>
  <si>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</si>
  <si>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</si>
  <si>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</si>
  <si>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Monthly Sales Assumptions</t>
  </si>
  <si>
    <t>Seasonal Assumptions</t>
  </si>
  <si>
    <t>Service</t>
  </si>
  <si>
    <t>Actual Months Contracted</t>
  </si>
  <si>
    <t>Planned Months</t>
  </si>
  <si>
    <t>Actual Months Taken</t>
  </si>
  <si>
    <t>Office Lease</t>
  </si>
  <si>
    <t>Maintenance</t>
  </si>
  <si>
    <t>TIME OVER Months</t>
  </si>
  <si>
    <t>Planned Months vs Actual Months Taken</t>
  </si>
  <si>
    <t>Expenditure Service 1</t>
  </si>
  <si>
    <t>Earned Service 1</t>
  </si>
  <si>
    <t>Expenditure Service 2</t>
  </si>
  <si>
    <t>Earned Service 2</t>
  </si>
  <si>
    <t>Expenditure Service 3</t>
  </si>
  <si>
    <t>Earned Service 3</t>
  </si>
  <si>
    <t>Track Planned Months vs Time Spent on Multiple Servcies in Multiple Locations</t>
  </si>
  <si>
    <t>Actual Months</t>
  </si>
  <si>
    <t>Target Months</t>
  </si>
  <si>
    <t>Service Percent Usage 2023</t>
  </si>
  <si>
    <t>Service Percent Usage 2024</t>
  </si>
  <si>
    <t>Service Percent Usage 2025</t>
  </si>
  <si>
    <t>Sales Team</t>
  </si>
  <si>
    <t>Service Incomes</t>
  </si>
  <si>
    <t>Services KPIs</t>
  </si>
  <si>
    <t xml:space="preserve">Team Name: </t>
  </si>
  <si>
    <t xml:space="preserve">Income Statement </t>
  </si>
  <si>
    <t xml:space="preserve">Balance Sheet </t>
  </si>
  <si>
    <t>Percentage Increase From Previous Year</t>
  </si>
  <si>
    <t>Subscriptions</t>
  </si>
  <si>
    <t>Cash Inflow</t>
  </si>
  <si>
    <t>Cash Outflow</t>
  </si>
  <si>
    <t>Net Cash</t>
  </si>
  <si>
    <t>Fuel</t>
  </si>
  <si>
    <t>Vehicle Lease</t>
  </si>
  <si>
    <t>Materials</t>
  </si>
  <si>
    <t>Travel</t>
  </si>
  <si>
    <t>3rd Part HR</t>
  </si>
  <si>
    <t>Vehicle Rental</t>
  </si>
  <si>
    <t>Cabling</t>
  </si>
  <si>
    <t>Accommodation</t>
  </si>
  <si>
    <t>Chief Executive Officer</t>
  </si>
  <si>
    <t>Installation Manager</t>
  </si>
  <si>
    <t>Installer</t>
  </si>
  <si>
    <t>Business Analyst</t>
  </si>
  <si>
    <t>Installation Architect</t>
  </si>
  <si>
    <t>Business Developer</t>
  </si>
  <si>
    <t>Test Manager</t>
  </si>
  <si>
    <t>Junior Installer</t>
  </si>
  <si>
    <t>Sales</t>
  </si>
  <si>
    <t>Generated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</si>
</sst>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2" tint="-0.499984740745262"/>
      <name val="Arial"/>
      <family val="2"/>
    </font>
    <font>
      <sz val="10"/>
      <color theme="1"/>
      <name val="Arial"/>
      <family val="2"/>
    </font>
    <font>
      <shadow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7" tint="-0.499984740745262"/>
      <name val="Arial"/>
      <family val="2"/>
    </font>
    <font>
      <sz val="18"/>
      <color theme="1" tint="0.34998626667073579"/>
      <name val="Century Gothic"/>
      <family val="2"/>
    </font>
    <font>
      <sz val="12"/>
      <color theme="8" tint="-0.249977111117893"/>
      <name val="Century Gothic"/>
      <family val="1"/>
    </font>
    <font>
      <sz val="10"/>
      <color theme="0"/>
      <name val="Century Gothic"/>
      <family val="2"/>
    </font>
    <font>
      <sz val="12"/>
      <color theme="1"/>
      <name val="Century Gothic"/>
      <family val="1"/>
    </font>
    <font>
      <sz val="11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8" tint="0.39997558519241921"/>
      </left>
      <right/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1" tint="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415">
    <xf numFmtId="0" fontId="0" fillId="0" borderId="0" xfId="0"/>
    <xf numFmtId="3" fontId="0" fillId="0" borderId="0" xfId="0" applyNumberFormat="1"/>
    <xf numFmtId="10" fontId="0" fillId="0" borderId="0" xfId="0" applyNumberFormat="1"/>
    <xf numFmtId="1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0" fontId="0" fillId="6" borderId="0" xfId="0" applyFill="1"/>
    <xf numFmtId="9" fontId="0" fillId="0" borderId="0" xfId="1" applyFont="1" applyAlignment="1">
      <alignment horizontal="center"/>
    </xf>
    <xf numFmtId="0" fontId="0" fillId="3" borderId="10" xfId="0" applyFill="1" applyBorder="1"/>
    <xf numFmtId="9" fontId="0" fillId="4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2" fillId="0" borderId="0" xfId="0" applyFont="1"/>
    <xf numFmtId="0" fontId="0" fillId="3" borderId="9" xfId="0" applyFill="1" applyBorder="1"/>
    <xf numFmtId="0" fontId="0" fillId="3" borderId="3" xfId="0" applyFill="1" applyBorder="1"/>
    <xf numFmtId="3" fontId="0" fillId="4" borderId="0" xfId="0" applyNumberForma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9" fontId="0" fillId="4" borderId="7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9" fontId="0" fillId="4" borderId="9" xfId="1" applyFont="1" applyFill="1" applyBorder="1" applyAlignment="1">
      <alignment horizontal="center"/>
    </xf>
    <xf numFmtId="9" fontId="0" fillId="4" borderId="11" xfId="1" applyFont="1" applyFill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9" fontId="0" fillId="4" borderId="11" xfId="0" applyNumberFormat="1" applyFill="1" applyBorder="1" applyAlignment="1">
      <alignment horizontal="center"/>
    </xf>
    <xf numFmtId="10" fontId="0" fillId="4" borderId="8" xfId="0" applyNumberFormat="1" applyFill="1" applyBorder="1" applyAlignment="1">
      <alignment horizontal="center"/>
    </xf>
    <xf numFmtId="10" fontId="0" fillId="4" borderId="11" xfId="0" applyNumberFormat="1" applyFill="1" applyBorder="1" applyAlignment="1">
      <alignment horizontal="center"/>
    </xf>
    <xf numFmtId="9" fontId="0" fillId="4" borderId="9" xfId="0" applyNumberFormat="1" applyFill="1" applyBorder="1" applyAlignment="1">
      <alignment horizontal="center"/>
    </xf>
    <xf numFmtId="9" fontId="0" fillId="4" borderId="10" xfId="0" applyNumberFormat="1" applyFill="1" applyBorder="1" applyAlignment="1">
      <alignment horizontal="center"/>
    </xf>
    <xf numFmtId="10" fontId="0" fillId="4" borderId="5" xfId="0" applyNumberFormat="1" applyFill="1" applyBorder="1" applyAlignment="1">
      <alignment horizontal="center"/>
    </xf>
    <xf numFmtId="10" fontId="0" fillId="4" borderId="6" xfId="0" applyNumberFormat="1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10" fontId="0" fillId="4" borderId="10" xfId="0" applyNumberFormat="1" applyFill="1" applyBorder="1" applyAlignment="1">
      <alignment horizontal="center"/>
    </xf>
    <xf numFmtId="0" fontId="10" fillId="0" borderId="0" xfId="0" applyFont="1" applyAlignment="1">
      <alignment horizontal="left" vertical="center" wrapText="1" indent="1"/>
    </xf>
    <xf numFmtId="0" fontId="11" fillId="7" borderId="24" xfId="0" applyFont="1" applyFill="1" applyBorder="1" applyAlignment="1">
      <alignment horizontal="left" vertical="center" wrapText="1" indent="1"/>
    </xf>
    <xf numFmtId="0" fontId="11" fillId="8" borderId="24" xfId="0" applyFont="1" applyFill="1" applyBorder="1" applyAlignment="1">
      <alignment horizontal="left" vertical="center" wrapText="1" indent="1"/>
    </xf>
    <xf numFmtId="0" fontId="11" fillId="2" borderId="24" xfId="0" applyFont="1" applyFill="1" applyBorder="1" applyAlignment="1">
      <alignment horizontal="left" vertical="center" wrapText="1" indent="1"/>
    </xf>
    <xf numFmtId="0" fontId="11" fillId="9" borderId="24" xfId="0" applyFont="1" applyFill="1" applyBorder="1" applyAlignment="1">
      <alignment horizontal="left" vertical="center" wrapText="1" indent="1"/>
    </xf>
    <xf numFmtId="0" fontId="9" fillId="10" borderId="24" xfId="0" applyFont="1" applyFill="1" applyBorder="1" applyAlignment="1">
      <alignment horizontal="left" vertical="center" wrapText="1" indent="1"/>
    </xf>
    <xf numFmtId="0" fontId="11" fillId="11" borderId="24" xfId="0" applyFont="1" applyFill="1" applyBorder="1" applyAlignment="1">
      <alignment horizontal="left" vertical="center" wrapText="1" indent="1"/>
    </xf>
    <xf numFmtId="0" fontId="11" fillId="12" borderId="24" xfId="0" applyFont="1" applyFill="1" applyBorder="1" applyAlignment="1">
      <alignment horizontal="left" vertical="center" wrapText="1" indent="1"/>
    </xf>
    <xf numFmtId="0" fontId="11" fillId="13" borderId="24" xfId="0" applyFont="1" applyFill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9" fontId="10" fillId="0" borderId="25" xfId="1" applyFont="1" applyBorder="1" applyAlignment="1">
      <alignment horizontal="left" vertical="center" wrapText="1" indent="1"/>
    </xf>
    <xf numFmtId="1" fontId="10" fillId="0" borderId="25" xfId="0" applyNumberFormat="1" applyFont="1" applyBorder="1" applyAlignment="1">
      <alignment horizontal="left" vertical="center" wrapText="1" indent="1"/>
    </xf>
    <xf numFmtId="0" fontId="10" fillId="3" borderId="25" xfId="0" applyFont="1" applyFill="1" applyBorder="1" applyAlignment="1">
      <alignment horizontal="left" vertical="center" wrapText="1" indent="1"/>
    </xf>
    <xf numFmtId="9" fontId="10" fillId="3" borderId="25" xfId="1" applyFont="1" applyFill="1" applyBorder="1" applyAlignment="1">
      <alignment horizontal="left" vertical="center" wrapText="1" indent="1"/>
    </xf>
    <xf numFmtId="9" fontId="9" fillId="0" borderId="0" xfId="1" applyFont="1" applyAlignment="1">
      <alignment horizontal="left" vertical="center" wrapText="1" indent="1"/>
    </xf>
    <xf numFmtId="0" fontId="0" fillId="0" borderId="2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2" fillId="19" borderId="26" xfId="0" applyFont="1" applyFill="1" applyBorder="1" applyAlignment="1">
      <alignment horizontal="center" vertical="center" wrapText="1"/>
    </xf>
    <xf numFmtId="0" fontId="10" fillId="16" borderId="2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14" borderId="26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10" fillId="17" borderId="26" xfId="0" applyFont="1" applyFill="1" applyBorder="1" applyAlignment="1">
      <alignment horizontal="center" vertical="center" wrapText="1"/>
    </xf>
    <xf numFmtId="0" fontId="12" fillId="18" borderId="26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0" borderId="25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9" fontId="19" fillId="0" borderId="25" xfId="1" applyFont="1" applyBorder="1" applyAlignment="1">
      <alignment horizontal="center" vertical="center"/>
    </xf>
    <xf numFmtId="9" fontId="19" fillId="15" borderId="25" xfId="1" applyFont="1" applyFill="1" applyBorder="1" applyAlignment="1">
      <alignment horizontal="center" vertical="center"/>
    </xf>
    <xf numFmtId="0" fontId="20" fillId="0" borderId="0" xfId="0" applyFont="1"/>
    <xf numFmtId="0" fontId="21" fillId="2" borderId="0" xfId="0" applyFont="1" applyFill="1" applyAlignment="1">
      <alignment horizontal="center" vertical="center" wrapText="1"/>
    </xf>
    <xf numFmtId="2" fontId="22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0" fontId="13" fillId="3" borderId="39" xfId="0" applyFont="1" applyFill="1" applyBorder="1" applyAlignment="1">
      <alignment horizontal="right"/>
    </xf>
    <xf numFmtId="0" fontId="13" fillId="5" borderId="41" xfId="0" applyFont="1" applyFill="1" applyBorder="1"/>
    <xf numFmtId="0" fontId="13" fillId="6" borderId="0" xfId="0" applyFont="1" applyFill="1"/>
    <xf numFmtId="0" fontId="15" fillId="6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23" fillId="0" borderId="0" xfId="0" applyFont="1" applyAlignment="1">
      <alignment horizontal="left"/>
    </xf>
    <xf numFmtId="0" fontId="11" fillId="21" borderId="24" xfId="0" applyFont="1" applyFill="1" applyBorder="1" applyAlignment="1">
      <alignment horizontal="left" vertical="center" wrapText="1" indent="1"/>
    </xf>
    <xf numFmtId="0" fontId="11" fillId="22" borderId="2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 indent="1"/>
    </xf>
    <xf numFmtId="9" fontId="10" fillId="0" borderId="0" xfId="1" applyFont="1" applyFill="1" applyBorder="1" applyAlignment="1">
      <alignment horizontal="right" vertical="center" wrapText="1" indent="1"/>
    </xf>
    <xf numFmtId="0" fontId="26" fillId="3" borderId="0" xfId="0" applyFont="1" applyFill="1"/>
    <xf numFmtId="0" fontId="26" fillId="6" borderId="0" xfId="0" applyFont="1" applyFill="1"/>
    <xf numFmtId="0" fontId="27" fillId="3" borderId="42" xfId="0" applyFont="1" applyFill="1" applyBorder="1" applyAlignment="1">
      <alignment horizontal="right" vertical="center" indent="1"/>
    </xf>
    <xf numFmtId="0" fontId="28" fillId="0" borderId="0" xfId="0" applyFont="1" applyAlignment="1">
      <alignment horizontal="center"/>
    </xf>
    <xf numFmtId="0" fontId="31" fillId="5" borderId="42" xfId="0" applyFont="1" applyFill="1" applyBorder="1" applyAlignment="1">
      <alignment vertical="center"/>
    </xf>
    <xf numFmtId="9" fontId="32" fillId="3" borderId="42" xfId="0" applyNumberFormat="1" applyFont="1" applyFill="1" applyBorder="1" applyAlignment="1">
      <alignment horizontal="center" vertical="center"/>
    </xf>
    <xf numFmtId="2" fontId="32" fillId="3" borderId="42" xfId="0" applyNumberFormat="1" applyFont="1" applyFill="1" applyBorder="1" applyAlignment="1">
      <alignment horizontal="center" vertical="center"/>
    </xf>
    <xf numFmtId="0" fontId="24" fillId="10" borderId="44" xfId="0" applyFont="1" applyFill="1" applyBorder="1" applyAlignment="1">
      <alignment horizontal="right" vertical="center" wrapText="1" indent="1"/>
    </xf>
    <xf numFmtId="0" fontId="11" fillId="8" borderId="24" xfId="0" applyFont="1" applyFill="1" applyBorder="1" applyAlignment="1">
      <alignment horizontal="center" vertical="center" wrapText="1"/>
    </xf>
    <xf numFmtId="0" fontId="11" fillId="8" borderId="43" xfId="0" applyFont="1" applyFill="1" applyBorder="1" applyAlignment="1">
      <alignment horizontal="center" vertical="center" wrapText="1"/>
    </xf>
    <xf numFmtId="10" fontId="10" fillId="6" borderId="25" xfId="0" applyNumberFormat="1" applyFont="1" applyFill="1" applyBorder="1" applyAlignment="1">
      <alignment horizontal="right" vertical="center" wrapText="1" indent="1"/>
    </xf>
    <xf numFmtId="10" fontId="10" fillId="10" borderId="45" xfId="0" applyNumberFormat="1" applyFont="1" applyFill="1" applyBorder="1" applyAlignment="1">
      <alignment horizontal="right" vertical="center" wrapText="1" indent="1"/>
    </xf>
    <xf numFmtId="0" fontId="0" fillId="24" borderId="39" xfId="0" applyFill="1" applyBorder="1"/>
    <xf numFmtId="0" fontId="0" fillId="24" borderId="16" xfId="0" applyFill="1" applyBorder="1" applyAlignment="1">
      <alignment horizontal="right"/>
    </xf>
    <xf numFmtId="0" fontId="0" fillId="24" borderId="16" xfId="0" applyFill="1" applyBorder="1"/>
    <xf numFmtId="0" fontId="0" fillId="24" borderId="40" xfId="0" applyFill="1" applyBorder="1"/>
    <xf numFmtId="0" fontId="0" fillId="6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4" fillId="3" borderId="0" xfId="0" applyFont="1" applyFill="1" applyAlignment="1">
      <alignment horizontal="left" vertical="center"/>
    </xf>
    <xf numFmtId="0" fontId="35" fillId="6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0" borderId="49" xfId="0" applyBorder="1" applyAlignment="1" applyProtection="1">
      <alignment vertical="center"/>
      <protection hidden="1"/>
    </xf>
    <xf numFmtId="3" fontId="0" fillId="0" borderId="49" xfId="0" applyNumberFormat="1" applyBorder="1" applyAlignment="1" applyProtection="1">
      <alignment vertical="center"/>
      <protection locked="0"/>
    </xf>
    <xf numFmtId="3" fontId="2" fillId="3" borderId="49" xfId="0" applyNumberFormat="1" applyFont="1" applyFill="1" applyBorder="1" applyAlignment="1" applyProtection="1">
      <alignment vertical="center"/>
      <protection hidden="1"/>
    </xf>
    <xf numFmtId="164" fontId="0" fillId="0" borderId="49" xfId="1" applyNumberFormat="1" applyFont="1" applyBorder="1" applyAlignment="1" applyProtection="1">
      <alignment vertical="center"/>
      <protection locked="0"/>
    </xf>
    <xf numFmtId="164" fontId="2" fillId="3" borderId="49" xfId="1" applyNumberFormat="1" applyFont="1" applyFill="1" applyBorder="1" applyAlignment="1" applyProtection="1">
      <alignment vertical="center"/>
      <protection hidden="1"/>
    </xf>
    <xf numFmtId="1" fontId="0" fillId="0" borderId="49" xfId="0" applyNumberFormat="1" applyBorder="1" applyAlignment="1" applyProtection="1">
      <alignment vertical="center"/>
      <protection locked="0"/>
    </xf>
    <xf numFmtId="0" fontId="0" fillId="0" borderId="50" xfId="0" applyBorder="1"/>
    <xf numFmtId="0" fontId="0" fillId="0" borderId="51" xfId="0" applyBorder="1"/>
    <xf numFmtId="0" fontId="2" fillId="0" borderId="0" xfId="0" applyFont="1" applyAlignment="1">
      <alignment horizontal="left" indent="5"/>
    </xf>
    <xf numFmtId="0" fontId="2" fillId="6" borderId="0" xfId="0" applyFont="1" applyFill="1"/>
    <xf numFmtId="0" fontId="3" fillId="6" borderId="0" xfId="0" applyFont="1" applyFill="1" applyAlignment="1">
      <alignment horizontal="left" indent="5"/>
    </xf>
    <xf numFmtId="3" fontId="0" fillId="6" borderId="0" xfId="0" applyNumberFormat="1" applyFill="1"/>
    <xf numFmtId="0" fontId="3" fillId="6" borderId="0" xfId="0" applyFont="1" applyFill="1"/>
    <xf numFmtId="3" fontId="37" fillId="6" borderId="0" xfId="0" applyNumberFormat="1" applyFont="1" applyFill="1"/>
    <xf numFmtId="0" fontId="37" fillId="6" borderId="0" xfId="0" applyFont="1" applyFill="1"/>
    <xf numFmtId="0" fontId="36" fillId="6" borderId="0" xfId="0" applyFont="1" applyFill="1"/>
    <xf numFmtId="0" fontId="37" fillId="6" borderId="0" xfId="0" applyFont="1" applyFill="1" applyAlignment="1">
      <alignment horizontal="left" indent="2"/>
    </xf>
    <xf numFmtId="0" fontId="36" fillId="6" borderId="0" xfId="0" applyFont="1" applyFill="1" applyAlignment="1">
      <alignment vertical="center"/>
    </xf>
    <xf numFmtId="0" fontId="37" fillId="6" borderId="0" xfId="0" applyFont="1" applyFill="1" applyAlignment="1">
      <alignment horizontal="left" vertical="center" indent="2"/>
    </xf>
    <xf numFmtId="0" fontId="0" fillId="6" borderId="0" xfId="0" applyFill="1" applyAlignment="1">
      <alignment horizontal="left" vertical="center" indent="2"/>
    </xf>
    <xf numFmtId="0" fontId="0" fillId="20" borderId="0" xfId="0" applyFill="1"/>
    <xf numFmtId="0" fontId="40" fillId="20" borderId="0" xfId="0" applyFont="1" applyFill="1"/>
    <xf numFmtId="3" fontId="40" fillId="20" borderId="0" xfId="0" applyNumberFormat="1" applyFont="1" applyFill="1"/>
    <xf numFmtId="0" fontId="40" fillId="15" borderId="0" xfId="0" applyFont="1" applyFill="1"/>
    <xf numFmtId="0" fontId="41" fillId="20" borderId="0" xfId="0" applyFont="1" applyFill="1"/>
    <xf numFmtId="0" fontId="8" fillId="20" borderId="0" xfId="0" applyFont="1" applyFill="1"/>
    <xf numFmtId="0" fontId="8" fillId="15" borderId="0" xfId="0" applyFont="1" applyFill="1"/>
    <xf numFmtId="3" fontId="8" fillId="15" borderId="0" xfId="0" applyNumberFormat="1" applyFont="1" applyFill="1"/>
    <xf numFmtId="0" fontId="38" fillId="6" borderId="0" xfId="0" applyFont="1" applyFill="1"/>
    <xf numFmtId="3" fontId="38" fillId="6" borderId="0" xfId="0" applyNumberFormat="1" applyFont="1" applyFill="1"/>
    <xf numFmtId="0" fontId="37" fillId="6" borderId="0" xfId="0" applyFont="1" applyFill="1" applyAlignment="1">
      <alignment horizontal="right"/>
    </xf>
    <xf numFmtId="0" fontId="41" fillId="15" borderId="0" xfId="0" applyFont="1" applyFill="1"/>
    <xf numFmtId="3" fontId="40" fillId="15" borderId="0" xfId="0" applyNumberFormat="1" applyFont="1" applyFill="1"/>
    <xf numFmtId="3" fontId="8" fillId="20" borderId="0" xfId="0" applyNumberFormat="1" applyFont="1" applyFill="1"/>
    <xf numFmtId="0" fontId="42" fillId="10" borderId="53" xfId="0" applyFont="1" applyFill="1" applyBorder="1"/>
    <xf numFmtId="0" fontId="43" fillId="10" borderId="53" xfId="0" applyFont="1" applyFill="1" applyBorder="1"/>
    <xf numFmtId="3" fontId="42" fillId="10" borderId="53" xfId="0" applyNumberFormat="1" applyFont="1" applyFill="1" applyBorder="1"/>
    <xf numFmtId="0" fontId="0" fillId="15" borderId="0" xfId="0" applyFill="1"/>
    <xf numFmtId="0" fontId="2" fillId="15" borderId="0" xfId="0" applyFont="1" applyFill="1"/>
    <xf numFmtId="0" fontId="8" fillId="20" borderId="0" xfId="0" applyFont="1" applyFill="1" applyAlignment="1">
      <alignment vertical="center"/>
    </xf>
    <xf numFmtId="0" fontId="39" fillId="20" borderId="0" xfId="0" applyFont="1" applyFill="1" applyAlignment="1">
      <alignment vertical="center"/>
    </xf>
    <xf numFmtId="3" fontId="8" fillId="20" borderId="0" xfId="0" applyNumberFormat="1" applyFont="1" applyFill="1" applyAlignment="1">
      <alignment vertical="center"/>
    </xf>
    <xf numFmtId="0" fontId="8" fillId="15" borderId="0" xfId="0" applyFont="1" applyFill="1" applyAlignment="1">
      <alignment vertical="center"/>
    </xf>
    <xf numFmtId="0" fontId="39" fillId="15" borderId="0" xfId="0" applyFont="1" applyFill="1" applyAlignment="1">
      <alignment vertical="center"/>
    </xf>
    <xf numFmtId="3" fontId="8" fillId="15" borderId="0" xfId="0" applyNumberFormat="1" applyFont="1" applyFill="1" applyAlignment="1">
      <alignment vertical="center"/>
    </xf>
    <xf numFmtId="0" fontId="0" fillId="10" borderId="54" xfId="0" applyFill="1" applyBorder="1" applyAlignment="1">
      <alignment vertical="center"/>
    </xf>
    <xf numFmtId="0" fontId="36" fillId="10" borderId="54" xfId="0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3" fontId="37" fillId="0" borderId="0" xfId="0" applyNumberFormat="1" applyFont="1"/>
    <xf numFmtId="0" fontId="37" fillId="0" borderId="0" xfId="0" applyFont="1" applyAlignment="1">
      <alignment horizontal="left" indent="2"/>
    </xf>
    <xf numFmtId="0" fontId="37" fillId="0" borderId="0" xfId="0" applyFont="1" applyAlignment="1">
      <alignment horizontal="right"/>
    </xf>
    <xf numFmtId="0" fontId="39" fillId="20" borderId="0" xfId="0" applyFont="1" applyFill="1"/>
    <xf numFmtId="17" fontId="39" fillId="20" borderId="0" xfId="0" applyNumberFormat="1" applyFont="1" applyFill="1"/>
    <xf numFmtId="17" fontId="39" fillId="20" borderId="0" xfId="0" applyNumberFormat="1" applyFont="1" applyFill="1" applyAlignment="1">
      <alignment horizontal="center"/>
    </xf>
    <xf numFmtId="0" fontId="8" fillId="20" borderId="0" xfId="0" applyFont="1" applyFill="1" applyAlignment="1">
      <alignment horizontal="left" indent="1"/>
    </xf>
    <xf numFmtId="3" fontId="37" fillId="0" borderId="0" xfId="0" applyNumberFormat="1" applyFont="1" applyAlignment="1">
      <alignment horizontal="right"/>
    </xf>
    <xf numFmtId="0" fontId="36" fillId="0" borderId="0" xfId="0" applyFont="1" applyAlignment="1">
      <alignment horizontal="left" indent="2"/>
    </xf>
    <xf numFmtId="0" fontId="36" fillId="0" borderId="0" xfId="0" applyFont="1" applyAlignment="1">
      <alignment horizontal="left"/>
    </xf>
    <xf numFmtId="0" fontId="39" fillId="20" borderId="0" xfId="0" applyFont="1" applyFill="1" applyAlignment="1">
      <alignment horizontal="left" indent="2"/>
    </xf>
    <xf numFmtId="3" fontId="8" fillId="20" borderId="0" xfId="0" applyNumberFormat="1" applyFont="1" applyFill="1" applyAlignment="1">
      <alignment horizontal="right"/>
    </xf>
    <xf numFmtId="0" fontId="39" fillId="15" borderId="0" xfId="0" applyFont="1" applyFill="1" applyAlignment="1">
      <alignment horizontal="left" indent="2"/>
    </xf>
    <xf numFmtId="3" fontId="8" fillId="15" borderId="0" xfId="0" applyNumberFormat="1" applyFont="1" applyFill="1" applyAlignment="1">
      <alignment horizontal="right"/>
    </xf>
    <xf numFmtId="0" fontId="39" fillId="15" borderId="0" xfId="0" applyFont="1" applyFill="1"/>
    <xf numFmtId="0" fontId="8" fillId="15" borderId="0" xfId="0" applyFont="1" applyFill="1" applyAlignment="1">
      <alignment horizontal="right"/>
    </xf>
    <xf numFmtId="0" fontId="43" fillId="15" borderId="0" xfId="0" applyFont="1" applyFill="1"/>
    <xf numFmtId="0" fontId="43" fillId="15" borderId="0" xfId="0" applyFont="1" applyFill="1" applyAlignment="1">
      <alignment horizontal="center"/>
    </xf>
    <xf numFmtId="3" fontId="2" fillId="0" borderId="0" xfId="0" applyNumberFormat="1" applyFont="1"/>
    <xf numFmtId="0" fontId="0" fillId="6" borderId="55" xfId="0" applyFill="1" applyBorder="1"/>
    <xf numFmtId="0" fontId="0" fillId="6" borderId="7" xfId="0" applyFill="1" applyBorder="1"/>
    <xf numFmtId="3" fontId="0" fillId="6" borderId="7" xfId="0" applyNumberFormat="1" applyFill="1" applyBorder="1"/>
    <xf numFmtId="0" fontId="8" fillId="15" borderId="56" xfId="0" applyFont="1" applyFill="1" applyBorder="1" applyAlignment="1">
      <alignment horizontal="left" indent="1"/>
    </xf>
    <xf numFmtId="0" fontId="8" fillId="15" borderId="56" xfId="0" applyFont="1" applyFill="1" applyBorder="1"/>
    <xf numFmtId="17" fontId="41" fillId="15" borderId="0" xfId="0" applyNumberFormat="1" applyFont="1" applyFill="1" applyAlignment="1">
      <alignment horizontal="center"/>
    </xf>
    <xf numFmtId="0" fontId="41" fillId="20" borderId="0" xfId="0" applyFont="1" applyFill="1" applyAlignment="1">
      <alignment horizontal="center"/>
    </xf>
    <xf numFmtId="0" fontId="39" fillId="15" borderId="0" xfId="0" applyFont="1" applyFill="1" applyAlignment="1">
      <alignment horizontal="center"/>
    </xf>
    <xf numFmtId="0" fontId="8" fillId="15" borderId="0" xfId="0" applyFont="1" applyFill="1" applyAlignment="1">
      <alignment horizontal="left" indent="1"/>
    </xf>
    <xf numFmtId="3" fontId="0" fillId="0" borderId="0" xfId="0" applyNumberFormat="1" applyAlignment="1">
      <alignment horizontal="center"/>
    </xf>
    <xf numFmtId="17" fontId="39" fillId="15" borderId="0" xfId="0" applyNumberFormat="1" applyFont="1" applyFill="1" applyAlignment="1">
      <alignment horizontal="center"/>
    </xf>
    <xf numFmtId="0" fontId="39" fillId="20" borderId="0" xfId="0" applyFont="1" applyFill="1" applyAlignment="1">
      <alignment horizontal="center"/>
    </xf>
    <xf numFmtId="0" fontId="0" fillId="2" borderId="0" xfId="0" applyFill="1"/>
    <xf numFmtId="3" fontId="2" fillId="0" borderId="0" xfId="0" applyNumberFormat="1" applyFont="1" applyAlignment="1">
      <alignment horizontal="center"/>
    </xf>
    <xf numFmtId="0" fontId="8" fillId="20" borderId="0" xfId="0" applyFont="1" applyFill="1" applyAlignment="1">
      <alignment horizontal="center"/>
    </xf>
    <xf numFmtId="3" fontId="8" fillId="20" borderId="0" xfId="0" applyNumberFormat="1" applyFont="1" applyFill="1" applyAlignment="1">
      <alignment horizontal="center"/>
    </xf>
    <xf numFmtId="3" fontId="8" fillId="15" borderId="56" xfId="0" applyNumberFormat="1" applyFont="1" applyFill="1" applyBorder="1" applyAlignment="1">
      <alignment horizontal="center"/>
    </xf>
    <xf numFmtId="3" fontId="8" fillId="15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3" fontId="37" fillId="0" borderId="55" xfId="0" applyNumberFormat="1" applyFont="1" applyBorder="1"/>
    <xf numFmtId="3" fontId="38" fillId="0" borderId="0" xfId="0" applyNumberFormat="1" applyFont="1"/>
    <xf numFmtId="3" fontId="0" fillId="10" borderId="52" xfId="0" applyNumberFormat="1" applyFill="1" applyBorder="1"/>
    <xf numFmtId="3" fontId="0" fillId="4" borderId="9" xfId="0" applyNumberFormat="1" applyFill="1" applyBorder="1" applyAlignment="1">
      <alignment horizontal="center"/>
    </xf>
    <xf numFmtId="0" fontId="39" fillId="20" borderId="9" xfId="0" applyFont="1" applyFill="1" applyBorder="1" applyAlignment="1">
      <alignment horizontal="center"/>
    </xf>
    <xf numFmtId="0" fontId="39" fillId="20" borderId="11" xfId="0" applyFont="1" applyFill="1" applyBorder="1" applyAlignment="1">
      <alignment horizontal="center"/>
    </xf>
    <xf numFmtId="0" fontId="39" fillId="20" borderId="10" xfId="0" applyFont="1" applyFill="1" applyBorder="1" applyAlignment="1">
      <alignment horizontal="center"/>
    </xf>
    <xf numFmtId="3" fontId="0" fillId="23" borderId="12" xfId="0" applyNumberFormat="1" applyFill="1" applyBorder="1" applyAlignment="1">
      <alignment horizontal="left"/>
    </xf>
    <xf numFmtId="3" fontId="0" fillId="23" borderId="13" xfId="0" applyNumberFormat="1" applyFill="1" applyBorder="1" applyAlignment="1">
      <alignment horizontal="left"/>
    </xf>
    <xf numFmtId="3" fontId="0" fillId="23" borderId="14" xfId="0" applyNumberFormat="1" applyFill="1" applyBorder="1" applyAlignment="1">
      <alignment horizontal="left"/>
    </xf>
    <xf numFmtId="3" fontId="0" fillId="23" borderId="15" xfId="0" applyNumberFormat="1" applyFill="1" applyBorder="1" applyAlignment="1">
      <alignment horizontal="left"/>
    </xf>
    <xf numFmtId="3" fontId="0" fillId="23" borderId="16" xfId="0" applyNumberFormat="1" applyFill="1" applyBorder="1" applyAlignment="1">
      <alignment horizontal="left"/>
    </xf>
    <xf numFmtId="3" fontId="0" fillId="23" borderId="17" xfId="0" applyNumberFormat="1" applyFill="1" applyBorder="1" applyAlignment="1">
      <alignment horizontal="left"/>
    </xf>
    <xf numFmtId="3" fontId="10" fillId="6" borderId="25" xfId="0" applyNumberFormat="1" applyFont="1" applyFill="1" applyBorder="1" applyAlignment="1">
      <alignment horizontal="right" vertical="center" wrapText="1" indent="1"/>
    </xf>
    <xf numFmtId="3" fontId="10" fillId="23" borderId="25" xfId="0" applyNumberFormat="1" applyFont="1" applyFill="1" applyBorder="1" applyAlignment="1">
      <alignment horizontal="center" vertical="center" wrapText="1"/>
    </xf>
    <xf numFmtId="3" fontId="10" fillId="23" borderId="25" xfId="0" applyNumberFormat="1" applyFont="1" applyFill="1" applyBorder="1" applyAlignment="1">
      <alignment horizontal="right" vertical="center" wrapText="1" indent="1"/>
    </xf>
    <xf numFmtId="3" fontId="10" fillId="6" borderId="21" xfId="0" applyNumberFormat="1" applyFont="1" applyFill="1" applyBorder="1" applyAlignment="1">
      <alignment horizontal="right" vertical="center" wrapText="1" indent="1"/>
    </xf>
    <xf numFmtId="3" fontId="10" fillId="10" borderId="45" xfId="0" applyNumberFormat="1" applyFont="1" applyFill="1" applyBorder="1" applyAlignment="1">
      <alignment horizontal="right" vertical="center" wrapText="1" indent="1"/>
    </xf>
    <xf numFmtId="3" fontId="10" fillId="10" borderId="45" xfId="0" applyNumberFormat="1" applyFont="1" applyFill="1" applyBorder="1" applyAlignment="1">
      <alignment horizontal="center" vertical="center" wrapText="1"/>
    </xf>
    <xf numFmtId="3" fontId="10" fillId="0" borderId="25" xfId="2" applyNumberFormat="1" applyFont="1" applyBorder="1" applyAlignment="1">
      <alignment horizontal="left" vertical="center" wrapText="1" indent="1"/>
    </xf>
    <xf numFmtId="3" fontId="10" fillId="0" borderId="25" xfId="0" applyNumberFormat="1" applyFont="1" applyBorder="1" applyAlignment="1">
      <alignment horizontal="left" vertical="center" wrapText="1" indent="1"/>
    </xf>
    <xf numFmtId="3" fontId="10" fillId="3" borderId="25" xfId="2" applyNumberFormat="1" applyFont="1" applyFill="1" applyBorder="1" applyAlignment="1">
      <alignment horizontal="left" vertical="center" wrapText="1" indent="1"/>
    </xf>
    <xf numFmtId="3" fontId="10" fillId="3" borderId="25" xfId="0" applyNumberFormat="1" applyFont="1" applyFill="1" applyBorder="1" applyAlignment="1">
      <alignment horizontal="left" vertical="center" wrapText="1" indent="1"/>
    </xf>
    <xf numFmtId="3" fontId="9" fillId="0" borderId="0" xfId="0" applyNumberFormat="1" applyFont="1" applyAlignment="1">
      <alignment horizontal="left" vertical="center" wrapText="1" indent="1"/>
    </xf>
    <xf numFmtId="3" fontId="10" fillId="0" borderId="26" xfId="0" applyNumberFormat="1" applyFon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0" fontId="0" fillId="25" borderId="0" xfId="0" applyFill="1"/>
    <xf numFmtId="0" fontId="0" fillId="25" borderId="0" xfId="0" applyFill="1" applyAlignment="1">
      <alignment horizontal="center"/>
    </xf>
    <xf numFmtId="0" fontId="39" fillId="20" borderId="49" xfId="0" applyFont="1" applyFill="1" applyBorder="1" applyAlignment="1">
      <alignment horizontal="center" vertical="center"/>
    </xf>
    <xf numFmtId="0" fontId="39" fillId="20" borderId="49" xfId="0" applyFont="1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3" fontId="0" fillId="23" borderId="59" xfId="0" applyNumberFormat="1" applyFill="1" applyBorder="1" applyAlignment="1">
      <alignment horizontal="left"/>
    </xf>
    <xf numFmtId="3" fontId="0" fillId="23" borderId="60" xfId="0" applyNumberFormat="1" applyFill="1" applyBorder="1" applyAlignment="1">
      <alignment horizontal="left"/>
    </xf>
    <xf numFmtId="3" fontId="0" fillId="23" borderId="61" xfId="0" applyNumberFormat="1" applyFill="1" applyBorder="1" applyAlignment="1">
      <alignment horizontal="left"/>
    </xf>
    <xf numFmtId="0" fontId="0" fillId="0" borderId="16" xfId="0" applyBorder="1"/>
    <xf numFmtId="0" fontId="0" fillId="0" borderId="62" xfId="0" applyBorder="1"/>
    <xf numFmtId="0" fontId="0" fillId="0" borderId="63" xfId="0" applyBorder="1"/>
    <xf numFmtId="0" fontId="0" fillId="0" borderId="41" xfId="0" applyBorder="1"/>
    <xf numFmtId="0" fontId="0" fillId="6" borderId="41" xfId="0" applyFill="1" applyBorder="1"/>
    <xf numFmtId="0" fontId="2" fillId="6" borderId="41" xfId="0" applyFont="1" applyFill="1" applyBorder="1"/>
    <xf numFmtId="0" fontId="0" fillId="6" borderId="64" xfId="0" applyFill="1" applyBorder="1"/>
    <xf numFmtId="0" fontId="3" fillId="6" borderId="65" xfId="0" applyFont="1" applyFill="1" applyBorder="1"/>
    <xf numFmtId="0" fontId="0" fillId="6" borderId="65" xfId="0" applyFill="1" applyBorder="1"/>
    <xf numFmtId="0" fontId="0" fillId="6" borderId="66" xfId="0" applyFill="1" applyBorder="1"/>
    <xf numFmtId="0" fontId="0" fillId="6" borderId="67" xfId="0" applyFill="1" applyBorder="1"/>
    <xf numFmtId="0" fontId="0" fillId="6" borderId="49" xfId="0" applyFill="1" applyBorder="1"/>
    <xf numFmtId="0" fontId="0" fillId="6" borderId="68" xfId="0" applyFill="1" applyBorder="1"/>
    <xf numFmtId="0" fontId="2" fillId="6" borderId="68" xfId="0" applyFont="1" applyFill="1" applyBorder="1"/>
    <xf numFmtId="0" fontId="0" fillId="0" borderId="67" xfId="0" applyBorder="1"/>
    <xf numFmtId="0" fontId="0" fillId="0" borderId="49" xfId="0" applyBorder="1"/>
    <xf numFmtId="0" fontId="0" fillId="0" borderId="68" xfId="0" applyBorder="1"/>
    <xf numFmtId="0" fontId="37" fillId="6" borderId="67" xfId="0" applyFont="1" applyFill="1" applyBorder="1" applyAlignment="1">
      <alignment horizontal="left" indent="2"/>
    </xf>
    <xf numFmtId="9" fontId="0" fillId="0" borderId="49" xfId="0" applyNumberFormat="1" applyBorder="1"/>
    <xf numFmtId="9" fontId="0" fillId="6" borderId="49" xfId="0" applyNumberFormat="1" applyFill="1" applyBorder="1"/>
    <xf numFmtId="0" fontId="37" fillId="6" borderId="49" xfId="0" applyFont="1" applyFill="1" applyBorder="1" applyAlignment="1">
      <alignment horizontal="left" indent="2"/>
    </xf>
    <xf numFmtId="3" fontId="37" fillId="6" borderId="49" xfId="0" applyNumberFormat="1" applyFont="1" applyFill="1" applyBorder="1"/>
    <xf numFmtId="0" fontId="40" fillId="20" borderId="69" xfId="0" applyFont="1" applyFill="1" applyBorder="1"/>
    <xf numFmtId="0" fontId="41" fillId="20" borderId="70" xfId="0" applyFont="1" applyFill="1" applyBorder="1"/>
    <xf numFmtId="0" fontId="40" fillId="20" borderId="70" xfId="0" applyFont="1" applyFill="1" applyBorder="1"/>
    <xf numFmtId="0" fontId="40" fillId="12" borderId="70" xfId="0" applyFont="1" applyFill="1" applyBorder="1" applyAlignment="1">
      <alignment horizontal="center"/>
    </xf>
    <xf numFmtId="0" fontId="41" fillId="20" borderId="70" xfId="0" applyFont="1" applyFill="1" applyBorder="1" applyAlignment="1">
      <alignment horizontal="center"/>
    </xf>
    <xf numFmtId="0" fontId="40" fillId="15" borderId="69" xfId="0" applyFont="1" applyFill="1" applyBorder="1"/>
    <xf numFmtId="0" fontId="41" fillId="15" borderId="70" xfId="0" applyFont="1" applyFill="1" applyBorder="1"/>
    <xf numFmtId="0" fontId="40" fillId="15" borderId="70" xfId="0" applyFont="1" applyFill="1" applyBorder="1"/>
    <xf numFmtId="17" fontId="41" fillId="15" borderId="70" xfId="0" applyNumberFormat="1" applyFont="1" applyFill="1" applyBorder="1" applyAlignment="1">
      <alignment horizontal="center"/>
    </xf>
    <xf numFmtId="17" fontId="41" fillId="15" borderId="71" xfId="0" applyNumberFormat="1" applyFont="1" applyFill="1" applyBorder="1" applyAlignment="1">
      <alignment horizontal="center"/>
    </xf>
    <xf numFmtId="3" fontId="40" fillId="12" borderId="70" xfId="0" applyNumberFormat="1" applyFont="1" applyFill="1" applyBorder="1" applyAlignment="1">
      <alignment horizontal="center"/>
    </xf>
    <xf numFmtId="3" fontId="40" fillId="20" borderId="70" xfId="0" applyNumberFormat="1" applyFont="1" applyFill="1" applyBorder="1"/>
    <xf numFmtId="3" fontId="40" fillId="20" borderId="71" xfId="0" applyNumberFormat="1" applyFont="1" applyFill="1" applyBorder="1"/>
    <xf numFmtId="3" fontId="40" fillId="12" borderId="70" xfId="0" applyNumberFormat="1" applyFont="1" applyFill="1" applyBorder="1"/>
    <xf numFmtId="3" fontId="40" fillId="15" borderId="70" xfId="0" applyNumberFormat="1" applyFont="1" applyFill="1" applyBorder="1"/>
    <xf numFmtId="0" fontId="41" fillId="15" borderId="69" xfId="0" applyFont="1" applyFill="1" applyBorder="1"/>
    <xf numFmtId="0" fontId="0" fillId="15" borderId="70" xfId="0" applyFill="1" applyBorder="1"/>
    <xf numFmtId="0" fontId="39" fillId="15" borderId="71" xfId="0" applyFont="1" applyFill="1" applyBorder="1" applyAlignment="1">
      <alignment horizontal="center"/>
    </xf>
    <xf numFmtId="3" fontId="0" fillId="6" borderId="72" xfId="0" applyNumberFormat="1" applyFill="1" applyBorder="1"/>
    <xf numFmtId="0" fontId="0" fillId="15" borderId="68" xfId="0" applyFill="1" applyBorder="1"/>
    <xf numFmtId="3" fontId="8" fillId="20" borderId="68" xfId="0" applyNumberFormat="1" applyFont="1" applyFill="1" applyBorder="1"/>
    <xf numFmtId="3" fontId="8" fillId="15" borderId="72" xfId="0" applyNumberFormat="1" applyFont="1" applyFill="1" applyBorder="1"/>
    <xf numFmtId="0" fontId="39" fillId="20" borderId="68" xfId="0" applyFont="1" applyFill="1" applyBorder="1" applyAlignment="1">
      <alignment horizontal="center"/>
    </xf>
    <xf numFmtId="3" fontId="0" fillId="26" borderId="40" xfId="0" applyNumberFormat="1" applyFill="1" applyBorder="1"/>
    <xf numFmtId="0" fontId="0" fillId="26" borderId="40" xfId="0" applyFill="1" applyBorder="1"/>
    <xf numFmtId="0" fontId="38" fillId="6" borderId="0" xfId="0" applyFont="1" applyFill="1" applyAlignment="1">
      <alignment horizontal="right"/>
    </xf>
    <xf numFmtId="3" fontId="0" fillId="10" borderId="74" xfId="0" applyNumberFormat="1" applyFill="1" applyBorder="1"/>
    <xf numFmtId="3" fontId="0" fillId="10" borderId="75" xfId="0" applyNumberFormat="1" applyFill="1" applyBorder="1"/>
    <xf numFmtId="3" fontId="44" fillId="10" borderId="76" xfId="0" applyNumberFormat="1" applyFont="1" applyFill="1" applyBorder="1" applyAlignment="1">
      <alignment vertical="center"/>
    </xf>
    <xf numFmtId="3" fontId="44" fillId="10" borderId="74" xfId="0" applyNumberFormat="1" applyFont="1" applyFill="1" applyBorder="1"/>
    <xf numFmtId="3" fontId="44" fillId="10" borderId="54" xfId="0" applyNumberFormat="1" applyFont="1" applyFill="1" applyBorder="1" applyAlignment="1">
      <alignment vertical="center"/>
    </xf>
    <xf numFmtId="3" fontId="44" fillId="10" borderId="53" xfId="0" applyNumberFormat="1" applyFont="1" applyFill="1" applyBorder="1" applyAlignment="1">
      <alignment vertical="center"/>
    </xf>
    <xf numFmtId="3" fontId="44" fillId="10" borderId="52" xfId="0" applyNumberFormat="1" applyFont="1" applyFill="1" applyBorder="1"/>
    <xf numFmtId="0" fontId="0" fillId="6" borderId="77" xfId="0" applyFill="1" applyBorder="1"/>
    <xf numFmtId="3" fontId="37" fillId="6" borderId="78" xfId="0" applyNumberFormat="1" applyFont="1" applyFill="1" applyBorder="1"/>
    <xf numFmtId="0" fontId="0" fillId="6" borderId="79" xfId="0" applyFill="1" applyBorder="1"/>
    <xf numFmtId="0" fontId="0" fillId="6" borderId="80" xfId="0" applyFill="1" applyBorder="1"/>
    <xf numFmtId="0" fontId="45" fillId="6" borderId="0" xfId="3" applyFill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38" fillId="0" borderId="0" xfId="0" applyFont="1" applyAlignment="1">
      <alignment horizontal="left" indent="1"/>
    </xf>
    <xf numFmtId="0" fontId="38" fillId="0" borderId="0" xfId="0" applyFont="1"/>
    <xf numFmtId="3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 indent="3"/>
    </xf>
    <xf numFmtId="3" fontId="38" fillId="6" borderId="0" xfId="0" applyNumberFormat="1" applyFont="1" applyFill="1" applyAlignment="1">
      <alignment horizontal="center"/>
    </xf>
    <xf numFmtId="0" fontId="46" fillId="6" borderId="0" xfId="0" applyFont="1" applyFill="1"/>
    <xf numFmtId="0" fontId="38" fillId="6" borderId="0" xfId="0" applyFont="1" applyFill="1" applyAlignment="1">
      <alignment horizontal="center"/>
    </xf>
    <xf numFmtId="0" fontId="38" fillId="6" borderId="0" xfId="0" applyFont="1" applyFill="1" applyAlignment="1">
      <alignment horizontal="left" indent="1"/>
    </xf>
    <xf numFmtId="0" fontId="38" fillId="6" borderId="0" xfId="0" applyFont="1" applyFill="1" applyAlignment="1">
      <alignment horizontal="left" indent="3"/>
    </xf>
    <xf numFmtId="0" fontId="46" fillId="6" borderId="0" xfId="0" applyFont="1" applyFill="1" applyAlignment="1">
      <alignment horizontal="left"/>
    </xf>
    <xf numFmtId="0" fontId="38" fillId="2" borderId="0" xfId="0" applyFont="1" applyFill="1" applyAlignment="1">
      <alignment horizontal="left" indent="1"/>
    </xf>
    <xf numFmtId="0" fontId="38" fillId="2" borderId="0" xfId="0" applyFont="1" applyFill="1"/>
    <xf numFmtId="3" fontId="38" fillId="2" borderId="0" xfId="0" applyNumberFormat="1" applyFont="1" applyFill="1" applyAlignment="1">
      <alignment horizontal="center"/>
    </xf>
    <xf numFmtId="0" fontId="38" fillId="6" borderId="7" xfId="0" applyFont="1" applyFill="1" applyBorder="1"/>
    <xf numFmtId="3" fontId="38" fillId="6" borderId="7" xfId="0" applyNumberFormat="1" applyFont="1" applyFill="1" applyBorder="1" applyAlignment="1">
      <alignment horizontal="center"/>
    </xf>
    <xf numFmtId="3" fontId="38" fillId="6" borderId="55" xfId="0" applyNumberFormat="1" applyFont="1" applyFill="1" applyBorder="1" applyAlignment="1">
      <alignment horizontal="center"/>
    </xf>
    <xf numFmtId="4" fontId="38" fillId="6" borderId="0" xfId="0" applyNumberFormat="1" applyFont="1" applyFill="1"/>
    <xf numFmtId="3" fontId="38" fillId="2" borderId="0" xfId="0" applyNumberFormat="1" applyFont="1" applyFill="1"/>
    <xf numFmtId="3" fontId="38" fillId="6" borderId="7" xfId="0" applyNumberFormat="1" applyFont="1" applyFill="1" applyBorder="1"/>
    <xf numFmtId="1" fontId="38" fillId="2" borderId="0" xfId="0" applyNumberFormat="1" applyFont="1" applyFill="1"/>
    <xf numFmtId="3" fontId="38" fillId="6" borderId="55" xfId="0" applyNumberFormat="1" applyFont="1" applyFill="1" applyBorder="1"/>
    <xf numFmtId="4" fontId="38" fillId="0" borderId="0" xfId="0" applyNumberFormat="1" applyFont="1"/>
    <xf numFmtId="3" fontId="38" fillId="0" borderId="55" xfId="0" applyNumberFormat="1" applyFont="1" applyBorder="1"/>
    <xf numFmtId="3" fontId="38" fillId="6" borderId="0" xfId="0" applyNumberFormat="1" applyFont="1" applyFill="1" applyAlignment="1">
      <alignment horizontal="right"/>
    </xf>
    <xf numFmtId="0" fontId="38" fillId="6" borderId="0" xfId="0" applyFont="1" applyFill="1" applyAlignment="1">
      <alignment vertical="center"/>
    </xf>
    <xf numFmtId="3" fontId="38" fillId="6" borderId="0" xfId="0" applyNumberFormat="1" applyFont="1" applyFill="1" applyAlignment="1">
      <alignment vertical="center"/>
    </xf>
    <xf numFmtId="0" fontId="39" fillId="20" borderId="0" xfId="0" applyFont="1" applyFill="1" applyAlignment="1">
      <alignment horizontal="center"/>
    </xf>
    <xf numFmtId="0" fontId="0" fillId="0" borderId="8" xfId="0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57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39" fillId="20" borderId="9" xfId="0" applyFont="1" applyFill="1" applyBorder="1" applyAlignment="1">
      <alignment horizontal="center"/>
    </xf>
    <xf numFmtId="0" fontId="39" fillId="20" borderId="11" xfId="0" applyFont="1" applyFill="1" applyBorder="1" applyAlignment="1">
      <alignment horizontal="center"/>
    </xf>
    <xf numFmtId="0" fontId="39" fillId="20" borderId="10" xfId="0" applyFont="1" applyFill="1" applyBorder="1" applyAlignment="1">
      <alignment horizontal="center"/>
    </xf>
    <xf numFmtId="0" fontId="39" fillId="15" borderId="0" xfId="0" applyFont="1" applyFill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9" fontId="0" fillId="6" borderId="26" xfId="1" applyFont="1" applyFill="1" applyBorder="1" applyAlignment="1">
      <alignment horizontal="center"/>
    </xf>
    <xf numFmtId="0" fontId="0" fillId="25" borderId="0" xfId="0" applyFill="1" applyAlignment="1">
      <alignment horizontal="center"/>
    </xf>
    <xf numFmtId="0" fontId="39" fillId="20" borderId="58" xfId="0" applyFont="1" applyFill="1" applyBorder="1" applyAlignment="1">
      <alignment horizontal="center"/>
    </xf>
    <xf numFmtId="1" fontId="0" fillId="6" borderId="26" xfId="1" applyNumberFormat="1" applyFont="1" applyFill="1" applyBorder="1" applyAlignment="1">
      <alignment horizontal="center"/>
    </xf>
    <xf numFmtId="0" fontId="2" fillId="25" borderId="58" xfId="0" applyFont="1" applyFill="1" applyBorder="1" applyAlignment="1">
      <alignment horizontal="center"/>
    </xf>
    <xf numFmtId="3" fontId="0" fillId="6" borderId="26" xfId="1" applyNumberFormat="1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14" fillId="7" borderId="27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horizontal="center" vertical="center" wrapText="1"/>
    </xf>
    <xf numFmtId="0" fontId="14" fillId="7" borderId="29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31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9" fontId="16" fillId="0" borderId="35" xfId="1" applyFont="1" applyBorder="1" applyAlignment="1">
      <alignment horizontal="center" vertical="center"/>
    </xf>
    <xf numFmtId="9" fontId="16" fillId="0" borderId="37" xfId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right"/>
    </xf>
    <xf numFmtId="0" fontId="13" fillId="3" borderId="16" xfId="0" applyFont="1" applyFill="1" applyBorder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14" fillId="7" borderId="38" xfId="0" applyFont="1" applyFill="1" applyBorder="1" applyAlignment="1">
      <alignment horizontal="center" vertical="center"/>
    </xf>
    <xf numFmtId="0" fontId="17" fillId="20" borderId="25" xfId="0" applyFont="1" applyFill="1" applyBorder="1" applyAlignment="1">
      <alignment horizontal="center" vertical="center" wrapText="1"/>
    </xf>
    <xf numFmtId="0" fontId="27" fillId="3" borderId="46" xfId="0" applyFont="1" applyFill="1" applyBorder="1" applyAlignment="1">
      <alignment horizontal="left" vertical="center"/>
    </xf>
    <xf numFmtId="0" fontId="27" fillId="3" borderId="48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center" vertical="center"/>
    </xf>
    <xf numFmtId="0" fontId="27" fillId="3" borderId="47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1" fillId="7" borderId="21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33" fillId="6" borderId="0" xfId="0" applyFont="1" applyFill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>
          <fgColor rgb="FF000000"/>
          <bgColor rgb="FFFFFFFF"/>
        </patternFill>
      </fill>
      <alignment horizontal="righ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24997711111789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2023'!$E$44:$I$44</c:f>
              <c:numCache>
                <c:formatCode>#,##0</c:formatCode>
                <c:ptCount val="5"/>
                <c:pt idx="0">
                  <c:v>300123</c:v>
                </c:pt>
                <c:pt idx="1">
                  <c:v>366450.91200000001</c:v>
                </c:pt>
                <c:pt idx="2">
                  <c:v>425730</c:v>
                </c:pt>
                <c:pt idx="3">
                  <c:v>585620</c:v>
                </c:pt>
                <c:pt idx="4">
                  <c:v>656590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F-41C1-A1F0-01419F3AB6B7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2023'!$E$56:$I$56</c:f>
              <c:numCache>
                <c:formatCode>#,##0</c:formatCode>
                <c:ptCount val="5"/>
                <c:pt idx="0">
                  <c:v>279198</c:v>
                </c:pt>
                <c:pt idx="1">
                  <c:v>345525.91200000001</c:v>
                </c:pt>
                <c:pt idx="2">
                  <c:v>423805</c:v>
                </c:pt>
                <c:pt idx="3">
                  <c:v>527347</c:v>
                </c:pt>
                <c:pt idx="4">
                  <c:v>592417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F-41C1-A1F0-01419F3AB6B7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2023'!$E$63:$I$63</c:f>
              <c:numCache>
                <c:formatCode>#,##0</c:formatCode>
                <c:ptCount val="5"/>
                <c:pt idx="0">
                  <c:v>223358.4</c:v>
                </c:pt>
                <c:pt idx="1">
                  <c:v>276420.72960000002</c:v>
                </c:pt>
                <c:pt idx="2">
                  <c:v>339044</c:v>
                </c:pt>
                <c:pt idx="3">
                  <c:v>421877.6</c:v>
                </c:pt>
                <c:pt idx="4">
                  <c:v>473933.6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F-41C1-A1F0-01419F3AB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2024'!$K$8:$V$8</c:f>
              <c:numCache>
                <c:formatCode>#,##0</c:formatCode>
                <c:ptCount val="12"/>
                <c:pt idx="0">
                  <c:v>204386.07360000006</c:v>
                </c:pt>
                <c:pt idx="1">
                  <c:v>211572.47039999993</c:v>
                </c:pt>
                <c:pt idx="2">
                  <c:v>218758.86719999998</c:v>
                </c:pt>
                <c:pt idx="3">
                  <c:v>225945.26399999997</c:v>
                </c:pt>
                <c:pt idx="4">
                  <c:v>227397.46560000003</c:v>
                </c:pt>
                <c:pt idx="5">
                  <c:v>233150.31359999994</c:v>
                </c:pt>
                <c:pt idx="6">
                  <c:v>244637.35680000004</c:v>
                </c:pt>
                <c:pt idx="7">
                  <c:v>244656.00959999993</c:v>
                </c:pt>
                <c:pt idx="8">
                  <c:v>259010.15040000001</c:v>
                </c:pt>
                <c:pt idx="9">
                  <c:v>263568.37439999997</c:v>
                </c:pt>
                <c:pt idx="10">
                  <c:v>259525.30559999996</c:v>
                </c:pt>
                <c:pt idx="11">
                  <c:v>264083.52960000001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1-46A9-9663-4C44FC9624FC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1-46A9-9663-4C44FC9624FC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2024'!$K$16:$V$16</c:f>
              <c:numCache>
                <c:formatCode>#,##0</c:formatCode>
                <c:ptCount val="12"/>
                <c:pt idx="0">
                  <c:v>204386.07360000006</c:v>
                </c:pt>
                <c:pt idx="1">
                  <c:v>211572.47039999993</c:v>
                </c:pt>
                <c:pt idx="2">
                  <c:v>218758.86719999998</c:v>
                </c:pt>
                <c:pt idx="3">
                  <c:v>225945.26399999997</c:v>
                </c:pt>
                <c:pt idx="4">
                  <c:v>227397.46560000003</c:v>
                </c:pt>
                <c:pt idx="5">
                  <c:v>233150.31359999994</c:v>
                </c:pt>
                <c:pt idx="6">
                  <c:v>244637.35680000004</c:v>
                </c:pt>
                <c:pt idx="7">
                  <c:v>244656.00959999993</c:v>
                </c:pt>
                <c:pt idx="8">
                  <c:v>259010.15040000001</c:v>
                </c:pt>
                <c:pt idx="9">
                  <c:v>263568.37439999997</c:v>
                </c:pt>
                <c:pt idx="10">
                  <c:v>259525.30559999996</c:v>
                </c:pt>
                <c:pt idx="11">
                  <c:v>264083.52960000001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E1-46A9-9663-4C44FC9624FC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2024'!$K$17:$V$17</c:f>
              <c:numCache>
                <c:formatCode>#,##0</c:formatCode>
                <c:ptCount val="12"/>
                <c:pt idx="0">
                  <c:v>391954.14720000018</c:v>
                </c:pt>
                <c:pt idx="1">
                  <c:v>406326.94079999987</c:v>
                </c:pt>
                <c:pt idx="2">
                  <c:v>420699.73440000002</c:v>
                </c:pt>
                <c:pt idx="3">
                  <c:v>435072.52799999993</c:v>
                </c:pt>
                <c:pt idx="4">
                  <c:v>437976.93119999999</c:v>
                </c:pt>
                <c:pt idx="5">
                  <c:v>449482.62719999987</c:v>
                </c:pt>
                <c:pt idx="6">
                  <c:v>472456.71360000002</c:v>
                </c:pt>
                <c:pt idx="7">
                  <c:v>472494.01919999986</c:v>
                </c:pt>
                <c:pt idx="8">
                  <c:v>501202.30079999997</c:v>
                </c:pt>
                <c:pt idx="9">
                  <c:v>510318.74879999994</c:v>
                </c:pt>
                <c:pt idx="10">
                  <c:v>502232.61119999993</c:v>
                </c:pt>
                <c:pt idx="11">
                  <c:v>511349.05920000002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1810916.4</c:v>
                </c:pt>
                <c:pt idx="1">
                  <c:v>4465791.5807999996</c:v>
                </c:pt>
                <c:pt idx="2">
                  <c:v>8073112.3807999995</c:v>
                </c:pt>
                <c:pt idx="3">
                  <c:v>13545694.380800003</c:v>
                </c:pt>
                <c:pt idx="4">
                  <c:v>19710636.380800001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E-4D02-B4F4-134602C8C471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-55839.600000000006</c:v>
                </c:pt>
                <c:pt idx="1">
                  <c:v>-69105.182400000005</c:v>
                </c:pt>
                <c:pt idx="2">
                  <c:v>-84761</c:v>
                </c:pt>
                <c:pt idx="3">
                  <c:v>-105469.40000000001</c:v>
                </c:pt>
                <c:pt idx="4">
                  <c:v>-118483.40000000001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2281448.4</c:v>
                </c:pt>
                <c:pt idx="1">
                  <c:v>4954123.5807999996</c:v>
                </c:pt>
                <c:pt idx="2">
                  <c:v>8582593.3807999995</c:v>
                </c:pt>
                <c:pt idx="3">
                  <c:v>14076712.380800003</c:v>
                </c:pt>
                <c:pt idx="4">
                  <c:v>20263036.380800001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BE-4D02-B4F4-134602C8C471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1860606.7999999998</c:v>
                </c:pt>
                <c:pt idx="1">
                  <c:v>4721832.3983999994</c:v>
                </c:pt>
                <c:pt idx="2">
                  <c:v>8497832.3807999995</c:v>
                </c:pt>
                <c:pt idx="3">
                  <c:v>13971242.980800003</c:v>
                </c:pt>
                <c:pt idx="4">
                  <c:v>20144552.980800003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E-4D02-B4F4-134602C8C471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1810916.4</c:v>
                </c:pt>
                <c:pt idx="1">
                  <c:v>4465791.5807999996</c:v>
                </c:pt>
                <c:pt idx="2">
                  <c:v>8073112.3807999995</c:v>
                </c:pt>
                <c:pt idx="3">
                  <c:v>13545694.380800003</c:v>
                </c:pt>
                <c:pt idx="4">
                  <c:v>19710636.380800001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2024'!$K$88:$V$88</c:f>
              <c:numCache>
                <c:formatCode>#,##0</c:formatCode>
                <c:ptCount val="12"/>
                <c:pt idx="0">
                  <c:v>1998484.4735999999</c:v>
                </c:pt>
                <c:pt idx="1">
                  <c:v>2193238.9439999997</c:v>
                </c:pt>
                <c:pt idx="2">
                  <c:v>2395179.8111999994</c:v>
                </c:pt>
                <c:pt idx="3">
                  <c:v>2604307.0751999994</c:v>
                </c:pt>
                <c:pt idx="4">
                  <c:v>2814886.5407999996</c:v>
                </c:pt>
                <c:pt idx="5">
                  <c:v>3031218.8543999996</c:v>
                </c:pt>
                <c:pt idx="6">
                  <c:v>3259038.2111999998</c:v>
                </c:pt>
                <c:pt idx="7">
                  <c:v>3486876.2207999998</c:v>
                </c:pt>
                <c:pt idx="8">
                  <c:v>3729068.3711999999</c:v>
                </c:pt>
                <c:pt idx="9">
                  <c:v>3975818.7456</c:v>
                </c:pt>
                <c:pt idx="10">
                  <c:v>4218526.0511999996</c:v>
                </c:pt>
                <c:pt idx="11">
                  <c:v>4465791.5807999996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1-4C48-B4EE-F56C24335B42}"/>
            </c:ext>
          </c:extLst>
        </c:ser>
        <c:ser>
          <c:idx val="2"/>
          <c:order val="2"/>
          <c:tx>
            <c:strRef>
              <c:f>'Statements Summary 2024'!$B$91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2024'!$K$91:$V$91</c:f>
              <c:numCache>
                <c:formatCode>#,##0</c:formatCode>
                <c:ptCount val="12"/>
                <c:pt idx="1">
                  <c:v>-64386.417599999986</c:v>
                </c:pt>
                <c:pt idx="2">
                  <c:v>-65342.116799999996</c:v>
                </c:pt>
                <c:pt idx="3">
                  <c:v>-66297.815999999992</c:v>
                </c:pt>
                <c:pt idx="4">
                  <c:v>-65819.966400000019</c:v>
                </c:pt>
                <c:pt idx="5">
                  <c:v>-66417.278399999996</c:v>
                </c:pt>
                <c:pt idx="6">
                  <c:v>-68448.13920000002</c:v>
                </c:pt>
                <c:pt idx="7">
                  <c:v>-67611.902399999992</c:v>
                </c:pt>
                <c:pt idx="8">
                  <c:v>-70359.537600000011</c:v>
                </c:pt>
                <c:pt idx="9">
                  <c:v>-70658.193599999999</c:v>
                </c:pt>
                <c:pt idx="10">
                  <c:v>-68806.526400000002</c:v>
                </c:pt>
                <c:pt idx="11">
                  <c:v>-69105.182400000005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2024'!$B$90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2024'!$K$90:$V$90</c:f>
              <c:numCache>
                <c:formatCode>#,##0</c:formatCode>
                <c:ptCount val="12"/>
                <c:pt idx="0">
                  <c:v>2470466.4736000001</c:v>
                </c:pt>
                <c:pt idx="1">
                  <c:v>2666670.9439999997</c:v>
                </c:pt>
                <c:pt idx="2">
                  <c:v>2870061.8111999994</c:v>
                </c:pt>
                <c:pt idx="3">
                  <c:v>3080639.0751999994</c:v>
                </c:pt>
                <c:pt idx="4">
                  <c:v>3292668.5407999996</c:v>
                </c:pt>
                <c:pt idx="5">
                  <c:v>3510450.8543999996</c:v>
                </c:pt>
                <c:pt idx="6">
                  <c:v>3739720.2111999998</c:v>
                </c:pt>
                <c:pt idx="7">
                  <c:v>3969008.2207999998</c:v>
                </c:pt>
                <c:pt idx="8">
                  <c:v>4212650.3711999999</c:v>
                </c:pt>
                <c:pt idx="9">
                  <c:v>4460850.7456</c:v>
                </c:pt>
                <c:pt idx="10">
                  <c:v>4705008.0511999996</c:v>
                </c:pt>
                <c:pt idx="11">
                  <c:v>4954123.5807999996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1-4C48-B4EE-F56C24335B42}"/>
            </c:ext>
          </c:extLst>
        </c:ser>
        <c:ser>
          <c:idx val="3"/>
          <c:order val="3"/>
          <c:tx>
            <c:strRef>
              <c:f>'Statements Summary 2024'!$B$94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2024'!$K$94:$V$94</c:f>
              <c:numCache>
                <c:formatCode>#,##0</c:formatCode>
                <c:ptCount val="12"/>
                <c:pt idx="0">
                  <c:v>2058851.7552</c:v>
                </c:pt>
                <c:pt idx="1">
                  <c:v>2270918.5263999999</c:v>
                </c:pt>
                <c:pt idx="2">
                  <c:v>2490171.6943999995</c:v>
                </c:pt>
                <c:pt idx="3">
                  <c:v>2716611.2591999993</c:v>
                </c:pt>
                <c:pt idx="4">
                  <c:v>2945936.5743999993</c:v>
                </c:pt>
                <c:pt idx="5">
                  <c:v>3179939.5759999994</c:v>
                </c:pt>
                <c:pt idx="6">
                  <c:v>3423996.0719999997</c:v>
                </c:pt>
                <c:pt idx="7">
                  <c:v>3670938.3183999998</c:v>
                </c:pt>
                <c:pt idx="8">
                  <c:v>3928650.8336</c:v>
                </c:pt>
                <c:pt idx="9">
                  <c:v>4193370.5520000001</c:v>
                </c:pt>
                <c:pt idx="10">
                  <c:v>4456197.5247999998</c:v>
                </c:pt>
                <c:pt idx="11">
                  <c:v>4721832.3983999994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1-4C48-B4EE-F56C24335B42}"/>
            </c:ext>
          </c:extLst>
        </c:ser>
        <c:ser>
          <c:idx val="4"/>
          <c:order val="4"/>
          <c:tx>
            <c:strRef>
              <c:f>'Statements Summary 2024'!$B$95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2024'!$K$95:$V$95</c:f>
              <c:numCache>
                <c:formatCode>#,##0</c:formatCode>
                <c:ptCount val="12"/>
                <c:pt idx="0">
                  <c:v>1998484.4735999999</c:v>
                </c:pt>
                <c:pt idx="1">
                  <c:v>2193238.9439999997</c:v>
                </c:pt>
                <c:pt idx="2">
                  <c:v>2395179.8111999994</c:v>
                </c:pt>
                <c:pt idx="3">
                  <c:v>2604307.0751999994</c:v>
                </c:pt>
                <c:pt idx="4">
                  <c:v>2814886.5407999996</c:v>
                </c:pt>
                <c:pt idx="5">
                  <c:v>3031218.8543999996</c:v>
                </c:pt>
                <c:pt idx="6">
                  <c:v>3259038.2111999998</c:v>
                </c:pt>
                <c:pt idx="7">
                  <c:v>3486876.2207999998</c:v>
                </c:pt>
                <c:pt idx="8">
                  <c:v>3729068.3711999999</c:v>
                </c:pt>
                <c:pt idx="9">
                  <c:v>3975818.7456</c:v>
                </c:pt>
                <c:pt idx="10">
                  <c:v>4218526.0511999996</c:v>
                </c:pt>
                <c:pt idx="11">
                  <c:v>4465791.5807999996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2025'!$E$45:$I$45</c:f>
              <c:numCache>
                <c:formatCode>#,##0</c:formatCode>
                <c:ptCount val="5"/>
                <c:pt idx="0">
                  <c:v>300123</c:v>
                </c:pt>
                <c:pt idx="1">
                  <c:v>366450.91200000001</c:v>
                </c:pt>
                <c:pt idx="2">
                  <c:v>425730</c:v>
                </c:pt>
                <c:pt idx="3">
                  <c:v>585620</c:v>
                </c:pt>
                <c:pt idx="4">
                  <c:v>656590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5-4A71-B291-6E646D762A23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2025'!$E$57:$I$57</c:f>
              <c:numCache>
                <c:formatCode>#,##0</c:formatCode>
                <c:ptCount val="5"/>
                <c:pt idx="0">
                  <c:v>279198</c:v>
                </c:pt>
                <c:pt idx="1">
                  <c:v>345525.91200000001</c:v>
                </c:pt>
                <c:pt idx="2">
                  <c:v>423805</c:v>
                </c:pt>
                <c:pt idx="3">
                  <c:v>527347</c:v>
                </c:pt>
                <c:pt idx="4">
                  <c:v>592417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5-4A71-B291-6E646D762A23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2025'!$E$64:$I$64</c:f>
              <c:numCache>
                <c:formatCode>#,##0</c:formatCode>
                <c:ptCount val="5"/>
                <c:pt idx="0">
                  <c:v>223358.4</c:v>
                </c:pt>
                <c:pt idx="1">
                  <c:v>276420.72960000002</c:v>
                </c:pt>
                <c:pt idx="2">
                  <c:v>339044</c:v>
                </c:pt>
                <c:pt idx="3">
                  <c:v>421877.6</c:v>
                </c:pt>
                <c:pt idx="4">
                  <c:v>473933.6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95-4A71-B291-6E646D76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2025'!$K$45:$V$45</c:f>
              <c:numCache>
                <c:formatCode>#,##0</c:formatCode>
                <c:ptCount val="12"/>
                <c:pt idx="0">
                  <c:v>373290</c:v>
                </c:pt>
                <c:pt idx="1">
                  <c:v>377775</c:v>
                </c:pt>
                <c:pt idx="2">
                  <c:v>353280</c:v>
                </c:pt>
                <c:pt idx="3">
                  <c:v>695175</c:v>
                </c:pt>
                <c:pt idx="4">
                  <c:v>359835</c:v>
                </c:pt>
                <c:pt idx="5">
                  <c:v>362250</c:v>
                </c:pt>
                <c:pt idx="6">
                  <c:v>372945</c:v>
                </c:pt>
                <c:pt idx="7">
                  <c:v>367770</c:v>
                </c:pt>
                <c:pt idx="8">
                  <c:v>381570</c:v>
                </c:pt>
                <c:pt idx="9">
                  <c:v>383295</c:v>
                </c:pt>
                <c:pt idx="10">
                  <c:v>394680</c:v>
                </c:pt>
                <c:pt idx="11">
                  <c:v>425730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C-490A-B1DA-88F731D52EC8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2025'!$K$57:$V$57</c:f>
              <c:numCache>
                <c:formatCode>#,##0</c:formatCode>
                <c:ptCount val="12"/>
                <c:pt idx="0">
                  <c:v>371365</c:v>
                </c:pt>
                <c:pt idx="1">
                  <c:v>375850</c:v>
                </c:pt>
                <c:pt idx="2">
                  <c:v>351355</c:v>
                </c:pt>
                <c:pt idx="3">
                  <c:v>693250</c:v>
                </c:pt>
                <c:pt idx="4">
                  <c:v>357910</c:v>
                </c:pt>
                <c:pt idx="5">
                  <c:v>360325</c:v>
                </c:pt>
                <c:pt idx="6">
                  <c:v>371020</c:v>
                </c:pt>
                <c:pt idx="7">
                  <c:v>365845</c:v>
                </c:pt>
                <c:pt idx="8">
                  <c:v>379645</c:v>
                </c:pt>
                <c:pt idx="9">
                  <c:v>381370</c:v>
                </c:pt>
                <c:pt idx="10">
                  <c:v>392755</c:v>
                </c:pt>
                <c:pt idx="11">
                  <c:v>423805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C-490A-B1DA-88F731D52EC8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2025'!$K$64:$V$64</c:f>
              <c:numCache>
                <c:formatCode>#,##0</c:formatCode>
                <c:ptCount val="12"/>
                <c:pt idx="0">
                  <c:v>297092</c:v>
                </c:pt>
                <c:pt idx="1">
                  <c:v>300680</c:v>
                </c:pt>
                <c:pt idx="2">
                  <c:v>281084</c:v>
                </c:pt>
                <c:pt idx="3">
                  <c:v>554600</c:v>
                </c:pt>
                <c:pt idx="4">
                  <c:v>286328</c:v>
                </c:pt>
                <c:pt idx="5">
                  <c:v>288260</c:v>
                </c:pt>
                <c:pt idx="6">
                  <c:v>296816</c:v>
                </c:pt>
                <c:pt idx="7">
                  <c:v>292676</c:v>
                </c:pt>
                <c:pt idx="8">
                  <c:v>303716</c:v>
                </c:pt>
                <c:pt idx="9">
                  <c:v>305096</c:v>
                </c:pt>
                <c:pt idx="10">
                  <c:v>314204</c:v>
                </c:pt>
                <c:pt idx="11">
                  <c:v>339044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C-490A-B1DA-88F731D5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170658</c:v>
                </c:pt>
                <c:pt idx="1">
                  <c:v>264083.52960000001</c:v>
                </c:pt>
                <c:pt idx="2">
                  <c:v>340344</c:v>
                </c:pt>
                <c:pt idx="3">
                  <c:v>479525.6</c:v>
                </c:pt>
                <c:pt idx="4">
                  <c:v>537481.6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1-4891-A9E3-2C9B9FFCC8CA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1-4891-A9E3-2C9B9FFCC8CA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170658</c:v>
                </c:pt>
                <c:pt idx="1">
                  <c:v>264083.52960000001</c:v>
                </c:pt>
                <c:pt idx="2">
                  <c:v>340344</c:v>
                </c:pt>
                <c:pt idx="3">
                  <c:v>479525.6</c:v>
                </c:pt>
                <c:pt idx="4">
                  <c:v>537481.6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01-4891-A9E3-2C9B9FFCC8CA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324498</c:v>
                </c:pt>
                <c:pt idx="1">
                  <c:v>511349.05920000002</c:v>
                </c:pt>
                <c:pt idx="2">
                  <c:v>680688</c:v>
                </c:pt>
                <c:pt idx="3">
                  <c:v>959051.20000000007</c:v>
                </c:pt>
                <c:pt idx="4">
                  <c:v>1074963.2000000002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2025'!$K$8:$V$8</c:f>
              <c:numCache>
                <c:formatCode>#,##0</c:formatCode>
                <c:ptCount val="12"/>
                <c:pt idx="0">
                  <c:v>270175.2</c:v>
                </c:pt>
                <c:pt idx="1">
                  <c:v>278183.59999999998</c:v>
                </c:pt>
                <c:pt idx="2">
                  <c:v>263008</c:v>
                </c:pt>
                <c:pt idx="3">
                  <c:v>540944.4</c:v>
                </c:pt>
                <c:pt idx="4">
                  <c:v>277092.8</c:v>
                </c:pt>
                <c:pt idx="5">
                  <c:v>283445.2</c:v>
                </c:pt>
                <c:pt idx="6">
                  <c:v>296421.59999999998</c:v>
                </c:pt>
                <c:pt idx="7">
                  <c:v>293976</c:v>
                </c:pt>
                <c:pt idx="8">
                  <c:v>305016</c:v>
                </c:pt>
                <c:pt idx="9">
                  <c:v>306396</c:v>
                </c:pt>
                <c:pt idx="10">
                  <c:v>315504</c:v>
                </c:pt>
                <c:pt idx="11">
                  <c:v>340344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8-4671-A121-BF78DA05D373}"/>
            </c:ext>
          </c:extLst>
        </c:ser>
        <c:ser>
          <c:idx val="1"/>
          <c:order val="1"/>
          <c:tx>
            <c:strRef>
              <c:f>'Statements Summary 2025'!$B$11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8-4671-A121-BF78DA05D373}"/>
            </c:ext>
          </c:extLst>
        </c:ser>
        <c:ser>
          <c:idx val="2"/>
          <c:order val="2"/>
          <c:tx>
            <c:strRef>
              <c:f>'Statements Summary 2025'!$B$15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2025'!$K$15:$V$15</c:f>
              <c:numCache>
                <c:formatCode>#,##0</c:formatCode>
                <c:ptCount val="12"/>
                <c:pt idx="0">
                  <c:v>0</c:v>
                </c:pt>
                <c:pt idx="1">
                  <c:v>-22102</c:v>
                </c:pt>
                <c:pt idx="2">
                  <c:v>-22102</c:v>
                </c:pt>
                <c:pt idx="3">
                  <c:v>-22102</c:v>
                </c:pt>
                <c:pt idx="4">
                  <c:v>-22102</c:v>
                </c:pt>
                <c:pt idx="5">
                  <c:v>-22102</c:v>
                </c:pt>
                <c:pt idx="6">
                  <c:v>-22102</c:v>
                </c:pt>
                <c:pt idx="7">
                  <c:v>-8472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2025'!$B$16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2025'!$K$16:$V$16</c:f>
              <c:numCache>
                <c:formatCode>#,##0</c:formatCode>
                <c:ptCount val="12"/>
                <c:pt idx="0">
                  <c:v>270175.2</c:v>
                </c:pt>
                <c:pt idx="1">
                  <c:v>278183.59999999998</c:v>
                </c:pt>
                <c:pt idx="2">
                  <c:v>263008</c:v>
                </c:pt>
                <c:pt idx="3">
                  <c:v>540944.4</c:v>
                </c:pt>
                <c:pt idx="4">
                  <c:v>277092.8</c:v>
                </c:pt>
                <c:pt idx="5">
                  <c:v>283445.2</c:v>
                </c:pt>
                <c:pt idx="6">
                  <c:v>296421.59999999998</c:v>
                </c:pt>
                <c:pt idx="7">
                  <c:v>293976</c:v>
                </c:pt>
                <c:pt idx="8">
                  <c:v>305016</c:v>
                </c:pt>
                <c:pt idx="9">
                  <c:v>306396</c:v>
                </c:pt>
                <c:pt idx="10">
                  <c:v>315504</c:v>
                </c:pt>
                <c:pt idx="11">
                  <c:v>340344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8-4671-A121-BF78DA05D373}"/>
            </c:ext>
          </c:extLst>
        </c:ser>
        <c:ser>
          <c:idx val="4"/>
          <c:order val="4"/>
          <c:tx>
            <c:strRef>
              <c:f>'Statements Summary 2025'!$B$17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2025'!$K$17:$V$17</c:f>
              <c:numCache>
                <c:formatCode>#,##0</c:formatCode>
                <c:ptCount val="12"/>
                <c:pt idx="0">
                  <c:v>518248.39999999997</c:v>
                </c:pt>
                <c:pt idx="1">
                  <c:v>534265.19999999995</c:v>
                </c:pt>
                <c:pt idx="2">
                  <c:v>503914</c:v>
                </c:pt>
                <c:pt idx="3">
                  <c:v>1059786.7999999998</c:v>
                </c:pt>
                <c:pt idx="4">
                  <c:v>532083.60000000009</c:v>
                </c:pt>
                <c:pt idx="5">
                  <c:v>544788.39999999991</c:v>
                </c:pt>
                <c:pt idx="6">
                  <c:v>570741.19999999995</c:v>
                </c:pt>
                <c:pt idx="7">
                  <c:v>579480</c:v>
                </c:pt>
                <c:pt idx="8">
                  <c:v>610032</c:v>
                </c:pt>
                <c:pt idx="9">
                  <c:v>612792</c:v>
                </c:pt>
                <c:pt idx="10">
                  <c:v>631008</c:v>
                </c:pt>
                <c:pt idx="11">
                  <c:v>680688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1810916.4</c:v>
                </c:pt>
                <c:pt idx="1">
                  <c:v>4465791.5807999996</c:v>
                </c:pt>
                <c:pt idx="2">
                  <c:v>8073112.3807999995</c:v>
                </c:pt>
                <c:pt idx="3">
                  <c:v>13545694.380800003</c:v>
                </c:pt>
                <c:pt idx="4">
                  <c:v>19710636.380800001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D-4DDF-A5EB-AD1ED8647ADF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-55839.600000000006</c:v>
                </c:pt>
                <c:pt idx="1">
                  <c:v>-69105.182400000005</c:v>
                </c:pt>
                <c:pt idx="2">
                  <c:v>-84761</c:v>
                </c:pt>
                <c:pt idx="3">
                  <c:v>-105469.40000000001</c:v>
                </c:pt>
                <c:pt idx="4">
                  <c:v>-118483.40000000001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2281448.4</c:v>
                </c:pt>
                <c:pt idx="1">
                  <c:v>4954123.5807999996</c:v>
                </c:pt>
                <c:pt idx="2">
                  <c:v>8582593.3807999995</c:v>
                </c:pt>
                <c:pt idx="3">
                  <c:v>14076712.380800003</c:v>
                </c:pt>
                <c:pt idx="4">
                  <c:v>20263036.380800001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0D-4DDF-A5EB-AD1ED8647ADF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1860606.7999999998</c:v>
                </c:pt>
                <c:pt idx="1">
                  <c:v>4721832.3983999994</c:v>
                </c:pt>
                <c:pt idx="2">
                  <c:v>8497832.3807999995</c:v>
                </c:pt>
                <c:pt idx="3">
                  <c:v>13971242.980800003</c:v>
                </c:pt>
                <c:pt idx="4">
                  <c:v>20144552.980800003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0D-4DDF-A5EB-AD1ED8647ADF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1810916.4</c:v>
                </c:pt>
                <c:pt idx="1">
                  <c:v>4465791.5807999996</c:v>
                </c:pt>
                <c:pt idx="2">
                  <c:v>8073112.3807999995</c:v>
                </c:pt>
                <c:pt idx="3">
                  <c:v>13545694.380800003</c:v>
                </c:pt>
                <c:pt idx="4">
                  <c:v>19710636.380800001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2025'!$K$88:$V$88</c:f>
              <c:numCache>
                <c:formatCode>#,##0</c:formatCode>
                <c:ptCount val="12"/>
                <c:pt idx="0">
                  <c:v>4713864.7807999998</c:v>
                </c:pt>
                <c:pt idx="1">
                  <c:v>4969946.3807999995</c:v>
                </c:pt>
                <c:pt idx="2">
                  <c:v>5210852.3807999995</c:v>
                </c:pt>
                <c:pt idx="3">
                  <c:v>5729694.7807999998</c:v>
                </c:pt>
                <c:pt idx="4">
                  <c:v>5984685.5807999996</c:v>
                </c:pt>
                <c:pt idx="5">
                  <c:v>6246028.7807999998</c:v>
                </c:pt>
                <c:pt idx="6">
                  <c:v>6520348.3807999995</c:v>
                </c:pt>
                <c:pt idx="7">
                  <c:v>6805852.3807999995</c:v>
                </c:pt>
                <c:pt idx="8">
                  <c:v>7110868.3807999995</c:v>
                </c:pt>
                <c:pt idx="9">
                  <c:v>7417264.3807999995</c:v>
                </c:pt>
                <c:pt idx="10">
                  <c:v>7732768.3807999995</c:v>
                </c:pt>
                <c:pt idx="11">
                  <c:v>8073112.3807999995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4227-BB7D-EE0C0A9EAA1E}"/>
            </c:ext>
          </c:extLst>
        </c:ser>
        <c:ser>
          <c:idx val="2"/>
          <c:order val="2"/>
          <c:tx>
            <c:strRef>
              <c:f>'Statements Summary 2025'!$B$91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2025'!$K$91:$V$91</c:f>
              <c:numCache>
                <c:formatCode>#,##0</c:formatCode>
                <c:ptCount val="12"/>
                <c:pt idx="0">
                  <c:v>-74273</c:v>
                </c:pt>
                <c:pt idx="1">
                  <c:v>-75170</c:v>
                </c:pt>
                <c:pt idx="2">
                  <c:v>-70271</c:v>
                </c:pt>
                <c:pt idx="3">
                  <c:v>-138650</c:v>
                </c:pt>
                <c:pt idx="4">
                  <c:v>-71582</c:v>
                </c:pt>
                <c:pt idx="5">
                  <c:v>-72065</c:v>
                </c:pt>
                <c:pt idx="6">
                  <c:v>-74204</c:v>
                </c:pt>
                <c:pt idx="7">
                  <c:v>-73169</c:v>
                </c:pt>
                <c:pt idx="8">
                  <c:v>-75929</c:v>
                </c:pt>
                <c:pt idx="9">
                  <c:v>-76274</c:v>
                </c:pt>
                <c:pt idx="10">
                  <c:v>-78551</c:v>
                </c:pt>
                <c:pt idx="11">
                  <c:v>-84761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2025'!$B$90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2025'!$K$90:$V$90</c:f>
              <c:numCache>
                <c:formatCode>#,##0</c:formatCode>
                <c:ptCount val="12"/>
                <c:pt idx="0">
                  <c:v>5204046.7807999998</c:v>
                </c:pt>
                <c:pt idx="1">
                  <c:v>5461978.3807999995</c:v>
                </c:pt>
                <c:pt idx="2">
                  <c:v>5704734.3807999995</c:v>
                </c:pt>
                <c:pt idx="3">
                  <c:v>6225287.7807999998</c:v>
                </c:pt>
                <c:pt idx="4">
                  <c:v>6481989.5807999996</c:v>
                </c:pt>
                <c:pt idx="5">
                  <c:v>6745043.7807999998</c:v>
                </c:pt>
                <c:pt idx="6">
                  <c:v>7021074.3807999995</c:v>
                </c:pt>
                <c:pt idx="7">
                  <c:v>7308289.3807999995</c:v>
                </c:pt>
                <c:pt idx="8">
                  <c:v>7615016.3807999995</c:v>
                </c:pt>
                <c:pt idx="9">
                  <c:v>7923123.3807999995</c:v>
                </c:pt>
                <c:pt idx="10">
                  <c:v>8240338.3807999995</c:v>
                </c:pt>
                <c:pt idx="11">
                  <c:v>8582593.3807999995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4-4227-BB7D-EE0C0A9EAA1E}"/>
            </c:ext>
          </c:extLst>
        </c:ser>
        <c:ser>
          <c:idx val="3"/>
          <c:order val="3"/>
          <c:tx>
            <c:strRef>
              <c:f>'Statements Summary 2025'!$B$94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2025'!$K$94:$V$94</c:f>
              <c:numCache>
                <c:formatCode>#,##0</c:formatCode>
                <c:ptCount val="12"/>
                <c:pt idx="0">
                  <c:v>4847605.7807999998</c:v>
                </c:pt>
                <c:pt idx="1">
                  <c:v>5148844.3807999995</c:v>
                </c:pt>
                <c:pt idx="2">
                  <c:v>5440703.3807999995</c:v>
                </c:pt>
                <c:pt idx="3">
                  <c:v>5937081.7807999998</c:v>
                </c:pt>
                <c:pt idx="4">
                  <c:v>6305055.5807999996</c:v>
                </c:pt>
                <c:pt idx="5">
                  <c:v>6611830.7807999998</c:v>
                </c:pt>
                <c:pt idx="6">
                  <c:v>6929926.3807999995</c:v>
                </c:pt>
                <c:pt idx="7">
                  <c:v>7235120.3807999995</c:v>
                </c:pt>
                <c:pt idx="8">
                  <c:v>7539087.3807999995</c:v>
                </c:pt>
                <c:pt idx="9">
                  <c:v>7846849.3807999995</c:v>
                </c:pt>
                <c:pt idx="10">
                  <c:v>8161787.3807999995</c:v>
                </c:pt>
                <c:pt idx="11">
                  <c:v>8497832.3807999995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4-4227-BB7D-EE0C0A9EAA1E}"/>
            </c:ext>
          </c:extLst>
        </c:ser>
        <c:ser>
          <c:idx val="4"/>
          <c:order val="4"/>
          <c:tx>
            <c:strRef>
              <c:f>'Statements Summary 2025'!$B$95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2025'!$K$95:$V$95</c:f>
              <c:numCache>
                <c:formatCode>#,##0</c:formatCode>
                <c:ptCount val="12"/>
                <c:pt idx="0">
                  <c:v>4713864.7807999998</c:v>
                </c:pt>
                <c:pt idx="1">
                  <c:v>4969946.3807999995</c:v>
                </c:pt>
                <c:pt idx="2">
                  <c:v>5210852.3807999995</c:v>
                </c:pt>
                <c:pt idx="3">
                  <c:v>5729694.7807999998</c:v>
                </c:pt>
                <c:pt idx="4">
                  <c:v>5984685.5807999996</c:v>
                </c:pt>
                <c:pt idx="5">
                  <c:v>6246028.7807999998</c:v>
                </c:pt>
                <c:pt idx="6">
                  <c:v>6520348.3807999995</c:v>
                </c:pt>
                <c:pt idx="7">
                  <c:v>6805852.3807999995</c:v>
                </c:pt>
                <c:pt idx="8">
                  <c:v>7110868.3807999995</c:v>
                </c:pt>
                <c:pt idx="9">
                  <c:v>7417264.3807999995</c:v>
                </c:pt>
                <c:pt idx="10">
                  <c:v>7732768.3807999995</c:v>
                </c:pt>
                <c:pt idx="11">
                  <c:v>8073112.3807999995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2026'!$E$45:$I$45</c:f>
              <c:numCache>
                <c:formatCode>#,##0</c:formatCode>
                <c:ptCount val="5"/>
                <c:pt idx="0">
                  <c:v>300123</c:v>
                </c:pt>
                <c:pt idx="1">
                  <c:v>366450.91200000001</c:v>
                </c:pt>
                <c:pt idx="2">
                  <c:v>425730</c:v>
                </c:pt>
                <c:pt idx="3">
                  <c:v>585620</c:v>
                </c:pt>
                <c:pt idx="4">
                  <c:v>656590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0-4CCA-B69E-D80880633BED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2026'!$E$57:$I$57</c:f>
              <c:numCache>
                <c:formatCode>#,##0</c:formatCode>
                <c:ptCount val="5"/>
                <c:pt idx="0">
                  <c:v>279198</c:v>
                </c:pt>
                <c:pt idx="1">
                  <c:v>345525.91200000001</c:v>
                </c:pt>
                <c:pt idx="2">
                  <c:v>423805</c:v>
                </c:pt>
                <c:pt idx="3">
                  <c:v>527347</c:v>
                </c:pt>
                <c:pt idx="4">
                  <c:v>592417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0-4CCA-B69E-D80880633BED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2026'!$E$64:$I$64</c:f>
              <c:numCache>
                <c:formatCode>#,##0</c:formatCode>
                <c:ptCount val="5"/>
                <c:pt idx="0">
                  <c:v>223358.4</c:v>
                </c:pt>
                <c:pt idx="1">
                  <c:v>276420.72960000002</c:v>
                </c:pt>
                <c:pt idx="2">
                  <c:v>339044</c:v>
                </c:pt>
                <c:pt idx="3">
                  <c:v>421877.6</c:v>
                </c:pt>
                <c:pt idx="4">
                  <c:v>473933.6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0-4CCA-B69E-D8088063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2023'!$K$44:$V$44</c:f>
              <c:numCache>
                <c:formatCode>#,##0</c:formatCode>
                <c:ptCount val="12"/>
                <c:pt idx="0">
                  <c:v>280000</c:v>
                </c:pt>
                <c:pt idx="1">
                  <c:v>270555</c:v>
                </c:pt>
                <c:pt idx="2">
                  <c:v>286778</c:v>
                </c:pt>
                <c:pt idx="3">
                  <c:v>295112</c:v>
                </c:pt>
                <c:pt idx="4">
                  <c:v>320445</c:v>
                </c:pt>
                <c:pt idx="5">
                  <c:v>349015</c:v>
                </c:pt>
                <c:pt idx="6">
                  <c:v>357998</c:v>
                </c:pt>
                <c:pt idx="7">
                  <c:v>360821</c:v>
                </c:pt>
                <c:pt idx="8">
                  <c:v>350123</c:v>
                </c:pt>
                <c:pt idx="9">
                  <c:v>330015</c:v>
                </c:pt>
                <c:pt idx="10">
                  <c:v>313011</c:v>
                </c:pt>
                <c:pt idx="11">
                  <c:v>300123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4-4AAB-905F-61474D627CE8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2023'!$K$56:$V$56</c:f>
              <c:numCache>
                <c:formatCode>#,##0</c:formatCode>
                <c:ptCount val="12"/>
                <c:pt idx="0">
                  <c:v>259075</c:v>
                </c:pt>
                <c:pt idx="1">
                  <c:v>249630</c:v>
                </c:pt>
                <c:pt idx="2">
                  <c:v>265853</c:v>
                </c:pt>
                <c:pt idx="3">
                  <c:v>274187</c:v>
                </c:pt>
                <c:pt idx="4">
                  <c:v>299520</c:v>
                </c:pt>
                <c:pt idx="5">
                  <c:v>328090</c:v>
                </c:pt>
                <c:pt idx="6">
                  <c:v>337073</c:v>
                </c:pt>
                <c:pt idx="7">
                  <c:v>339896</c:v>
                </c:pt>
                <c:pt idx="8">
                  <c:v>329198</c:v>
                </c:pt>
                <c:pt idx="9">
                  <c:v>309090</c:v>
                </c:pt>
                <c:pt idx="10">
                  <c:v>292086</c:v>
                </c:pt>
                <c:pt idx="11">
                  <c:v>279198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4-4AAB-905F-61474D627CE8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2023'!$K$63:$V$63</c:f>
              <c:numCache>
                <c:formatCode>#,##0</c:formatCode>
                <c:ptCount val="12"/>
                <c:pt idx="0">
                  <c:v>207260</c:v>
                </c:pt>
                <c:pt idx="1">
                  <c:v>199704</c:v>
                </c:pt>
                <c:pt idx="2">
                  <c:v>212682.4</c:v>
                </c:pt>
                <c:pt idx="3">
                  <c:v>219349.6</c:v>
                </c:pt>
                <c:pt idx="4">
                  <c:v>239616</c:v>
                </c:pt>
                <c:pt idx="5">
                  <c:v>262472</c:v>
                </c:pt>
                <c:pt idx="6">
                  <c:v>269658.40000000002</c:v>
                </c:pt>
                <c:pt idx="7">
                  <c:v>271916.79999999999</c:v>
                </c:pt>
                <c:pt idx="8">
                  <c:v>263358.40000000002</c:v>
                </c:pt>
                <c:pt idx="9">
                  <c:v>247272</c:v>
                </c:pt>
                <c:pt idx="10">
                  <c:v>233668.8</c:v>
                </c:pt>
                <c:pt idx="11">
                  <c:v>223358.4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4-4AAB-905F-61474D62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2026'!$K$45:$V$45</c:f>
              <c:numCache>
                <c:formatCode>#,##0</c:formatCode>
                <c:ptCount val="12"/>
                <c:pt idx="0">
                  <c:v>519820</c:v>
                </c:pt>
                <c:pt idx="1">
                  <c:v>532510</c:v>
                </c:pt>
                <c:pt idx="2">
                  <c:v>536270</c:v>
                </c:pt>
                <c:pt idx="3">
                  <c:v>540030</c:v>
                </c:pt>
                <c:pt idx="4">
                  <c:v>543320</c:v>
                </c:pt>
                <c:pt idx="5">
                  <c:v>547080</c:v>
                </c:pt>
                <c:pt idx="6">
                  <c:v>550840</c:v>
                </c:pt>
                <c:pt idx="7">
                  <c:v>565410</c:v>
                </c:pt>
                <c:pt idx="8">
                  <c:v>569170</c:v>
                </c:pt>
                <c:pt idx="9">
                  <c:v>572460</c:v>
                </c:pt>
                <c:pt idx="10">
                  <c:v>581860</c:v>
                </c:pt>
                <c:pt idx="11">
                  <c:v>585620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2-4079-B57A-253305099B26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2026'!$K$57:$V$57</c:f>
              <c:numCache>
                <c:formatCode>#,##0</c:formatCode>
                <c:ptCount val="12"/>
                <c:pt idx="0">
                  <c:v>450313</c:v>
                </c:pt>
                <c:pt idx="1">
                  <c:v>463003</c:v>
                </c:pt>
                <c:pt idx="2">
                  <c:v>466763</c:v>
                </c:pt>
                <c:pt idx="3">
                  <c:v>470523</c:v>
                </c:pt>
                <c:pt idx="4">
                  <c:v>473813</c:v>
                </c:pt>
                <c:pt idx="5">
                  <c:v>477573</c:v>
                </c:pt>
                <c:pt idx="6">
                  <c:v>481333</c:v>
                </c:pt>
                <c:pt idx="7">
                  <c:v>495903</c:v>
                </c:pt>
                <c:pt idx="8">
                  <c:v>499663</c:v>
                </c:pt>
                <c:pt idx="9">
                  <c:v>502953</c:v>
                </c:pt>
                <c:pt idx="10">
                  <c:v>512353</c:v>
                </c:pt>
                <c:pt idx="11">
                  <c:v>527347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2-4079-B57A-253305099B26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2026'!$K$64:$V$64</c:f>
              <c:numCache>
                <c:formatCode>#,##0</c:formatCode>
                <c:ptCount val="12"/>
                <c:pt idx="0">
                  <c:v>360250.4</c:v>
                </c:pt>
                <c:pt idx="1">
                  <c:v>370402.4</c:v>
                </c:pt>
                <c:pt idx="2">
                  <c:v>373410.4</c:v>
                </c:pt>
                <c:pt idx="3">
                  <c:v>376418.4</c:v>
                </c:pt>
                <c:pt idx="4">
                  <c:v>379050.4</c:v>
                </c:pt>
                <c:pt idx="5">
                  <c:v>382058.4</c:v>
                </c:pt>
                <c:pt idx="6">
                  <c:v>385066.4</c:v>
                </c:pt>
                <c:pt idx="7">
                  <c:v>396722.4</c:v>
                </c:pt>
                <c:pt idx="8">
                  <c:v>399730.4</c:v>
                </c:pt>
                <c:pt idx="9">
                  <c:v>402362.4</c:v>
                </c:pt>
                <c:pt idx="10">
                  <c:v>409882.4</c:v>
                </c:pt>
                <c:pt idx="11">
                  <c:v>421877.6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2-4079-B57A-25330509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170658</c:v>
                </c:pt>
                <c:pt idx="1">
                  <c:v>264083.52960000001</c:v>
                </c:pt>
                <c:pt idx="2">
                  <c:v>340344</c:v>
                </c:pt>
                <c:pt idx="3">
                  <c:v>479525.6</c:v>
                </c:pt>
                <c:pt idx="4">
                  <c:v>537481.6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F-4E1A-A13B-341EA18E40C5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F-4E1A-A13B-341EA18E40C5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170658</c:v>
                </c:pt>
                <c:pt idx="1">
                  <c:v>264083.52960000001</c:v>
                </c:pt>
                <c:pt idx="2">
                  <c:v>340344</c:v>
                </c:pt>
                <c:pt idx="3">
                  <c:v>479525.6</c:v>
                </c:pt>
                <c:pt idx="4">
                  <c:v>537481.6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F-4E1A-A13B-341EA18E40C5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324498</c:v>
                </c:pt>
                <c:pt idx="1">
                  <c:v>511349.05920000002</c:v>
                </c:pt>
                <c:pt idx="2">
                  <c:v>680688</c:v>
                </c:pt>
                <c:pt idx="3">
                  <c:v>959051.20000000007</c:v>
                </c:pt>
                <c:pt idx="4">
                  <c:v>1074963.2000000002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2026'!$K$8:$V$8</c:f>
              <c:numCache>
                <c:formatCode>#,##0</c:formatCode>
                <c:ptCount val="12"/>
                <c:pt idx="0">
                  <c:v>429132.4</c:v>
                </c:pt>
                <c:pt idx="1">
                  <c:v>439284.4</c:v>
                </c:pt>
                <c:pt idx="2">
                  <c:v>442292.4</c:v>
                </c:pt>
                <c:pt idx="3">
                  <c:v>445300.4</c:v>
                </c:pt>
                <c:pt idx="4">
                  <c:v>447932.4</c:v>
                </c:pt>
                <c:pt idx="5">
                  <c:v>450940.4</c:v>
                </c:pt>
                <c:pt idx="6">
                  <c:v>453948.4</c:v>
                </c:pt>
                <c:pt idx="7">
                  <c:v>465604.4</c:v>
                </c:pt>
                <c:pt idx="8">
                  <c:v>468612.4</c:v>
                </c:pt>
                <c:pt idx="9">
                  <c:v>471244.4</c:v>
                </c:pt>
                <c:pt idx="10">
                  <c:v>478764.4</c:v>
                </c:pt>
                <c:pt idx="11">
                  <c:v>479525.6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8-4414-9CF6-6BAA6C240A1C}"/>
            </c:ext>
          </c:extLst>
        </c:ser>
        <c:ser>
          <c:idx val="1"/>
          <c:order val="1"/>
          <c:tx>
            <c:strRef>
              <c:f>'Statements Summary 2026'!$B$11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8-4414-9CF6-6BAA6C240A1C}"/>
            </c:ext>
          </c:extLst>
        </c:ser>
        <c:ser>
          <c:idx val="2"/>
          <c:order val="2"/>
          <c:tx>
            <c:strRef>
              <c:f>'Statements Summary 2026'!$B$15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2026'!$B$16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2026'!$K$16:$V$16</c:f>
              <c:numCache>
                <c:formatCode>#,##0</c:formatCode>
                <c:ptCount val="12"/>
                <c:pt idx="0">
                  <c:v>429132.4</c:v>
                </c:pt>
                <c:pt idx="1">
                  <c:v>439284.4</c:v>
                </c:pt>
                <c:pt idx="2">
                  <c:v>442292.4</c:v>
                </c:pt>
                <c:pt idx="3">
                  <c:v>445300.4</c:v>
                </c:pt>
                <c:pt idx="4">
                  <c:v>447932.4</c:v>
                </c:pt>
                <c:pt idx="5">
                  <c:v>450940.4</c:v>
                </c:pt>
                <c:pt idx="6">
                  <c:v>453948.4</c:v>
                </c:pt>
                <c:pt idx="7">
                  <c:v>465604.4</c:v>
                </c:pt>
                <c:pt idx="8">
                  <c:v>468612.4</c:v>
                </c:pt>
                <c:pt idx="9">
                  <c:v>471244.4</c:v>
                </c:pt>
                <c:pt idx="10">
                  <c:v>478764.4</c:v>
                </c:pt>
                <c:pt idx="11">
                  <c:v>479525.6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68-4414-9CF6-6BAA6C240A1C}"/>
            </c:ext>
          </c:extLst>
        </c:ser>
        <c:ser>
          <c:idx val="4"/>
          <c:order val="4"/>
          <c:tx>
            <c:strRef>
              <c:f>'Statements Summary 2026'!$B$17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2026'!$K$17:$V$17</c:f>
              <c:numCache>
                <c:formatCode>#,##0</c:formatCode>
                <c:ptCount val="12"/>
                <c:pt idx="0">
                  <c:v>858264.8</c:v>
                </c:pt>
                <c:pt idx="1">
                  <c:v>878568.8</c:v>
                </c:pt>
                <c:pt idx="2">
                  <c:v>884584.8</c:v>
                </c:pt>
                <c:pt idx="3">
                  <c:v>890600.8</c:v>
                </c:pt>
                <c:pt idx="4">
                  <c:v>895864.8</c:v>
                </c:pt>
                <c:pt idx="5">
                  <c:v>901880.8</c:v>
                </c:pt>
                <c:pt idx="6">
                  <c:v>907896.8</c:v>
                </c:pt>
                <c:pt idx="7">
                  <c:v>931208.8</c:v>
                </c:pt>
                <c:pt idx="8">
                  <c:v>937224.8</c:v>
                </c:pt>
                <c:pt idx="9">
                  <c:v>942488.8</c:v>
                </c:pt>
                <c:pt idx="10">
                  <c:v>957528.79999999993</c:v>
                </c:pt>
                <c:pt idx="11">
                  <c:v>959051.20000000007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1810916.4</c:v>
                </c:pt>
                <c:pt idx="1">
                  <c:v>4465791.5807999996</c:v>
                </c:pt>
                <c:pt idx="2">
                  <c:v>8073112.3807999995</c:v>
                </c:pt>
                <c:pt idx="3">
                  <c:v>13545694.380800003</c:v>
                </c:pt>
                <c:pt idx="4">
                  <c:v>19710636.380800001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AB4-84DF-EC15E6365F18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-55839.600000000006</c:v>
                </c:pt>
                <c:pt idx="1">
                  <c:v>-69105.182400000005</c:v>
                </c:pt>
                <c:pt idx="2">
                  <c:v>-84761</c:v>
                </c:pt>
                <c:pt idx="3">
                  <c:v>-105469.40000000001</c:v>
                </c:pt>
                <c:pt idx="4">
                  <c:v>-118483.40000000001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2281448.4</c:v>
                </c:pt>
                <c:pt idx="1">
                  <c:v>4954123.5807999996</c:v>
                </c:pt>
                <c:pt idx="2">
                  <c:v>8582593.3807999995</c:v>
                </c:pt>
                <c:pt idx="3">
                  <c:v>14076712.380800003</c:v>
                </c:pt>
                <c:pt idx="4">
                  <c:v>20263036.380800001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C-4AB4-84DF-EC15E6365F18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1860606.7999999998</c:v>
                </c:pt>
                <c:pt idx="1">
                  <c:v>4721832.3983999994</c:v>
                </c:pt>
                <c:pt idx="2">
                  <c:v>8497832.3807999995</c:v>
                </c:pt>
                <c:pt idx="3">
                  <c:v>13971242.980800003</c:v>
                </c:pt>
                <c:pt idx="4">
                  <c:v>20144552.980800003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C-4AB4-84DF-EC15E6365F18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1810916.4</c:v>
                </c:pt>
                <c:pt idx="1">
                  <c:v>4465791.5807999996</c:v>
                </c:pt>
                <c:pt idx="2">
                  <c:v>8073112.3807999995</c:v>
                </c:pt>
                <c:pt idx="3">
                  <c:v>13545694.380800003</c:v>
                </c:pt>
                <c:pt idx="4">
                  <c:v>19710636.380800001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2026'!$K$88:$V$88</c:f>
              <c:numCache>
                <c:formatCode>#,##0</c:formatCode>
                <c:ptCount val="12"/>
                <c:pt idx="0">
                  <c:v>8502244.7807999998</c:v>
                </c:pt>
                <c:pt idx="1">
                  <c:v>8941529.1808000002</c:v>
                </c:pt>
                <c:pt idx="2">
                  <c:v>9383821.5808000006</c:v>
                </c:pt>
                <c:pt idx="3">
                  <c:v>9829121.980800001</c:v>
                </c:pt>
                <c:pt idx="4">
                  <c:v>10277054.380800001</c:v>
                </c:pt>
                <c:pt idx="5">
                  <c:v>10727994.780800002</c:v>
                </c:pt>
                <c:pt idx="6">
                  <c:v>11181943.180800002</c:v>
                </c:pt>
                <c:pt idx="7">
                  <c:v>11647547.580800002</c:v>
                </c:pt>
                <c:pt idx="8">
                  <c:v>12116159.980800003</c:v>
                </c:pt>
                <c:pt idx="9">
                  <c:v>12587404.380800003</c:v>
                </c:pt>
                <c:pt idx="10">
                  <c:v>13066168.780800004</c:v>
                </c:pt>
                <c:pt idx="11">
                  <c:v>13545694.380800003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1-4702-B493-0F6A9D4722D7}"/>
            </c:ext>
          </c:extLst>
        </c:ser>
        <c:ser>
          <c:idx val="2"/>
          <c:order val="2"/>
          <c:tx>
            <c:strRef>
              <c:f>'Statements Summary 2026'!$B$91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2026'!$K$91:$V$91</c:f>
              <c:numCache>
                <c:formatCode>#,##0</c:formatCode>
                <c:ptCount val="12"/>
                <c:pt idx="0">
                  <c:v>-90062.6</c:v>
                </c:pt>
                <c:pt idx="1">
                  <c:v>-92600.6</c:v>
                </c:pt>
                <c:pt idx="2">
                  <c:v>-93352.6</c:v>
                </c:pt>
                <c:pt idx="3">
                  <c:v>-94104.6</c:v>
                </c:pt>
                <c:pt idx="4">
                  <c:v>-94762.6</c:v>
                </c:pt>
                <c:pt idx="5">
                  <c:v>-95514.6</c:v>
                </c:pt>
                <c:pt idx="6">
                  <c:v>-96266.6</c:v>
                </c:pt>
                <c:pt idx="7">
                  <c:v>-99180.6</c:v>
                </c:pt>
                <c:pt idx="8">
                  <c:v>-99932.6</c:v>
                </c:pt>
                <c:pt idx="9">
                  <c:v>-100590.6</c:v>
                </c:pt>
                <c:pt idx="10">
                  <c:v>-102470.6</c:v>
                </c:pt>
                <c:pt idx="11">
                  <c:v>-105469.40000000001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2026'!$B$90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2026'!$K$90:$V$90</c:f>
              <c:numCache>
                <c:formatCode>#,##0</c:formatCode>
                <c:ptCount val="12"/>
                <c:pt idx="0">
                  <c:v>9013636.7807999998</c:v>
                </c:pt>
                <c:pt idx="1">
                  <c:v>9454832.1808000002</c:v>
                </c:pt>
                <c:pt idx="2">
                  <c:v>9899035.5808000006</c:v>
                </c:pt>
                <c:pt idx="3">
                  <c:v>10346091.980800001</c:v>
                </c:pt>
                <c:pt idx="4">
                  <c:v>10795780.380800001</c:v>
                </c:pt>
                <c:pt idx="5">
                  <c:v>11248476.780800002</c:v>
                </c:pt>
                <c:pt idx="6">
                  <c:v>11704181.180800002</c:v>
                </c:pt>
                <c:pt idx="7">
                  <c:v>12171541.580800002</c:v>
                </c:pt>
                <c:pt idx="8">
                  <c:v>12641909.980800003</c:v>
                </c:pt>
                <c:pt idx="9">
                  <c:v>13114910.380800003</c:v>
                </c:pt>
                <c:pt idx="10">
                  <c:v>13595430.780800004</c:v>
                </c:pt>
                <c:pt idx="11">
                  <c:v>14076712.380800003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1-4702-B493-0F6A9D4722D7}"/>
            </c:ext>
          </c:extLst>
        </c:ser>
        <c:ser>
          <c:idx val="3"/>
          <c:order val="3"/>
          <c:tx>
            <c:strRef>
              <c:f>'Statements Summary 2026'!$B$94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2026'!$K$94:$V$94</c:f>
              <c:numCache>
                <c:formatCode>#,##0</c:formatCode>
                <c:ptCount val="12"/>
                <c:pt idx="0">
                  <c:v>8923574.1808000002</c:v>
                </c:pt>
                <c:pt idx="1">
                  <c:v>9362231.5808000006</c:v>
                </c:pt>
                <c:pt idx="2">
                  <c:v>9805682.980800001</c:v>
                </c:pt>
                <c:pt idx="3">
                  <c:v>10251987.380800001</c:v>
                </c:pt>
                <c:pt idx="4">
                  <c:v>10701017.780800002</c:v>
                </c:pt>
                <c:pt idx="5">
                  <c:v>11152962.180800002</c:v>
                </c:pt>
                <c:pt idx="6">
                  <c:v>11607914.580800002</c:v>
                </c:pt>
                <c:pt idx="7">
                  <c:v>12072360.980800003</c:v>
                </c:pt>
                <c:pt idx="8">
                  <c:v>12541977.380800003</c:v>
                </c:pt>
                <c:pt idx="9">
                  <c:v>13014319.780800004</c:v>
                </c:pt>
                <c:pt idx="10">
                  <c:v>13492960.180800004</c:v>
                </c:pt>
                <c:pt idx="11">
                  <c:v>13971242.980800003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1-4702-B493-0F6A9D4722D7}"/>
            </c:ext>
          </c:extLst>
        </c:ser>
        <c:ser>
          <c:idx val="4"/>
          <c:order val="4"/>
          <c:tx>
            <c:strRef>
              <c:f>'Statements Summary 2026'!$B$95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2026'!$K$95:$V$95</c:f>
              <c:numCache>
                <c:formatCode>#,##0</c:formatCode>
                <c:ptCount val="12"/>
                <c:pt idx="0">
                  <c:v>8502244.7807999998</c:v>
                </c:pt>
                <c:pt idx="1">
                  <c:v>8941529.1808000002</c:v>
                </c:pt>
                <c:pt idx="2">
                  <c:v>9383821.5808000006</c:v>
                </c:pt>
                <c:pt idx="3">
                  <c:v>9829121.980800001</c:v>
                </c:pt>
                <c:pt idx="4">
                  <c:v>10277054.380800001</c:v>
                </c:pt>
                <c:pt idx="5">
                  <c:v>10727994.780800002</c:v>
                </c:pt>
                <c:pt idx="6">
                  <c:v>11181943.180800002</c:v>
                </c:pt>
                <c:pt idx="7">
                  <c:v>11647547.580800002</c:v>
                </c:pt>
                <c:pt idx="8">
                  <c:v>12116159.980800003</c:v>
                </c:pt>
                <c:pt idx="9">
                  <c:v>12587404.380800003</c:v>
                </c:pt>
                <c:pt idx="10">
                  <c:v>13066168.780800004</c:v>
                </c:pt>
                <c:pt idx="11">
                  <c:v>13545694.380800003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2027'!$E$45:$I$45</c:f>
              <c:numCache>
                <c:formatCode>#,##0</c:formatCode>
                <c:ptCount val="5"/>
                <c:pt idx="0">
                  <c:v>300123</c:v>
                </c:pt>
                <c:pt idx="1">
                  <c:v>366450.91200000001</c:v>
                </c:pt>
                <c:pt idx="2">
                  <c:v>425730</c:v>
                </c:pt>
                <c:pt idx="3">
                  <c:v>585620</c:v>
                </c:pt>
                <c:pt idx="4">
                  <c:v>656590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4-4AED-9C1A-D21D9E19807A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2027'!$E$57:$I$57</c:f>
              <c:numCache>
                <c:formatCode>#,##0</c:formatCode>
                <c:ptCount val="5"/>
                <c:pt idx="0">
                  <c:v>279198</c:v>
                </c:pt>
                <c:pt idx="1">
                  <c:v>345525.91200000001</c:v>
                </c:pt>
                <c:pt idx="2">
                  <c:v>423805</c:v>
                </c:pt>
                <c:pt idx="3">
                  <c:v>527347</c:v>
                </c:pt>
                <c:pt idx="4">
                  <c:v>592417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4-4AED-9C1A-D21D9E19807A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2027'!$E$64:$I$64</c:f>
              <c:numCache>
                <c:formatCode>#,##0</c:formatCode>
                <c:ptCount val="5"/>
                <c:pt idx="0">
                  <c:v>223358.4</c:v>
                </c:pt>
                <c:pt idx="1">
                  <c:v>276420.72960000002</c:v>
                </c:pt>
                <c:pt idx="2">
                  <c:v>339044</c:v>
                </c:pt>
                <c:pt idx="3">
                  <c:v>421877.6</c:v>
                </c:pt>
                <c:pt idx="4">
                  <c:v>473933.6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4-4AED-9C1A-D21D9E198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2027'!$K$45:$V$45</c:f>
              <c:numCache>
                <c:formatCode>#,##0</c:formatCode>
                <c:ptCount val="12"/>
                <c:pt idx="0">
                  <c:v>588910</c:v>
                </c:pt>
                <c:pt idx="1">
                  <c:v>592670</c:v>
                </c:pt>
                <c:pt idx="2">
                  <c:v>607240</c:v>
                </c:pt>
                <c:pt idx="3">
                  <c:v>611000</c:v>
                </c:pt>
                <c:pt idx="4">
                  <c:v>614760</c:v>
                </c:pt>
                <c:pt idx="5">
                  <c:v>618050</c:v>
                </c:pt>
                <c:pt idx="6">
                  <c:v>627450</c:v>
                </c:pt>
                <c:pt idx="7">
                  <c:v>631210</c:v>
                </c:pt>
                <c:pt idx="8">
                  <c:v>645310</c:v>
                </c:pt>
                <c:pt idx="9">
                  <c:v>649070</c:v>
                </c:pt>
                <c:pt idx="10">
                  <c:v>652830</c:v>
                </c:pt>
                <c:pt idx="11">
                  <c:v>656590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7-4E6A-963A-750F60867B32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2027'!$K$57:$V$57</c:f>
              <c:numCache>
                <c:formatCode>#,##0</c:formatCode>
                <c:ptCount val="12"/>
                <c:pt idx="0">
                  <c:v>519403</c:v>
                </c:pt>
                <c:pt idx="1">
                  <c:v>523163</c:v>
                </c:pt>
                <c:pt idx="2">
                  <c:v>531833</c:v>
                </c:pt>
                <c:pt idx="3">
                  <c:v>535593</c:v>
                </c:pt>
                <c:pt idx="4">
                  <c:v>539353</c:v>
                </c:pt>
                <c:pt idx="5">
                  <c:v>542643</c:v>
                </c:pt>
                <c:pt idx="6">
                  <c:v>552043</c:v>
                </c:pt>
                <c:pt idx="7">
                  <c:v>555803</c:v>
                </c:pt>
                <c:pt idx="8">
                  <c:v>569903</c:v>
                </c:pt>
                <c:pt idx="9">
                  <c:v>573663</c:v>
                </c:pt>
                <c:pt idx="10">
                  <c:v>577423</c:v>
                </c:pt>
                <c:pt idx="11">
                  <c:v>592417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7-4E6A-963A-750F60867B32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2027'!$K$64:$V$64</c:f>
              <c:numCache>
                <c:formatCode>#,##0</c:formatCode>
                <c:ptCount val="12"/>
                <c:pt idx="0">
                  <c:v>415522.4</c:v>
                </c:pt>
                <c:pt idx="1">
                  <c:v>418530.4</c:v>
                </c:pt>
                <c:pt idx="2">
                  <c:v>425466.4</c:v>
                </c:pt>
                <c:pt idx="3">
                  <c:v>428474.4</c:v>
                </c:pt>
                <c:pt idx="4">
                  <c:v>431482.4</c:v>
                </c:pt>
                <c:pt idx="5">
                  <c:v>434114.4</c:v>
                </c:pt>
                <c:pt idx="6">
                  <c:v>441634.4</c:v>
                </c:pt>
                <c:pt idx="7">
                  <c:v>444642.4</c:v>
                </c:pt>
                <c:pt idx="8">
                  <c:v>455922.4</c:v>
                </c:pt>
                <c:pt idx="9">
                  <c:v>458930.4</c:v>
                </c:pt>
                <c:pt idx="10">
                  <c:v>461938.4</c:v>
                </c:pt>
                <c:pt idx="11">
                  <c:v>473933.6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97-4E6A-963A-750F60867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170658</c:v>
                </c:pt>
                <c:pt idx="1">
                  <c:v>264083.52960000001</c:v>
                </c:pt>
                <c:pt idx="2">
                  <c:v>340344</c:v>
                </c:pt>
                <c:pt idx="3">
                  <c:v>479525.6</c:v>
                </c:pt>
                <c:pt idx="4">
                  <c:v>537481.6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2-43AA-AF24-381DF7D0E6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2-43AA-AF24-381DF7D0E6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170658</c:v>
                </c:pt>
                <c:pt idx="1">
                  <c:v>264083.52960000001</c:v>
                </c:pt>
                <c:pt idx="2">
                  <c:v>340344</c:v>
                </c:pt>
                <c:pt idx="3">
                  <c:v>479525.6</c:v>
                </c:pt>
                <c:pt idx="4">
                  <c:v>537481.6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A2-43AA-AF24-381DF7D0E6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324498</c:v>
                </c:pt>
                <c:pt idx="1">
                  <c:v>511349.05920000002</c:v>
                </c:pt>
                <c:pt idx="2">
                  <c:v>680688</c:v>
                </c:pt>
                <c:pt idx="3">
                  <c:v>959051.20000000007</c:v>
                </c:pt>
                <c:pt idx="4">
                  <c:v>1074963.2000000002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2027'!$K$8:$V$8</c:f>
              <c:numCache>
                <c:formatCode>#,##0</c:formatCode>
                <c:ptCount val="12"/>
                <c:pt idx="0">
                  <c:v>484404.4</c:v>
                </c:pt>
                <c:pt idx="1">
                  <c:v>487412.4</c:v>
                </c:pt>
                <c:pt idx="2">
                  <c:v>500248.4</c:v>
                </c:pt>
                <c:pt idx="3">
                  <c:v>503256.4</c:v>
                </c:pt>
                <c:pt idx="4">
                  <c:v>506264.4</c:v>
                </c:pt>
                <c:pt idx="5">
                  <c:v>508896.4</c:v>
                </c:pt>
                <c:pt idx="6">
                  <c:v>516416.4</c:v>
                </c:pt>
                <c:pt idx="7">
                  <c:v>519424.4</c:v>
                </c:pt>
                <c:pt idx="8">
                  <c:v>530704.4</c:v>
                </c:pt>
                <c:pt idx="9">
                  <c:v>533712.4</c:v>
                </c:pt>
                <c:pt idx="10">
                  <c:v>536720.4</c:v>
                </c:pt>
                <c:pt idx="11">
                  <c:v>537481.6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C-4EB5-870E-A2CCEFAD287F}"/>
            </c:ext>
          </c:extLst>
        </c:ser>
        <c:ser>
          <c:idx val="1"/>
          <c:order val="1"/>
          <c:tx>
            <c:strRef>
              <c:f>'Statements Summary 2027'!$B$11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C-4EB5-870E-A2CCEFAD287F}"/>
            </c:ext>
          </c:extLst>
        </c:ser>
        <c:ser>
          <c:idx val="2"/>
          <c:order val="2"/>
          <c:tx>
            <c:strRef>
              <c:f>'Statements Summary 2027'!$B$15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2027'!$B$16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2027'!$K$16:$V$16</c:f>
              <c:numCache>
                <c:formatCode>#,##0</c:formatCode>
                <c:ptCount val="12"/>
                <c:pt idx="0">
                  <c:v>484404.4</c:v>
                </c:pt>
                <c:pt idx="1">
                  <c:v>487412.4</c:v>
                </c:pt>
                <c:pt idx="2">
                  <c:v>500248.4</c:v>
                </c:pt>
                <c:pt idx="3">
                  <c:v>503256.4</c:v>
                </c:pt>
                <c:pt idx="4">
                  <c:v>506264.4</c:v>
                </c:pt>
                <c:pt idx="5">
                  <c:v>508896.4</c:v>
                </c:pt>
                <c:pt idx="6">
                  <c:v>516416.4</c:v>
                </c:pt>
                <c:pt idx="7">
                  <c:v>519424.4</c:v>
                </c:pt>
                <c:pt idx="8">
                  <c:v>530704.4</c:v>
                </c:pt>
                <c:pt idx="9">
                  <c:v>533712.4</c:v>
                </c:pt>
                <c:pt idx="10">
                  <c:v>536720.4</c:v>
                </c:pt>
                <c:pt idx="11">
                  <c:v>537481.6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C-4EB5-870E-A2CCEFAD287F}"/>
            </c:ext>
          </c:extLst>
        </c:ser>
        <c:ser>
          <c:idx val="4"/>
          <c:order val="4"/>
          <c:tx>
            <c:strRef>
              <c:f>'Statements Summary 2027'!$B$17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2027'!$K$17:$V$17</c:f>
              <c:numCache>
                <c:formatCode>#,##0</c:formatCode>
                <c:ptCount val="12"/>
                <c:pt idx="0">
                  <c:v>968808.79999999993</c:v>
                </c:pt>
                <c:pt idx="1">
                  <c:v>974824.79999999993</c:v>
                </c:pt>
                <c:pt idx="2">
                  <c:v>1000496.7999999999</c:v>
                </c:pt>
                <c:pt idx="3">
                  <c:v>1006512.7999999999</c:v>
                </c:pt>
                <c:pt idx="4">
                  <c:v>1012528.7999999999</c:v>
                </c:pt>
                <c:pt idx="5">
                  <c:v>1017792.7999999999</c:v>
                </c:pt>
                <c:pt idx="6">
                  <c:v>1032832.7999999999</c:v>
                </c:pt>
                <c:pt idx="7">
                  <c:v>1038848.7999999999</c:v>
                </c:pt>
                <c:pt idx="8">
                  <c:v>1061408.7999999998</c:v>
                </c:pt>
                <c:pt idx="9">
                  <c:v>1067424.7999999998</c:v>
                </c:pt>
                <c:pt idx="10">
                  <c:v>1073440.7999999998</c:v>
                </c:pt>
                <c:pt idx="11">
                  <c:v>1074963.2000000002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1810916.4</c:v>
                </c:pt>
                <c:pt idx="1">
                  <c:v>4465791.5807999996</c:v>
                </c:pt>
                <c:pt idx="2">
                  <c:v>8073112.3807999995</c:v>
                </c:pt>
                <c:pt idx="3">
                  <c:v>13545694.380800003</c:v>
                </c:pt>
                <c:pt idx="4">
                  <c:v>19710636.380800001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0FE-B8A8-A6508339DDC5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-55839.600000000006</c:v>
                </c:pt>
                <c:pt idx="1">
                  <c:v>-69105.182400000005</c:v>
                </c:pt>
                <c:pt idx="2">
                  <c:v>-84761</c:v>
                </c:pt>
                <c:pt idx="3">
                  <c:v>-105469.40000000001</c:v>
                </c:pt>
                <c:pt idx="4">
                  <c:v>-118483.40000000001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2281448.4</c:v>
                </c:pt>
                <c:pt idx="1">
                  <c:v>4954123.5807999996</c:v>
                </c:pt>
                <c:pt idx="2">
                  <c:v>8582593.3807999995</c:v>
                </c:pt>
                <c:pt idx="3">
                  <c:v>14076712.380800003</c:v>
                </c:pt>
                <c:pt idx="4">
                  <c:v>20263036.380800001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B1-40FE-B8A8-A6508339DDC5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1860606.7999999998</c:v>
                </c:pt>
                <c:pt idx="1">
                  <c:v>4721832.3983999994</c:v>
                </c:pt>
                <c:pt idx="2">
                  <c:v>8497832.3807999995</c:v>
                </c:pt>
                <c:pt idx="3">
                  <c:v>13971242.980800003</c:v>
                </c:pt>
                <c:pt idx="4">
                  <c:v>20144552.980800003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B1-40FE-B8A8-A6508339DDC5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1810916.4</c:v>
                </c:pt>
                <c:pt idx="1">
                  <c:v>4465791.5807999996</c:v>
                </c:pt>
                <c:pt idx="2">
                  <c:v>8073112.3807999995</c:v>
                </c:pt>
                <c:pt idx="3">
                  <c:v>13545694.380800003</c:v>
                </c:pt>
                <c:pt idx="4">
                  <c:v>19710636.380800001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170658</c:v>
                </c:pt>
                <c:pt idx="1">
                  <c:v>264083.52960000001</c:v>
                </c:pt>
                <c:pt idx="2">
                  <c:v>340344</c:v>
                </c:pt>
                <c:pt idx="3">
                  <c:v>479525.6</c:v>
                </c:pt>
                <c:pt idx="4">
                  <c:v>537481.6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5-436D-B9EC-7CC844A9F589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5-436D-B9EC-7CC844A9F589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170658</c:v>
                </c:pt>
                <c:pt idx="1">
                  <c:v>264083.52960000001</c:v>
                </c:pt>
                <c:pt idx="2">
                  <c:v>340344</c:v>
                </c:pt>
                <c:pt idx="3">
                  <c:v>479525.6</c:v>
                </c:pt>
                <c:pt idx="4">
                  <c:v>537481.6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55-436D-B9EC-7CC844A9F589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324498</c:v>
                </c:pt>
                <c:pt idx="1">
                  <c:v>511349.05920000002</c:v>
                </c:pt>
                <c:pt idx="2">
                  <c:v>680688</c:v>
                </c:pt>
                <c:pt idx="3">
                  <c:v>959051.20000000007</c:v>
                </c:pt>
                <c:pt idx="4">
                  <c:v>1074963.2000000002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2027'!$K$88:$V$88</c:f>
              <c:numCache>
                <c:formatCode>#,##0</c:formatCode>
                <c:ptCount val="12"/>
                <c:pt idx="0">
                  <c:v>14030098.780800004</c:v>
                </c:pt>
                <c:pt idx="1">
                  <c:v>14517511.180800004</c:v>
                </c:pt>
                <c:pt idx="2">
                  <c:v>15017759.580800004</c:v>
                </c:pt>
                <c:pt idx="3">
                  <c:v>15521015.980800005</c:v>
                </c:pt>
                <c:pt idx="4">
                  <c:v>16027280.380800005</c:v>
                </c:pt>
                <c:pt idx="5">
                  <c:v>16536176.780800005</c:v>
                </c:pt>
                <c:pt idx="6">
                  <c:v>17052593.180800006</c:v>
                </c:pt>
                <c:pt idx="7">
                  <c:v>17572017.580800004</c:v>
                </c:pt>
                <c:pt idx="8">
                  <c:v>18102721.980800003</c:v>
                </c:pt>
                <c:pt idx="9">
                  <c:v>18636434.380800001</c:v>
                </c:pt>
                <c:pt idx="10">
                  <c:v>19173154.7808</c:v>
                </c:pt>
                <c:pt idx="11">
                  <c:v>19710636.380800001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B-417E-A1EC-5CA047233CBB}"/>
            </c:ext>
          </c:extLst>
        </c:ser>
        <c:ser>
          <c:idx val="2"/>
          <c:order val="2"/>
          <c:tx>
            <c:strRef>
              <c:f>'Statements Summary 2027'!$B$91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2027'!$K$91:$V$91</c:f>
              <c:numCache>
                <c:formatCode>#,##0</c:formatCode>
                <c:ptCount val="12"/>
                <c:pt idx="0">
                  <c:v>-103880.6</c:v>
                </c:pt>
                <c:pt idx="1">
                  <c:v>-104632.6</c:v>
                </c:pt>
                <c:pt idx="2">
                  <c:v>-106366.6</c:v>
                </c:pt>
                <c:pt idx="3">
                  <c:v>-107118.6</c:v>
                </c:pt>
                <c:pt idx="4">
                  <c:v>-107870.6</c:v>
                </c:pt>
                <c:pt idx="5">
                  <c:v>-108528.6</c:v>
                </c:pt>
                <c:pt idx="6">
                  <c:v>-110408.6</c:v>
                </c:pt>
                <c:pt idx="7">
                  <c:v>-111160.6</c:v>
                </c:pt>
                <c:pt idx="8">
                  <c:v>-113980.6</c:v>
                </c:pt>
                <c:pt idx="9">
                  <c:v>-114732.6</c:v>
                </c:pt>
                <c:pt idx="10">
                  <c:v>-115484.6</c:v>
                </c:pt>
                <c:pt idx="11">
                  <c:v>-118483.40000000001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2027'!$B$90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2027'!$K$90:$V$90</c:f>
              <c:numCache>
                <c:formatCode>#,##0</c:formatCode>
                <c:ptCount val="12"/>
                <c:pt idx="0">
                  <c:v>14562872.780800004</c:v>
                </c:pt>
                <c:pt idx="1">
                  <c:v>15052196.180800004</c:v>
                </c:pt>
                <c:pt idx="2">
                  <c:v>15554355.580800004</c:v>
                </c:pt>
                <c:pt idx="3">
                  <c:v>16059367.980800005</c:v>
                </c:pt>
                <c:pt idx="4">
                  <c:v>16567388.380800005</c:v>
                </c:pt>
                <c:pt idx="5">
                  <c:v>17078040.780800007</c:v>
                </c:pt>
                <c:pt idx="6">
                  <c:v>17596213.180800006</c:v>
                </c:pt>
                <c:pt idx="7">
                  <c:v>18117393.580800004</c:v>
                </c:pt>
                <c:pt idx="8">
                  <c:v>18649853.980800003</c:v>
                </c:pt>
                <c:pt idx="9">
                  <c:v>19185322.380800001</c:v>
                </c:pt>
                <c:pt idx="10">
                  <c:v>19723798.7808</c:v>
                </c:pt>
                <c:pt idx="11">
                  <c:v>20263036.380800001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B-417E-A1EC-5CA047233CBB}"/>
            </c:ext>
          </c:extLst>
        </c:ser>
        <c:ser>
          <c:idx val="3"/>
          <c:order val="3"/>
          <c:tx>
            <c:strRef>
              <c:f>'Statements Summary 2027'!$B$94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2027'!$K$94:$V$94</c:f>
              <c:numCache>
                <c:formatCode>#,##0</c:formatCode>
                <c:ptCount val="12"/>
                <c:pt idx="0">
                  <c:v>14458992.180800004</c:v>
                </c:pt>
                <c:pt idx="1">
                  <c:v>14947563.580800004</c:v>
                </c:pt>
                <c:pt idx="2">
                  <c:v>15447988.980800005</c:v>
                </c:pt>
                <c:pt idx="3">
                  <c:v>15952249.380800005</c:v>
                </c:pt>
                <c:pt idx="4">
                  <c:v>16459517.780800005</c:v>
                </c:pt>
                <c:pt idx="5">
                  <c:v>16969512.180800006</c:v>
                </c:pt>
                <c:pt idx="6">
                  <c:v>17485804.580800004</c:v>
                </c:pt>
                <c:pt idx="7">
                  <c:v>18006232.980800003</c:v>
                </c:pt>
                <c:pt idx="8">
                  <c:v>18535873.380800001</c:v>
                </c:pt>
                <c:pt idx="9">
                  <c:v>19070589.7808</c:v>
                </c:pt>
                <c:pt idx="10">
                  <c:v>19608314.180799998</c:v>
                </c:pt>
                <c:pt idx="11">
                  <c:v>20144552.980800003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B-417E-A1EC-5CA047233CBB}"/>
            </c:ext>
          </c:extLst>
        </c:ser>
        <c:ser>
          <c:idx val="4"/>
          <c:order val="4"/>
          <c:tx>
            <c:strRef>
              <c:f>'Statements Summary 2027'!$B$95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2027'!$K$95:$V$95</c:f>
              <c:numCache>
                <c:formatCode>#,##0</c:formatCode>
                <c:ptCount val="12"/>
                <c:pt idx="0">
                  <c:v>14030098.780800004</c:v>
                </c:pt>
                <c:pt idx="1">
                  <c:v>14517511.180800004</c:v>
                </c:pt>
                <c:pt idx="2">
                  <c:v>15017759.580800004</c:v>
                </c:pt>
                <c:pt idx="3">
                  <c:v>15521015.980800005</c:v>
                </c:pt>
                <c:pt idx="4">
                  <c:v>16027280.380800005</c:v>
                </c:pt>
                <c:pt idx="5">
                  <c:v>16536176.780800005</c:v>
                </c:pt>
                <c:pt idx="6">
                  <c:v>17052593.180800006</c:v>
                </c:pt>
                <c:pt idx="7">
                  <c:v>17572017.580800004</c:v>
                </c:pt>
                <c:pt idx="8">
                  <c:v>18102721.980800003</c:v>
                </c:pt>
                <c:pt idx="9">
                  <c:v>18636434.380800001</c:v>
                </c:pt>
                <c:pt idx="10">
                  <c:v>19173154.7808</c:v>
                </c:pt>
                <c:pt idx="11">
                  <c:v>19710636.380800001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2023 </a:t>
            </a:r>
            <a:r>
              <a:rPr lang="en-GB"/>
              <a:t>Revenues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'IS 2023'!$C$12</c:f>
              <c:strCache>
                <c:ptCount val="1"/>
                <c:pt idx="0">
                  <c:v>Generated kWh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2023'!$F$12:$Q$12</c:f>
              <c:numCache>
                <c:formatCode>#,##0</c:formatCode>
                <c:ptCount val="12"/>
                <c:pt idx="0">
                  <c:v>280000</c:v>
                </c:pt>
                <c:pt idx="1">
                  <c:v>270555</c:v>
                </c:pt>
                <c:pt idx="2">
                  <c:v>286778</c:v>
                </c:pt>
                <c:pt idx="3">
                  <c:v>295112</c:v>
                </c:pt>
                <c:pt idx="4">
                  <c:v>320445</c:v>
                </c:pt>
                <c:pt idx="5">
                  <c:v>349015</c:v>
                </c:pt>
                <c:pt idx="6">
                  <c:v>357998</c:v>
                </c:pt>
                <c:pt idx="7">
                  <c:v>360821</c:v>
                </c:pt>
                <c:pt idx="8">
                  <c:v>350123</c:v>
                </c:pt>
                <c:pt idx="9">
                  <c:v>330015</c:v>
                </c:pt>
                <c:pt idx="10">
                  <c:v>313011</c:v>
                </c:pt>
                <c:pt idx="11">
                  <c:v>300123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81-4A0F-9E44-E5CF159A683E}"/>
            </c:ext>
          </c:extLst>
        </c:ser>
        <c:ser>
          <c:idx val="0"/>
          <c:order val="1"/>
          <c:tx>
            <c:strRef>
              <c:f>'IS 2023'!$C$22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'IS 2023'!$F$22:$Q$22</c:f>
              <c:numCache>
                <c:formatCode>#,##0</c:formatCode>
                <c:ptCount val="12"/>
                <c:pt idx="0">
                  <c:v>269610</c:v>
                </c:pt>
                <c:pt idx="1">
                  <c:v>260165</c:v>
                </c:pt>
                <c:pt idx="2">
                  <c:v>276388</c:v>
                </c:pt>
                <c:pt idx="3">
                  <c:v>284722</c:v>
                </c:pt>
                <c:pt idx="4">
                  <c:v>310055</c:v>
                </c:pt>
                <c:pt idx="5">
                  <c:v>338625</c:v>
                </c:pt>
                <c:pt idx="6">
                  <c:v>347608</c:v>
                </c:pt>
                <c:pt idx="7">
                  <c:v>350431</c:v>
                </c:pt>
                <c:pt idx="8">
                  <c:v>339733</c:v>
                </c:pt>
                <c:pt idx="9">
                  <c:v>319625</c:v>
                </c:pt>
                <c:pt idx="10">
                  <c:v>302621</c:v>
                </c:pt>
                <c:pt idx="11">
                  <c:v>289733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2-4EA6-A32D-958E41CF2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714989663"/>
        <c:axId val="1714978143"/>
      </c:barChart>
      <c:catAx>
        <c:axId val="1714989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78143"/>
        <c:crosses val="autoZero"/>
        <c:auto val="1"/>
        <c:lblAlgn val="ctr"/>
        <c:lblOffset val="100"/>
        <c:noMultiLvlLbl val="0"/>
      </c:catAx>
      <c:valAx>
        <c:axId val="171497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96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2024 Revenues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'IS 2024'!$C$12</c:f>
              <c:strCache>
                <c:ptCount val="1"/>
                <c:pt idx="0">
                  <c:v>Generated kWh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2024'!$F$12:$Q$12</c:f>
              <c:numCache>
                <c:formatCode>#,##0</c:formatCode>
                <c:ptCount val="12"/>
                <c:pt idx="0">
                  <c:v>338078.59200000006</c:v>
                </c:pt>
                <c:pt idx="1">
                  <c:v>342857.08799999993</c:v>
                </c:pt>
                <c:pt idx="2">
                  <c:v>347635.58399999997</c:v>
                </c:pt>
                <c:pt idx="3">
                  <c:v>352414.07999999996</c:v>
                </c:pt>
                <c:pt idx="4">
                  <c:v>350024.83200000005</c:v>
                </c:pt>
                <c:pt idx="5">
                  <c:v>353011.39199999993</c:v>
                </c:pt>
                <c:pt idx="6">
                  <c:v>363165.69600000005</c:v>
                </c:pt>
                <c:pt idx="7">
                  <c:v>358984.51199999993</c:v>
                </c:pt>
                <c:pt idx="8">
                  <c:v>372722.68800000002</c:v>
                </c:pt>
                <c:pt idx="9">
                  <c:v>374215.96799999999</c:v>
                </c:pt>
                <c:pt idx="10">
                  <c:v>364957.63199999998</c:v>
                </c:pt>
                <c:pt idx="11">
                  <c:v>366450.91200000001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F-419B-AAE3-D7C7628411A1}"/>
            </c:ext>
          </c:extLst>
        </c:ser>
        <c:ser>
          <c:idx val="0"/>
          <c:order val="1"/>
          <c:tx>
            <c:strRef>
              <c:f>'IS 2024'!$C$23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'IS 2024'!$F$23:$Q$23</c:f>
              <c:numCache>
                <c:formatCode>#,##0</c:formatCode>
                <c:ptCount val="12"/>
                <c:pt idx="0">
                  <c:v>327688.59200000006</c:v>
                </c:pt>
                <c:pt idx="1">
                  <c:v>332467.08799999993</c:v>
                </c:pt>
                <c:pt idx="2">
                  <c:v>337245.58399999997</c:v>
                </c:pt>
                <c:pt idx="3">
                  <c:v>342024.07999999996</c:v>
                </c:pt>
                <c:pt idx="4">
                  <c:v>339634.83200000005</c:v>
                </c:pt>
                <c:pt idx="5">
                  <c:v>342621.39199999993</c:v>
                </c:pt>
                <c:pt idx="6">
                  <c:v>352775.69600000005</c:v>
                </c:pt>
                <c:pt idx="7">
                  <c:v>348594.51199999993</c:v>
                </c:pt>
                <c:pt idx="8">
                  <c:v>362332.68800000002</c:v>
                </c:pt>
                <c:pt idx="9">
                  <c:v>363825.96799999999</c:v>
                </c:pt>
                <c:pt idx="10">
                  <c:v>354567.63199999998</c:v>
                </c:pt>
                <c:pt idx="11">
                  <c:v>356060.91200000001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A-4587-8495-47993E25F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714988703"/>
        <c:axId val="1714989183"/>
      </c:barChart>
      <c:catAx>
        <c:axId val="1714988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9183"/>
        <c:crosses val="autoZero"/>
        <c:auto val="1"/>
        <c:lblAlgn val="ctr"/>
        <c:lblOffset val="100"/>
        <c:noMultiLvlLbl val="0"/>
      </c:catAx>
      <c:valAx>
        <c:axId val="171498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87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2025 Revenues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'IS 2025'!$C$12</c:f>
              <c:strCache>
                <c:ptCount val="1"/>
                <c:pt idx="0">
                  <c:v>Generated kWh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2025'!$F$12:$Q$12</c:f>
              <c:numCache>
                <c:formatCode>#,##0</c:formatCode>
                <c:ptCount val="12"/>
                <c:pt idx="0">
                  <c:v>373290</c:v>
                </c:pt>
                <c:pt idx="1">
                  <c:v>377775</c:v>
                </c:pt>
                <c:pt idx="2">
                  <c:v>353280</c:v>
                </c:pt>
                <c:pt idx="3">
                  <c:v>695175</c:v>
                </c:pt>
                <c:pt idx="4">
                  <c:v>359835</c:v>
                </c:pt>
                <c:pt idx="5">
                  <c:v>362250</c:v>
                </c:pt>
                <c:pt idx="6">
                  <c:v>372945</c:v>
                </c:pt>
                <c:pt idx="7">
                  <c:v>367770</c:v>
                </c:pt>
                <c:pt idx="8">
                  <c:v>381570</c:v>
                </c:pt>
                <c:pt idx="9">
                  <c:v>383295</c:v>
                </c:pt>
                <c:pt idx="10">
                  <c:v>394680</c:v>
                </c:pt>
                <c:pt idx="11">
                  <c:v>425730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C8-4A5F-8DEB-9E7EF193B6AD}"/>
            </c:ext>
          </c:extLst>
        </c:ser>
        <c:ser>
          <c:idx val="0"/>
          <c:order val="1"/>
          <c:tx>
            <c:strRef>
              <c:f>'IS 2025'!$C$22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'IS 2025'!$F$22:$Q$22</c:f>
              <c:numCache>
                <c:formatCode>#,##0</c:formatCode>
                <c:ptCount val="12"/>
                <c:pt idx="0">
                  <c:v>381900</c:v>
                </c:pt>
                <c:pt idx="1">
                  <c:v>386385</c:v>
                </c:pt>
                <c:pt idx="2">
                  <c:v>361890</c:v>
                </c:pt>
                <c:pt idx="3">
                  <c:v>703785</c:v>
                </c:pt>
                <c:pt idx="4">
                  <c:v>368445</c:v>
                </c:pt>
                <c:pt idx="5">
                  <c:v>370860</c:v>
                </c:pt>
                <c:pt idx="6">
                  <c:v>381555</c:v>
                </c:pt>
                <c:pt idx="7">
                  <c:v>376380</c:v>
                </c:pt>
                <c:pt idx="8">
                  <c:v>390180</c:v>
                </c:pt>
                <c:pt idx="9">
                  <c:v>391905</c:v>
                </c:pt>
                <c:pt idx="10">
                  <c:v>403290</c:v>
                </c:pt>
                <c:pt idx="11">
                  <c:v>434340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A-4497-8FA4-C4566A7E6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0452223"/>
        <c:axId val="20444543"/>
      </c:barChart>
      <c:catAx>
        <c:axId val="20452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44543"/>
        <c:crosses val="autoZero"/>
        <c:auto val="1"/>
        <c:lblAlgn val="ctr"/>
        <c:lblOffset val="100"/>
        <c:noMultiLvlLbl val="0"/>
      </c:catAx>
      <c:valAx>
        <c:axId val="2044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22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2026 Revenues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'IS 2026'!$C$12</c:f>
              <c:strCache>
                <c:ptCount val="1"/>
                <c:pt idx="0">
                  <c:v>Generated kWh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2026'!$F$12:$Q$12</c:f>
              <c:numCache>
                <c:formatCode>#,##0</c:formatCode>
                <c:ptCount val="12"/>
                <c:pt idx="0">
                  <c:v>519820</c:v>
                </c:pt>
                <c:pt idx="1">
                  <c:v>532510</c:v>
                </c:pt>
                <c:pt idx="2">
                  <c:v>536270</c:v>
                </c:pt>
                <c:pt idx="3">
                  <c:v>540030</c:v>
                </c:pt>
                <c:pt idx="4">
                  <c:v>543320</c:v>
                </c:pt>
                <c:pt idx="5">
                  <c:v>547080</c:v>
                </c:pt>
                <c:pt idx="6">
                  <c:v>550840</c:v>
                </c:pt>
                <c:pt idx="7">
                  <c:v>565410</c:v>
                </c:pt>
                <c:pt idx="8">
                  <c:v>569170</c:v>
                </c:pt>
                <c:pt idx="9">
                  <c:v>572460</c:v>
                </c:pt>
                <c:pt idx="10">
                  <c:v>581860</c:v>
                </c:pt>
                <c:pt idx="11">
                  <c:v>585620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C5-42CE-B9A7-EC22AA86FD95}"/>
            </c:ext>
          </c:extLst>
        </c:ser>
        <c:ser>
          <c:idx val="0"/>
          <c:order val="1"/>
          <c:tx>
            <c:strRef>
              <c:f>'IS 2026'!$C$22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'IS 2026'!$F$22:$Q$22</c:f>
              <c:numCache>
                <c:formatCode>#,##0</c:formatCode>
                <c:ptCount val="12"/>
                <c:pt idx="0">
                  <c:v>487276</c:v>
                </c:pt>
                <c:pt idx="1">
                  <c:v>499966</c:v>
                </c:pt>
                <c:pt idx="2">
                  <c:v>503726</c:v>
                </c:pt>
                <c:pt idx="3">
                  <c:v>507486</c:v>
                </c:pt>
                <c:pt idx="4">
                  <c:v>510776</c:v>
                </c:pt>
                <c:pt idx="5">
                  <c:v>514536</c:v>
                </c:pt>
                <c:pt idx="6">
                  <c:v>518296</c:v>
                </c:pt>
                <c:pt idx="7">
                  <c:v>532866</c:v>
                </c:pt>
                <c:pt idx="8">
                  <c:v>536626</c:v>
                </c:pt>
                <c:pt idx="9">
                  <c:v>539916</c:v>
                </c:pt>
                <c:pt idx="10">
                  <c:v>549316</c:v>
                </c:pt>
                <c:pt idx="11">
                  <c:v>553076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B-4539-A7AD-75C4832C4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0435423"/>
        <c:axId val="20457503"/>
      </c:barChart>
      <c:catAx>
        <c:axId val="20435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7503"/>
        <c:crosses val="autoZero"/>
        <c:auto val="1"/>
        <c:lblAlgn val="ctr"/>
        <c:lblOffset val="100"/>
        <c:noMultiLvlLbl val="0"/>
      </c:catAx>
      <c:valAx>
        <c:axId val="2045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54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2027 Revenues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'IS 2027'!$C$12</c:f>
              <c:strCache>
                <c:ptCount val="1"/>
                <c:pt idx="0">
                  <c:v>Generated kWh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2027'!$F$12:$Q$12</c:f>
              <c:numCache>
                <c:formatCode>#,##0</c:formatCode>
                <c:ptCount val="12"/>
                <c:pt idx="0">
                  <c:v>588910</c:v>
                </c:pt>
                <c:pt idx="1">
                  <c:v>592670</c:v>
                </c:pt>
                <c:pt idx="2">
                  <c:v>607240</c:v>
                </c:pt>
                <c:pt idx="3">
                  <c:v>611000</c:v>
                </c:pt>
                <c:pt idx="4">
                  <c:v>614760</c:v>
                </c:pt>
                <c:pt idx="5">
                  <c:v>618050</c:v>
                </c:pt>
                <c:pt idx="6">
                  <c:v>627450</c:v>
                </c:pt>
                <c:pt idx="7">
                  <c:v>631210</c:v>
                </c:pt>
                <c:pt idx="8">
                  <c:v>645310</c:v>
                </c:pt>
                <c:pt idx="9">
                  <c:v>649070</c:v>
                </c:pt>
                <c:pt idx="10">
                  <c:v>652830</c:v>
                </c:pt>
                <c:pt idx="11">
                  <c:v>656590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C7-4CEA-A86D-C0E38FF0C92E}"/>
            </c:ext>
          </c:extLst>
        </c:ser>
        <c:ser>
          <c:idx val="0"/>
          <c:order val="1"/>
          <c:tx>
            <c:strRef>
              <c:f>'IS 2027'!$C$22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'IS 2027'!$F$22:$Q$22</c:f>
              <c:numCache>
                <c:formatCode>#,##0</c:formatCode>
                <c:ptCount val="12"/>
                <c:pt idx="0">
                  <c:v>556366</c:v>
                </c:pt>
                <c:pt idx="1">
                  <c:v>560126</c:v>
                </c:pt>
                <c:pt idx="2">
                  <c:v>568796</c:v>
                </c:pt>
                <c:pt idx="3">
                  <c:v>572556</c:v>
                </c:pt>
                <c:pt idx="4">
                  <c:v>576316</c:v>
                </c:pt>
                <c:pt idx="5">
                  <c:v>579606</c:v>
                </c:pt>
                <c:pt idx="6">
                  <c:v>589006</c:v>
                </c:pt>
                <c:pt idx="7">
                  <c:v>592766</c:v>
                </c:pt>
                <c:pt idx="8">
                  <c:v>606866</c:v>
                </c:pt>
                <c:pt idx="9">
                  <c:v>610626</c:v>
                </c:pt>
                <c:pt idx="10">
                  <c:v>614386</c:v>
                </c:pt>
                <c:pt idx="11">
                  <c:v>618146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6-4473-851F-40D0937B4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0493983"/>
        <c:axId val="20494463"/>
      </c:barChart>
      <c:catAx>
        <c:axId val="20493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4463"/>
        <c:crosses val="autoZero"/>
        <c:auto val="1"/>
        <c:lblAlgn val="ctr"/>
        <c:lblOffset val="100"/>
        <c:noMultiLvlLbl val="0"/>
      </c:catAx>
      <c:valAx>
        <c:axId val="2049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3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2023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2023'!$C$13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2023'!$F$13:$Q$13</c:f>
              <c:numCache>
                <c:formatCode>#,##0</c:formatCode>
                <c:ptCount val="12"/>
                <c:pt idx="0">
                  <c:v>280000</c:v>
                </c:pt>
                <c:pt idx="1">
                  <c:v>270555</c:v>
                </c:pt>
                <c:pt idx="2">
                  <c:v>286778</c:v>
                </c:pt>
                <c:pt idx="3">
                  <c:v>295112</c:v>
                </c:pt>
                <c:pt idx="4">
                  <c:v>320445</c:v>
                </c:pt>
                <c:pt idx="5">
                  <c:v>349015</c:v>
                </c:pt>
                <c:pt idx="6">
                  <c:v>357998</c:v>
                </c:pt>
                <c:pt idx="7">
                  <c:v>360821</c:v>
                </c:pt>
                <c:pt idx="8">
                  <c:v>350123</c:v>
                </c:pt>
                <c:pt idx="9">
                  <c:v>330015</c:v>
                </c:pt>
                <c:pt idx="10">
                  <c:v>313011</c:v>
                </c:pt>
                <c:pt idx="11">
                  <c:v>300123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D-4097-B11A-EEAFC1290730}"/>
            </c:ext>
          </c:extLst>
        </c:ser>
        <c:ser>
          <c:idx val="1"/>
          <c:order val="1"/>
          <c:tx>
            <c:strRef>
              <c:f>'IS 2023'!$C$14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2023'!$F$14:$Q$14</c:f>
              <c:numCache>
                <c:formatCode>#,##0</c:formatCode>
                <c:ptCount val="12"/>
                <c:pt idx="0">
                  <c:v>-10390</c:v>
                </c:pt>
                <c:pt idx="1">
                  <c:v>-10390</c:v>
                </c:pt>
                <c:pt idx="2">
                  <c:v>-10390</c:v>
                </c:pt>
                <c:pt idx="3">
                  <c:v>-10390</c:v>
                </c:pt>
                <c:pt idx="4">
                  <c:v>-10390</c:v>
                </c:pt>
                <c:pt idx="5">
                  <c:v>-10390</c:v>
                </c:pt>
                <c:pt idx="6">
                  <c:v>-10390</c:v>
                </c:pt>
                <c:pt idx="7">
                  <c:v>-10390</c:v>
                </c:pt>
                <c:pt idx="8">
                  <c:v>-10390</c:v>
                </c:pt>
                <c:pt idx="9">
                  <c:v>-10390</c:v>
                </c:pt>
                <c:pt idx="10">
                  <c:v>-10390</c:v>
                </c:pt>
                <c:pt idx="11">
                  <c:v>-10390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FD-4097-B11A-EEAFC1290730}"/>
            </c:ext>
          </c:extLst>
        </c:ser>
        <c:ser>
          <c:idx val="2"/>
          <c:order val="2"/>
          <c:tx>
            <c:strRef>
              <c:f>'IS 2023'!$C$34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2023'!$F$34:$Q$34</c:f>
              <c:numCache>
                <c:formatCode>#,##0</c:formatCode>
                <c:ptCount val="12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FD-4097-B11A-EEAFC1290730}"/>
            </c:ext>
          </c:extLst>
        </c:ser>
        <c:ser>
          <c:idx val="3"/>
          <c:order val="3"/>
          <c:tx>
            <c:strRef>
              <c:f>'IS 2023'!$C$35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2023'!$F$35:$Q$35</c:f>
              <c:numCache>
                <c:formatCode>#,##0</c:formatCode>
                <c:ptCount val="12"/>
                <c:pt idx="0">
                  <c:v>-4063</c:v>
                </c:pt>
                <c:pt idx="1">
                  <c:v>-4063</c:v>
                </c:pt>
                <c:pt idx="2">
                  <c:v>-4063</c:v>
                </c:pt>
                <c:pt idx="3">
                  <c:v>-4063</c:v>
                </c:pt>
                <c:pt idx="4">
                  <c:v>-4063</c:v>
                </c:pt>
                <c:pt idx="5">
                  <c:v>-4063</c:v>
                </c:pt>
                <c:pt idx="6">
                  <c:v>-4063</c:v>
                </c:pt>
                <c:pt idx="7">
                  <c:v>-4063</c:v>
                </c:pt>
                <c:pt idx="8">
                  <c:v>-4063</c:v>
                </c:pt>
                <c:pt idx="9">
                  <c:v>-4063</c:v>
                </c:pt>
                <c:pt idx="10">
                  <c:v>-4063</c:v>
                </c:pt>
                <c:pt idx="11">
                  <c:v>-4063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FD-4097-B11A-EEAFC1290730}"/>
            </c:ext>
          </c:extLst>
        </c:ser>
        <c:ser>
          <c:idx val="4"/>
          <c:order val="4"/>
          <c:tx>
            <c:strRef>
              <c:f>'IS 2023'!$C$55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2023'!$F$55:$Q$55</c:f>
              <c:numCache>
                <c:formatCode>#,##0</c:formatCode>
                <c:ptCount val="12"/>
                <c:pt idx="0">
                  <c:v>259075</c:v>
                </c:pt>
                <c:pt idx="1">
                  <c:v>249630</c:v>
                </c:pt>
                <c:pt idx="2">
                  <c:v>265853</c:v>
                </c:pt>
                <c:pt idx="3">
                  <c:v>274187</c:v>
                </c:pt>
                <c:pt idx="4">
                  <c:v>299520</c:v>
                </c:pt>
                <c:pt idx="5">
                  <c:v>328090</c:v>
                </c:pt>
                <c:pt idx="6">
                  <c:v>337073</c:v>
                </c:pt>
                <c:pt idx="7">
                  <c:v>339896</c:v>
                </c:pt>
                <c:pt idx="8">
                  <c:v>329198</c:v>
                </c:pt>
                <c:pt idx="9">
                  <c:v>309090</c:v>
                </c:pt>
                <c:pt idx="10">
                  <c:v>292086</c:v>
                </c:pt>
                <c:pt idx="11">
                  <c:v>279198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FD-4097-B11A-EEAFC1290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283440"/>
        <c:axId val="460266160"/>
      </c:barChart>
      <c:catAx>
        <c:axId val="46028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266160"/>
        <c:crosses val="autoZero"/>
        <c:auto val="1"/>
        <c:lblAlgn val="ctr"/>
        <c:lblOffset val="100"/>
        <c:noMultiLvlLbl val="0"/>
      </c:catAx>
      <c:valAx>
        <c:axId val="46026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283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2024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2024'!$C$13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2024'!$F$13:$Q$13</c:f>
              <c:numCache>
                <c:formatCode>#,##0</c:formatCode>
                <c:ptCount val="12"/>
                <c:pt idx="0">
                  <c:v>338078.59200000006</c:v>
                </c:pt>
                <c:pt idx="1">
                  <c:v>342857.08799999993</c:v>
                </c:pt>
                <c:pt idx="2">
                  <c:v>347635.58399999997</c:v>
                </c:pt>
                <c:pt idx="3">
                  <c:v>352414.07999999996</c:v>
                </c:pt>
                <c:pt idx="4">
                  <c:v>350024.83200000005</c:v>
                </c:pt>
                <c:pt idx="5">
                  <c:v>353011.39199999993</c:v>
                </c:pt>
                <c:pt idx="6">
                  <c:v>363165.69600000005</c:v>
                </c:pt>
                <c:pt idx="7">
                  <c:v>358984.51199999993</c:v>
                </c:pt>
                <c:pt idx="8">
                  <c:v>372722.68800000002</c:v>
                </c:pt>
                <c:pt idx="9">
                  <c:v>374215.96799999999</c:v>
                </c:pt>
                <c:pt idx="10">
                  <c:v>364957.63199999998</c:v>
                </c:pt>
                <c:pt idx="11">
                  <c:v>366450.91200000001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F-40CB-B710-870D5F2C71F6}"/>
            </c:ext>
          </c:extLst>
        </c:ser>
        <c:ser>
          <c:idx val="1"/>
          <c:order val="1"/>
          <c:tx>
            <c:strRef>
              <c:f>'IS 2024'!$C$14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2024'!$F$14:$Q$14</c:f>
              <c:numCache>
                <c:formatCode>#,##0</c:formatCode>
                <c:ptCount val="12"/>
                <c:pt idx="0">
                  <c:v>-10390</c:v>
                </c:pt>
                <c:pt idx="1">
                  <c:v>-10390</c:v>
                </c:pt>
                <c:pt idx="2">
                  <c:v>-10390</c:v>
                </c:pt>
                <c:pt idx="3">
                  <c:v>-10390</c:v>
                </c:pt>
                <c:pt idx="4">
                  <c:v>-10390</c:v>
                </c:pt>
                <c:pt idx="5">
                  <c:v>-10390</c:v>
                </c:pt>
                <c:pt idx="6">
                  <c:v>-10390</c:v>
                </c:pt>
                <c:pt idx="7">
                  <c:v>-10390</c:v>
                </c:pt>
                <c:pt idx="8">
                  <c:v>-10390</c:v>
                </c:pt>
                <c:pt idx="9">
                  <c:v>-10390</c:v>
                </c:pt>
                <c:pt idx="10">
                  <c:v>-10390</c:v>
                </c:pt>
                <c:pt idx="11">
                  <c:v>-10390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F-40CB-B710-870D5F2C71F6}"/>
            </c:ext>
          </c:extLst>
        </c:ser>
        <c:ser>
          <c:idx val="2"/>
          <c:order val="2"/>
          <c:tx>
            <c:strRef>
              <c:f>'IS 2024'!$C$35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2024'!$F$35:$Q$35</c:f>
              <c:numCache>
                <c:formatCode>#,##0</c:formatCode>
                <c:ptCount val="12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F-40CB-B710-870D5F2C71F6}"/>
            </c:ext>
          </c:extLst>
        </c:ser>
        <c:ser>
          <c:idx val="3"/>
          <c:order val="3"/>
          <c:tx>
            <c:strRef>
              <c:f>'IS 2024'!$C$36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2024'!$F$36:$Q$36</c:f>
              <c:numCache>
                <c:formatCode>#,##0</c:formatCode>
                <c:ptCount val="12"/>
                <c:pt idx="0">
                  <c:v>-4063</c:v>
                </c:pt>
                <c:pt idx="1">
                  <c:v>-4063</c:v>
                </c:pt>
                <c:pt idx="2">
                  <c:v>-4063</c:v>
                </c:pt>
                <c:pt idx="3">
                  <c:v>-4063</c:v>
                </c:pt>
                <c:pt idx="4">
                  <c:v>-4063</c:v>
                </c:pt>
                <c:pt idx="5">
                  <c:v>-4063</c:v>
                </c:pt>
                <c:pt idx="6">
                  <c:v>-4063</c:v>
                </c:pt>
                <c:pt idx="7">
                  <c:v>-4063</c:v>
                </c:pt>
                <c:pt idx="8">
                  <c:v>-4063</c:v>
                </c:pt>
                <c:pt idx="9">
                  <c:v>-4063</c:v>
                </c:pt>
                <c:pt idx="10">
                  <c:v>-4063</c:v>
                </c:pt>
                <c:pt idx="11">
                  <c:v>-4063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F-40CB-B710-870D5F2C71F6}"/>
            </c:ext>
          </c:extLst>
        </c:ser>
        <c:ser>
          <c:idx val="4"/>
          <c:order val="4"/>
          <c:tx>
            <c:strRef>
              <c:f>'IS 2024'!$C$56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2024'!$F$56:$Q$56</c:f>
              <c:numCache>
                <c:formatCode>#,##0</c:formatCode>
                <c:ptCount val="12"/>
                <c:pt idx="0">
                  <c:v>317153.59200000006</c:v>
                </c:pt>
                <c:pt idx="1">
                  <c:v>321932.08799999993</c:v>
                </c:pt>
                <c:pt idx="2">
                  <c:v>326710.58399999997</c:v>
                </c:pt>
                <c:pt idx="3">
                  <c:v>331489.07999999996</c:v>
                </c:pt>
                <c:pt idx="4">
                  <c:v>329099.83200000005</c:v>
                </c:pt>
                <c:pt idx="5">
                  <c:v>332086.39199999993</c:v>
                </c:pt>
                <c:pt idx="6">
                  <c:v>342240.69600000005</c:v>
                </c:pt>
                <c:pt idx="7">
                  <c:v>338059.51199999993</c:v>
                </c:pt>
                <c:pt idx="8">
                  <c:v>351797.68800000002</c:v>
                </c:pt>
                <c:pt idx="9">
                  <c:v>353290.96799999999</c:v>
                </c:pt>
                <c:pt idx="10">
                  <c:v>344032.63199999998</c:v>
                </c:pt>
                <c:pt idx="11">
                  <c:v>345525.91200000001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1F-40CB-B710-870D5F2C7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322800"/>
        <c:axId val="460326160"/>
      </c:barChart>
      <c:catAx>
        <c:axId val="460322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326160"/>
        <c:crosses val="autoZero"/>
        <c:auto val="1"/>
        <c:lblAlgn val="ctr"/>
        <c:lblOffset val="100"/>
        <c:noMultiLvlLbl val="0"/>
      </c:catAx>
      <c:valAx>
        <c:axId val="46032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32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2025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2025'!$C$13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2025'!$F$13:$Q$13</c:f>
              <c:numCache>
                <c:formatCode>#,##0</c:formatCode>
                <c:ptCount val="12"/>
                <c:pt idx="0">
                  <c:v>373290</c:v>
                </c:pt>
                <c:pt idx="1">
                  <c:v>377775</c:v>
                </c:pt>
                <c:pt idx="2">
                  <c:v>353280</c:v>
                </c:pt>
                <c:pt idx="3">
                  <c:v>695175</c:v>
                </c:pt>
                <c:pt idx="4">
                  <c:v>359835</c:v>
                </c:pt>
                <c:pt idx="5">
                  <c:v>362250</c:v>
                </c:pt>
                <c:pt idx="6">
                  <c:v>372945</c:v>
                </c:pt>
                <c:pt idx="7">
                  <c:v>367770</c:v>
                </c:pt>
                <c:pt idx="8">
                  <c:v>381570</c:v>
                </c:pt>
                <c:pt idx="9">
                  <c:v>383295</c:v>
                </c:pt>
                <c:pt idx="10">
                  <c:v>394680</c:v>
                </c:pt>
                <c:pt idx="11">
                  <c:v>425730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F-46D0-8AF1-CEC66A3C3208}"/>
            </c:ext>
          </c:extLst>
        </c:ser>
        <c:ser>
          <c:idx val="1"/>
          <c:order val="1"/>
          <c:tx>
            <c:strRef>
              <c:f>'IS 2025'!$C$14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2025'!$F$14:$Q$14</c:f>
              <c:numCache>
                <c:formatCode>#,##0</c:formatCode>
                <c:ptCount val="12"/>
                <c:pt idx="0">
                  <c:v>8610</c:v>
                </c:pt>
                <c:pt idx="1">
                  <c:v>8610</c:v>
                </c:pt>
                <c:pt idx="2">
                  <c:v>8610</c:v>
                </c:pt>
                <c:pt idx="3">
                  <c:v>8610</c:v>
                </c:pt>
                <c:pt idx="4">
                  <c:v>8610</c:v>
                </c:pt>
                <c:pt idx="5">
                  <c:v>8610</c:v>
                </c:pt>
                <c:pt idx="6">
                  <c:v>8610</c:v>
                </c:pt>
                <c:pt idx="7">
                  <c:v>8610</c:v>
                </c:pt>
                <c:pt idx="8">
                  <c:v>8610</c:v>
                </c:pt>
                <c:pt idx="9">
                  <c:v>8610</c:v>
                </c:pt>
                <c:pt idx="10">
                  <c:v>8610</c:v>
                </c:pt>
                <c:pt idx="11">
                  <c:v>8610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2F-46D0-8AF1-CEC66A3C3208}"/>
            </c:ext>
          </c:extLst>
        </c:ser>
        <c:ser>
          <c:idx val="2"/>
          <c:order val="2"/>
          <c:tx>
            <c:strRef>
              <c:f>'IS 2025'!$C$34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2025'!$F$34:$Q$34</c:f>
              <c:numCache>
                <c:formatCode>#,##0</c:formatCode>
                <c:ptCount val="12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2F-46D0-8AF1-CEC66A3C3208}"/>
            </c:ext>
          </c:extLst>
        </c:ser>
        <c:ser>
          <c:idx val="3"/>
          <c:order val="3"/>
          <c:tx>
            <c:strRef>
              <c:f>'IS 2025'!$C$35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2025'!$F$35:$Q$35</c:f>
              <c:numCache>
                <c:formatCode>#,##0</c:formatCode>
                <c:ptCount val="12"/>
                <c:pt idx="0">
                  <c:v>-45063</c:v>
                </c:pt>
                <c:pt idx="1">
                  <c:v>-45063</c:v>
                </c:pt>
                <c:pt idx="2">
                  <c:v>-45063</c:v>
                </c:pt>
                <c:pt idx="3">
                  <c:v>-45063</c:v>
                </c:pt>
                <c:pt idx="4">
                  <c:v>-45063</c:v>
                </c:pt>
                <c:pt idx="5">
                  <c:v>-45063</c:v>
                </c:pt>
                <c:pt idx="6">
                  <c:v>-45063</c:v>
                </c:pt>
                <c:pt idx="7">
                  <c:v>-45063</c:v>
                </c:pt>
                <c:pt idx="8">
                  <c:v>-45063</c:v>
                </c:pt>
                <c:pt idx="9">
                  <c:v>-45063</c:v>
                </c:pt>
                <c:pt idx="10">
                  <c:v>-45063</c:v>
                </c:pt>
                <c:pt idx="11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2F-46D0-8AF1-CEC66A3C3208}"/>
            </c:ext>
          </c:extLst>
        </c:ser>
        <c:ser>
          <c:idx val="4"/>
          <c:order val="4"/>
          <c:tx>
            <c:strRef>
              <c:f>'IS 2025'!$C$55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2025'!$F$55:$Q$55</c:f>
              <c:numCache>
                <c:formatCode>#,##0</c:formatCode>
                <c:ptCount val="12"/>
                <c:pt idx="0">
                  <c:v>371365</c:v>
                </c:pt>
                <c:pt idx="1">
                  <c:v>375850</c:v>
                </c:pt>
                <c:pt idx="2">
                  <c:v>351355</c:v>
                </c:pt>
                <c:pt idx="3">
                  <c:v>693250</c:v>
                </c:pt>
                <c:pt idx="4">
                  <c:v>357910</c:v>
                </c:pt>
                <c:pt idx="5">
                  <c:v>360325</c:v>
                </c:pt>
                <c:pt idx="6">
                  <c:v>371020</c:v>
                </c:pt>
                <c:pt idx="7">
                  <c:v>365845</c:v>
                </c:pt>
                <c:pt idx="8">
                  <c:v>379645</c:v>
                </c:pt>
                <c:pt idx="9">
                  <c:v>381370</c:v>
                </c:pt>
                <c:pt idx="10">
                  <c:v>392755</c:v>
                </c:pt>
                <c:pt idx="11">
                  <c:v>423805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2F-46D0-8AF1-CEC66A3C3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407856"/>
        <c:axId val="516397776"/>
      </c:barChart>
      <c:catAx>
        <c:axId val="51640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397776"/>
        <c:crosses val="autoZero"/>
        <c:auto val="1"/>
        <c:lblAlgn val="ctr"/>
        <c:lblOffset val="100"/>
        <c:noMultiLvlLbl val="0"/>
      </c:catAx>
      <c:valAx>
        <c:axId val="51639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407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2026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2026'!$C$13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2026'!$F$13:$Q$13</c:f>
              <c:numCache>
                <c:formatCode>#,##0</c:formatCode>
                <c:ptCount val="12"/>
                <c:pt idx="0">
                  <c:v>519820</c:v>
                </c:pt>
                <c:pt idx="1">
                  <c:v>532510</c:v>
                </c:pt>
                <c:pt idx="2">
                  <c:v>536270</c:v>
                </c:pt>
                <c:pt idx="3">
                  <c:v>540030</c:v>
                </c:pt>
                <c:pt idx="4">
                  <c:v>543320</c:v>
                </c:pt>
                <c:pt idx="5">
                  <c:v>547080</c:v>
                </c:pt>
                <c:pt idx="6">
                  <c:v>550840</c:v>
                </c:pt>
                <c:pt idx="7">
                  <c:v>565410</c:v>
                </c:pt>
                <c:pt idx="8">
                  <c:v>569170</c:v>
                </c:pt>
                <c:pt idx="9">
                  <c:v>572460</c:v>
                </c:pt>
                <c:pt idx="10">
                  <c:v>581860</c:v>
                </c:pt>
                <c:pt idx="11">
                  <c:v>585620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2-455B-80D0-6EF7F97100FB}"/>
            </c:ext>
          </c:extLst>
        </c:ser>
        <c:ser>
          <c:idx val="1"/>
          <c:order val="1"/>
          <c:tx>
            <c:strRef>
              <c:f>'IS 2026'!$C$14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2026'!$F$14:$Q$14</c:f>
              <c:numCache>
                <c:formatCode>#,##0</c:formatCode>
                <c:ptCount val="12"/>
                <c:pt idx="0">
                  <c:v>-32544</c:v>
                </c:pt>
                <c:pt idx="1">
                  <c:v>-32544</c:v>
                </c:pt>
                <c:pt idx="2">
                  <c:v>-32544</c:v>
                </c:pt>
                <c:pt idx="3">
                  <c:v>-32544</c:v>
                </c:pt>
                <c:pt idx="4">
                  <c:v>-32544</c:v>
                </c:pt>
                <c:pt idx="5">
                  <c:v>-32544</c:v>
                </c:pt>
                <c:pt idx="6">
                  <c:v>-32544</c:v>
                </c:pt>
                <c:pt idx="7">
                  <c:v>-32544</c:v>
                </c:pt>
                <c:pt idx="8">
                  <c:v>-32544</c:v>
                </c:pt>
                <c:pt idx="9">
                  <c:v>-32544</c:v>
                </c:pt>
                <c:pt idx="10">
                  <c:v>-32544</c:v>
                </c:pt>
                <c:pt idx="11">
                  <c:v>-32544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2-455B-80D0-6EF7F97100FB}"/>
            </c:ext>
          </c:extLst>
        </c:ser>
        <c:ser>
          <c:idx val="2"/>
          <c:order val="2"/>
          <c:tx>
            <c:strRef>
              <c:f>'IS 2026'!$C$33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2026'!$F$33:$Q$33</c:f>
              <c:numCache>
                <c:formatCode>#,##0</c:formatCode>
                <c:ptCount val="12"/>
                <c:pt idx="0">
                  <c:v>-28713</c:v>
                </c:pt>
                <c:pt idx="1">
                  <c:v>-28713</c:v>
                </c:pt>
                <c:pt idx="2">
                  <c:v>-28713</c:v>
                </c:pt>
                <c:pt idx="3">
                  <c:v>-28713</c:v>
                </c:pt>
                <c:pt idx="4">
                  <c:v>-28713</c:v>
                </c:pt>
                <c:pt idx="5">
                  <c:v>-28713</c:v>
                </c:pt>
                <c:pt idx="6">
                  <c:v>-28713</c:v>
                </c:pt>
                <c:pt idx="7">
                  <c:v>-28713</c:v>
                </c:pt>
                <c:pt idx="8">
                  <c:v>-28713</c:v>
                </c:pt>
                <c:pt idx="9">
                  <c:v>-28713</c:v>
                </c:pt>
                <c:pt idx="10">
                  <c:v>-28713</c:v>
                </c:pt>
                <c:pt idx="11">
                  <c:v>-17479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2-455B-80D0-6EF7F97100FB}"/>
            </c:ext>
          </c:extLst>
        </c:ser>
        <c:ser>
          <c:idx val="3"/>
          <c:order val="3"/>
          <c:tx>
            <c:strRef>
              <c:f>'IS 2026'!$C$34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2026'!$F$34:$Q$34</c:f>
              <c:numCache>
                <c:formatCode>#,##0</c:formatCode>
                <c:ptCount val="12"/>
                <c:pt idx="0">
                  <c:v>-45063</c:v>
                </c:pt>
                <c:pt idx="1">
                  <c:v>-45063</c:v>
                </c:pt>
                <c:pt idx="2">
                  <c:v>-45063</c:v>
                </c:pt>
                <c:pt idx="3">
                  <c:v>-45063</c:v>
                </c:pt>
                <c:pt idx="4">
                  <c:v>-45063</c:v>
                </c:pt>
                <c:pt idx="5">
                  <c:v>-45063</c:v>
                </c:pt>
                <c:pt idx="6">
                  <c:v>-45063</c:v>
                </c:pt>
                <c:pt idx="7">
                  <c:v>-45063</c:v>
                </c:pt>
                <c:pt idx="8">
                  <c:v>-45063</c:v>
                </c:pt>
                <c:pt idx="9">
                  <c:v>-45063</c:v>
                </c:pt>
                <c:pt idx="10">
                  <c:v>-45063</c:v>
                </c:pt>
                <c:pt idx="11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2-455B-80D0-6EF7F97100FB}"/>
            </c:ext>
          </c:extLst>
        </c:ser>
        <c:ser>
          <c:idx val="4"/>
          <c:order val="4"/>
          <c:tx>
            <c:strRef>
              <c:f>'IS 2026'!$C$53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2026'!$F$53:$Q$53</c:f>
              <c:numCache>
                <c:formatCode>#,##0</c:formatCode>
                <c:ptCount val="12"/>
                <c:pt idx="0">
                  <c:v>450313</c:v>
                </c:pt>
                <c:pt idx="1">
                  <c:v>463003</c:v>
                </c:pt>
                <c:pt idx="2">
                  <c:v>466763</c:v>
                </c:pt>
                <c:pt idx="3">
                  <c:v>470523</c:v>
                </c:pt>
                <c:pt idx="4">
                  <c:v>473813</c:v>
                </c:pt>
                <c:pt idx="5">
                  <c:v>477573</c:v>
                </c:pt>
                <c:pt idx="6">
                  <c:v>481333</c:v>
                </c:pt>
                <c:pt idx="7">
                  <c:v>495903</c:v>
                </c:pt>
                <c:pt idx="8">
                  <c:v>499663</c:v>
                </c:pt>
                <c:pt idx="9">
                  <c:v>502953</c:v>
                </c:pt>
                <c:pt idx="10">
                  <c:v>512353</c:v>
                </c:pt>
                <c:pt idx="11">
                  <c:v>527347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02-455B-80D0-6EF7F9710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399696"/>
        <c:axId val="516401136"/>
      </c:barChart>
      <c:catAx>
        <c:axId val="51639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401136"/>
        <c:crosses val="autoZero"/>
        <c:auto val="1"/>
        <c:lblAlgn val="ctr"/>
        <c:lblOffset val="100"/>
        <c:noMultiLvlLbl val="0"/>
      </c:catAx>
      <c:valAx>
        <c:axId val="51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399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2023'!$K$8:$V$8</c:f>
              <c:numCache>
                <c:formatCode>#,##0</c:formatCode>
                <c:ptCount val="12"/>
                <c:pt idx="0">
                  <c:v>117560</c:v>
                </c:pt>
                <c:pt idx="1">
                  <c:v>113367.59999999998</c:v>
                </c:pt>
                <c:pt idx="2">
                  <c:v>129709.59999999998</c:v>
                </c:pt>
                <c:pt idx="3">
                  <c:v>139740.4</c:v>
                </c:pt>
                <c:pt idx="4">
                  <c:v>163370.4</c:v>
                </c:pt>
                <c:pt idx="5">
                  <c:v>189590</c:v>
                </c:pt>
                <c:pt idx="6">
                  <c:v>200140</c:v>
                </c:pt>
                <c:pt idx="7">
                  <c:v>205762</c:v>
                </c:pt>
                <c:pt idx="8">
                  <c:v>200567.19999999998</c:v>
                </c:pt>
                <c:pt idx="9">
                  <c:v>187844.4</c:v>
                </c:pt>
                <c:pt idx="10">
                  <c:v>177604.8</c:v>
                </c:pt>
                <c:pt idx="11">
                  <c:v>170658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F-4AD1-80AC-1E69F404F42C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2023'!$K$11:$V$11</c:f>
              <c:numCache>
                <c:formatCode>#,##0</c:formatCode>
                <c:ptCount val="12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F-4AD1-80AC-1E69F404F42C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2023'!$K$16:$V$16</c:f>
              <c:numCache>
                <c:formatCode>#,##0</c:formatCode>
                <c:ptCount val="12"/>
                <c:pt idx="0">
                  <c:v>450000</c:v>
                </c:pt>
                <c:pt idx="1">
                  <c:v>113367.59999999998</c:v>
                </c:pt>
                <c:pt idx="2">
                  <c:v>129709.59999999998</c:v>
                </c:pt>
                <c:pt idx="3">
                  <c:v>139740.4</c:v>
                </c:pt>
                <c:pt idx="4">
                  <c:v>163370.4</c:v>
                </c:pt>
                <c:pt idx="5">
                  <c:v>189590</c:v>
                </c:pt>
                <c:pt idx="6">
                  <c:v>200140</c:v>
                </c:pt>
                <c:pt idx="7">
                  <c:v>205762</c:v>
                </c:pt>
                <c:pt idx="8">
                  <c:v>200567.19999999998</c:v>
                </c:pt>
                <c:pt idx="9">
                  <c:v>187844.4</c:v>
                </c:pt>
                <c:pt idx="10">
                  <c:v>177604.8</c:v>
                </c:pt>
                <c:pt idx="11">
                  <c:v>170658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3F-4AD1-80AC-1E69F404F42C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2023'!$K$17:$V$17</c:f>
              <c:numCache>
                <c:formatCode>#,##0</c:formatCode>
                <c:ptCount val="12"/>
                <c:pt idx="0">
                  <c:v>235120</c:v>
                </c:pt>
                <c:pt idx="1">
                  <c:v>209917.19999999995</c:v>
                </c:pt>
                <c:pt idx="2">
                  <c:v>242601.19999999995</c:v>
                </c:pt>
                <c:pt idx="3">
                  <c:v>262662.80000000005</c:v>
                </c:pt>
                <c:pt idx="4">
                  <c:v>309922.80000000005</c:v>
                </c:pt>
                <c:pt idx="5">
                  <c:v>362362</c:v>
                </c:pt>
                <c:pt idx="6">
                  <c:v>383462</c:v>
                </c:pt>
                <c:pt idx="7">
                  <c:v>394706</c:v>
                </c:pt>
                <c:pt idx="8">
                  <c:v>384316.39999999991</c:v>
                </c:pt>
                <c:pt idx="9">
                  <c:v>358870.80000000005</c:v>
                </c:pt>
                <c:pt idx="10">
                  <c:v>338391.6</c:v>
                </c:pt>
                <c:pt idx="11">
                  <c:v>324498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2027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2027'!$C$13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2027'!$F$13:$Q$13</c:f>
              <c:numCache>
                <c:formatCode>#,##0</c:formatCode>
                <c:ptCount val="12"/>
                <c:pt idx="0">
                  <c:v>588910</c:v>
                </c:pt>
                <c:pt idx="1">
                  <c:v>592670</c:v>
                </c:pt>
                <c:pt idx="2">
                  <c:v>607240</c:v>
                </c:pt>
                <c:pt idx="3">
                  <c:v>611000</c:v>
                </c:pt>
                <c:pt idx="4">
                  <c:v>614760</c:v>
                </c:pt>
                <c:pt idx="5">
                  <c:v>618050</c:v>
                </c:pt>
                <c:pt idx="6">
                  <c:v>627450</c:v>
                </c:pt>
                <c:pt idx="7">
                  <c:v>631210</c:v>
                </c:pt>
                <c:pt idx="8">
                  <c:v>645310</c:v>
                </c:pt>
                <c:pt idx="9">
                  <c:v>649070</c:v>
                </c:pt>
                <c:pt idx="10">
                  <c:v>652830</c:v>
                </c:pt>
                <c:pt idx="11">
                  <c:v>656590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2-49D0-8002-A801B944FBD1}"/>
            </c:ext>
          </c:extLst>
        </c:ser>
        <c:ser>
          <c:idx val="1"/>
          <c:order val="1"/>
          <c:tx>
            <c:strRef>
              <c:f>'IS 2027'!$C$14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2027'!$F$14:$Q$14</c:f>
              <c:numCache>
                <c:formatCode>#,##0</c:formatCode>
                <c:ptCount val="12"/>
                <c:pt idx="0">
                  <c:v>-32544</c:v>
                </c:pt>
                <c:pt idx="1">
                  <c:v>-32544</c:v>
                </c:pt>
                <c:pt idx="2">
                  <c:v>-38444</c:v>
                </c:pt>
                <c:pt idx="3">
                  <c:v>-38444</c:v>
                </c:pt>
                <c:pt idx="4">
                  <c:v>-38444</c:v>
                </c:pt>
                <c:pt idx="5">
                  <c:v>-38444</c:v>
                </c:pt>
                <c:pt idx="6">
                  <c:v>-38444</c:v>
                </c:pt>
                <c:pt idx="7">
                  <c:v>-38444</c:v>
                </c:pt>
                <c:pt idx="8">
                  <c:v>-38444</c:v>
                </c:pt>
                <c:pt idx="9">
                  <c:v>-38444</c:v>
                </c:pt>
                <c:pt idx="10">
                  <c:v>-38444</c:v>
                </c:pt>
                <c:pt idx="11">
                  <c:v>-38444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B2-49D0-8002-A801B944FBD1}"/>
            </c:ext>
          </c:extLst>
        </c:ser>
        <c:ser>
          <c:idx val="2"/>
          <c:order val="2"/>
          <c:tx>
            <c:strRef>
              <c:f>'IS 2027'!$C$33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2027'!$F$33:$Q$33</c:f>
              <c:numCache>
                <c:formatCode>#,##0</c:formatCode>
                <c:ptCount val="12"/>
                <c:pt idx="0">
                  <c:v>-28713</c:v>
                </c:pt>
                <c:pt idx="1">
                  <c:v>-28713</c:v>
                </c:pt>
                <c:pt idx="2">
                  <c:v>-28713</c:v>
                </c:pt>
                <c:pt idx="3">
                  <c:v>-28713</c:v>
                </c:pt>
                <c:pt idx="4">
                  <c:v>-28713</c:v>
                </c:pt>
                <c:pt idx="5">
                  <c:v>-28713</c:v>
                </c:pt>
                <c:pt idx="6">
                  <c:v>-28713</c:v>
                </c:pt>
                <c:pt idx="7">
                  <c:v>-28713</c:v>
                </c:pt>
                <c:pt idx="8">
                  <c:v>-28713</c:v>
                </c:pt>
                <c:pt idx="9">
                  <c:v>-28713</c:v>
                </c:pt>
                <c:pt idx="10">
                  <c:v>-28713</c:v>
                </c:pt>
                <c:pt idx="11">
                  <c:v>-17479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B2-49D0-8002-A801B944FBD1}"/>
            </c:ext>
          </c:extLst>
        </c:ser>
        <c:ser>
          <c:idx val="3"/>
          <c:order val="3"/>
          <c:tx>
            <c:strRef>
              <c:f>'IS 2027'!$C$34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2027'!$F$34:$Q$34</c:f>
              <c:numCache>
                <c:formatCode>#,##0</c:formatCode>
                <c:ptCount val="12"/>
                <c:pt idx="0">
                  <c:v>-45063</c:v>
                </c:pt>
                <c:pt idx="1">
                  <c:v>-45063</c:v>
                </c:pt>
                <c:pt idx="2">
                  <c:v>-45063</c:v>
                </c:pt>
                <c:pt idx="3">
                  <c:v>-45063</c:v>
                </c:pt>
                <c:pt idx="4">
                  <c:v>-45063</c:v>
                </c:pt>
                <c:pt idx="5">
                  <c:v>-45063</c:v>
                </c:pt>
                <c:pt idx="6">
                  <c:v>-45063</c:v>
                </c:pt>
                <c:pt idx="7">
                  <c:v>-45063</c:v>
                </c:pt>
                <c:pt idx="8">
                  <c:v>-45063</c:v>
                </c:pt>
                <c:pt idx="9">
                  <c:v>-45063</c:v>
                </c:pt>
                <c:pt idx="10">
                  <c:v>-45063</c:v>
                </c:pt>
                <c:pt idx="11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B2-49D0-8002-A801B944FBD1}"/>
            </c:ext>
          </c:extLst>
        </c:ser>
        <c:ser>
          <c:idx val="4"/>
          <c:order val="4"/>
          <c:tx>
            <c:strRef>
              <c:f>'IS 2027'!$C$53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2027'!$F$53:$Q$53</c:f>
              <c:numCache>
                <c:formatCode>#,##0</c:formatCode>
                <c:ptCount val="12"/>
                <c:pt idx="0">
                  <c:v>519403</c:v>
                </c:pt>
                <c:pt idx="1">
                  <c:v>523163</c:v>
                </c:pt>
                <c:pt idx="2">
                  <c:v>531833</c:v>
                </c:pt>
                <c:pt idx="3">
                  <c:v>535593</c:v>
                </c:pt>
                <c:pt idx="4">
                  <c:v>539353</c:v>
                </c:pt>
                <c:pt idx="5">
                  <c:v>542643</c:v>
                </c:pt>
                <c:pt idx="6">
                  <c:v>552043</c:v>
                </c:pt>
                <c:pt idx="7">
                  <c:v>555803</c:v>
                </c:pt>
                <c:pt idx="8">
                  <c:v>569903</c:v>
                </c:pt>
                <c:pt idx="9">
                  <c:v>573663</c:v>
                </c:pt>
                <c:pt idx="10">
                  <c:v>577423</c:v>
                </c:pt>
                <c:pt idx="11">
                  <c:v>592417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B2-49D0-8002-A801B944F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491856"/>
        <c:axId val="516485136"/>
      </c:barChart>
      <c:catAx>
        <c:axId val="51649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485136"/>
        <c:crosses val="autoZero"/>
        <c:auto val="1"/>
        <c:lblAlgn val="ctr"/>
        <c:lblOffset val="100"/>
        <c:noMultiLvlLbl val="0"/>
      </c:catAx>
      <c:valAx>
        <c:axId val="5164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491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KPI's 2023 - 2024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Calculations!$D$42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Calculations!$E$42:$AB$42</c:f>
              <c:numCache>
                <c:formatCode>#,##0</c:formatCode>
                <c:ptCount val="24"/>
                <c:pt idx="0">
                  <c:v>280000</c:v>
                </c:pt>
                <c:pt idx="1">
                  <c:v>270555</c:v>
                </c:pt>
                <c:pt idx="2">
                  <c:v>286778</c:v>
                </c:pt>
                <c:pt idx="3">
                  <c:v>295112</c:v>
                </c:pt>
                <c:pt idx="4">
                  <c:v>320445</c:v>
                </c:pt>
                <c:pt idx="5">
                  <c:v>349015</c:v>
                </c:pt>
                <c:pt idx="6">
                  <c:v>357998</c:v>
                </c:pt>
                <c:pt idx="7">
                  <c:v>360821</c:v>
                </c:pt>
                <c:pt idx="8">
                  <c:v>350123</c:v>
                </c:pt>
                <c:pt idx="9">
                  <c:v>330015</c:v>
                </c:pt>
                <c:pt idx="10">
                  <c:v>313011</c:v>
                </c:pt>
                <c:pt idx="11">
                  <c:v>300123</c:v>
                </c:pt>
                <c:pt idx="12">
                  <c:v>338078.59200000006</c:v>
                </c:pt>
                <c:pt idx="13">
                  <c:v>342857.08799999993</c:v>
                </c:pt>
                <c:pt idx="14">
                  <c:v>347635.58399999997</c:v>
                </c:pt>
                <c:pt idx="15">
                  <c:v>352414.07999999996</c:v>
                </c:pt>
                <c:pt idx="16">
                  <c:v>350024.83200000005</c:v>
                </c:pt>
                <c:pt idx="17">
                  <c:v>353011.39199999993</c:v>
                </c:pt>
                <c:pt idx="18">
                  <c:v>363165.69600000005</c:v>
                </c:pt>
                <c:pt idx="19">
                  <c:v>358984.51199999993</c:v>
                </c:pt>
                <c:pt idx="20">
                  <c:v>372722.68800000002</c:v>
                </c:pt>
                <c:pt idx="21">
                  <c:v>374215.96799999999</c:v>
                </c:pt>
                <c:pt idx="22">
                  <c:v>364957.63199999998</c:v>
                </c:pt>
                <c:pt idx="23">
                  <c:v>366450.91200000001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A-4814-8E28-6065FD291E83}"/>
            </c:ext>
          </c:extLst>
        </c:ser>
        <c:ser>
          <c:idx val="2"/>
          <c:order val="1"/>
          <c:tx>
            <c:strRef>
              <c:f>Calculations!$D$43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Calculations!$E$43:$AB$43</c:f>
              <c:numCache>
                <c:formatCode>#,##0</c:formatCode>
                <c:ptCount val="24"/>
                <c:pt idx="0">
                  <c:v>-10390</c:v>
                </c:pt>
                <c:pt idx="1">
                  <c:v>-10390</c:v>
                </c:pt>
                <c:pt idx="2">
                  <c:v>-10390</c:v>
                </c:pt>
                <c:pt idx="3">
                  <c:v>-10390</c:v>
                </c:pt>
                <c:pt idx="4">
                  <c:v>-10390</c:v>
                </c:pt>
                <c:pt idx="5">
                  <c:v>-10390</c:v>
                </c:pt>
                <c:pt idx="6">
                  <c:v>-10390</c:v>
                </c:pt>
                <c:pt idx="7">
                  <c:v>-10390</c:v>
                </c:pt>
                <c:pt idx="8">
                  <c:v>-10390</c:v>
                </c:pt>
                <c:pt idx="9">
                  <c:v>-10390</c:v>
                </c:pt>
                <c:pt idx="10">
                  <c:v>-10390</c:v>
                </c:pt>
                <c:pt idx="11">
                  <c:v>-10390</c:v>
                </c:pt>
                <c:pt idx="12">
                  <c:v>-10390</c:v>
                </c:pt>
                <c:pt idx="13">
                  <c:v>-10390</c:v>
                </c:pt>
                <c:pt idx="14">
                  <c:v>-10390</c:v>
                </c:pt>
                <c:pt idx="15">
                  <c:v>-10390</c:v>
                </c:pt>
                <c:pt idx="16">
                  <c:v>-10390</c:v>
                </c:pt>
                <c:pt idx="17">
                  <c:v>-10390</c:v>
                </c:pt>
                <c:pt idx="18">
                  <c:v>-10390</c:v>
                </c:pt>
                <c:pt idx="19">
                  <c:v>-10390</c:v>
                </c:pt>
                <c:pt idx="20">
                  <c:v>-10390</c:v>
                </c:pt>
                <c:pt idx="21">
                  <c:v>-10390</c:v>
                </c:pt>
                <c:pt idx="22">
                  <c:v>-10390</c:v>
                </c:pt>
                <c:pt idx="23">
                  <c:v>-10390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A-4814-8E28-6065FD291E83}"/>
            </c:ext>
          </c:extLst>
        </c:ser>
        <c:ser>
          <c:idx val="3"/>
          <c:order val="2"/>
          <c:tx>
            <c:strRef>
              <c:f>Calculations!$D$44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Calculations!$E$44:$AB$44</c:f>
              <c:numCache>
                <c:formatCode>#,##0</c:formatCode>
                <c:ptCount val="24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  <c:pt idx="12">
                  <c:v>-2285</c:v>
                </c:pt>
                <c:pt idx="13">
                  <c:v>-2285</c:v>
                </c:pt>
                <c:pt idx="14">
                  <c:v>-2285</c:v>
                </c:pt>
                <c:pt idx="15">
                  <c:v>-2285</c:v>
                </c:pt>
                <c:pt idx="16">
                  <c:v>-2285</c:v>
                </c:pt>
                <c:pt idx="17">
                  <c:v>-2285</c:v>
                </c:pt>
                <c:pt idx="18">
                  <c:v>-2285</c:v>
                </c:pt>
                <c:pt idx="19">
                  <c:v>-2285</c:v>
                </c:pt>
                <c:pt idx="20">
                  <c:v>-2285</c:v>
                </c:pt>
                <c:pt idx="21">
                  <c:v>-2285</c:v>
                </c:pt>
                <c:pt idx="22">
                  <c:v>-2285</c:v>
                </c:pt>
                <c:pt idx="23">
                  <c:v>-2285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A-4814-8E28-6065FD291E83}"/>
            </c:ext>
          </c:extLst>
        </c:ser>
        <c:ser>
          <c:idx val="4"/>
          <c:order val="3"/>
          <c:tx>
            <c:strRef>
              <c:f>Calculations!$D$45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Calculations!$E$45:$AB$45</c:f>
              <c:numCache>
                <c:formatCode>#,##0</c:formatCode>
                <c:ptCount val="24"/>
                <c:pt idx="0">
                  <c:v>-4063</c:v>
                </c:pt>
                <c:pt idx="1">
                  <c:v>-4063</c:v>
                </c:pt>
                <c:pt idx="2">
                  <c:v>-4063</c:v>
                </c:pt>
                <c:pt idx="3">
                  <c:v>-4063</c:v>
                </c:pt>
                <c:pt idx="4">
                  <c:v>-4063</c:v>
                </c:pt>
                <c:pt idx="5">
                  <c:v>-4063</c:v>
                </c:pt>
                <c:pt idx="6">
                  <c:v>-4063</c:v>
                </c:pt>
                <c:pt idx="7">
                  <c:v>-4063</c:v>
                </c:pt>
                <c:pt idx="8">
                  <c:v>-4063</c:v>
                </c:pt>
                <c:pt idx="9">
                  <c:v>-4063</c:v>
                </c:pt>
                <c:pt idx="10">
                  <c:v>-4063</c:v>
                </c:pt>
                <c:pt idx="11">
                  <c:v>-4063</c:v>
                </c:pt>
                <c:pt idx="12">
                  <c:v>-4063</c:v>
                </c:pt>
                <c:pt idx="13">
                  <c:v>-4063</c:v>
                </c:pt>
                <c:pt idx="14">
                  <c:v>-4063</c:v>
                </c:pt>
                <c:pt idx="15">
                  <c:v>-4063</c:v>
                </c:pt>
                <c:pt idx="16">
                  <c:v>-4063</c:v>
                </c:pt>
                <c:pt idx="17">
                  <c:v>-4063</c:v>
                </c:pt>
                <c:pt idx="18">
                  <c:v>-4063</c:v>
                </c:pt>
                <c:pt idx="19">
                  <c:v>-4063</c:v>
                </c:pt>
                <c:pt idx="20">
                  <c:v>-4063</c:v>
                </c:pt>
                <c:pt idx="21">
                  <c:v>-4063</c:v>
                </c:pt>
                <c:pt idx="22">
                  <c:v>-4063</c:v>
                </c:pt>
                <c:pt idx="23">
                  <c:v>-4063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EA-4814-8E28-6065FD291E83}"/>
            </c:ext>
          </c:extLst>
        </c:ser>
        <c:ser>
          <c:idx val="5"/>
          <c:order val="4"/>
          <c:tx>
            <c:strRef>
              <c:f>Calculations!$D$46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Calculations!$E$46:$AB$46</c:f>
              <c:numCache>
                <c:formatCode>#,##0</c:formatCode>
                <c:ptCount val="24"/>
                <c:pt idx="0">
                  <c:v>424833</c:v>
                </c:pt>
                <c:pt idx="1">
                  <c:v>444259</c:v>
                </c:pt>
                <c:pt idx="2">
                  <c:v>473068</c:v>
                </c:pt>
                <c:pt idx="3">
                  <c:v>474558</c:v>
                </c:pt>
                <c:pt idx="4">
                  <c:v>479798</c:v>
                </c:pt>
                <c:pt idx="5">
                  <c:v>515933</c:v>
                </c:pt>
                <c:pt idx="6">
                  <c:v>493708</c:v>
                </c:pt>
                <c:pt idx="7">
                  <c:v>522253</c:v>
                </c:pt>
                <c:pt idx="8">
                  <c:v>533023</c:v>
                </c:pt>
                <c:pt idx="9">
                  <c:v>591933</c:v>
                </c:pt>
                <c:pt idx="10">
                  <c:v>602488</c:v>
                </c:pt>
                <c:pt idx="11">
                  <c:v>623332</c:v>
                </c:pt>
                <c:pt idx="12">
                  <c:v>724561.57200000016</c:v>
                </c:pt>
                <c:pt idx="13">
                  <c:v>735619.30799999996</c:v>
                </c:pt>
                <c:pt idx="14">
                  <c:v>743902.04399999999</c:v>
                </c:pt>
                <c:pt idx="15">
                  <c:v>751919.78</c:v>
                </c:pt>
                <c:pt idx="16">
                  <c:v>748538.41200000001</c:v>
                </c:pt>
                <c:pt idx="17">
                  <c:v>753800.12199999986</c:v>
                </c:pt>
                <c:pt idx="18">
                  <c:v>770955.9360000001</c:v>
                </c:pt>
                <c:pt idx="19">
                  <c:v>766833.5419999999</c:v>
                </c:pt>
                <c:pt idx="20">
                  <c:v>790486.40800000005</c:v>
                </c:pt>
                <c:pt idx="21">
                  <c:v>793459.76300000004</c:v>
                </c:pt>
                <c:pt idx="22">
                  <c:v>777966.96200000006</c:v>
                </c:pt>
                <c:pt idx="23">
                  <c:v>794074.31700000004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EA-4814-8E28-6065FD291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988335"/>
        <c:axId val="311990255"/>
      </c:barChart>
      <c:catAx>
        <c:axId val="31198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90255"/>
        <c:crosses val="autoZero"/>
        <c:auto val="1"/>
        <c:lblAlgn val="ctr"/>
        <c:lblOffset val="100"/>
        <c:noMultiLvlLbl val="0"/>
      </c:catAx>
      <c:valAx>
        <c:axId val="311990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988335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KPI's 5 Years 2023 - 2027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Calculations!$E$41:$BL$41</c:f>
              <c:strCache>
                <c:ptCount val="60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</c:strCache>
            </c:strRef>
          </c:cat>
          <c:val>
            <c:numRef>
              <c:f>Calculations!$E$42:$BL$42</c:f>
              <c:numCache>
                <c:formatCode>#,##0</c:formatCode>
                <c:ptCount val="60"/>
                <c:pt idx="0">
                  <c:v>280000</c:v>
                </c:pt>
                <c:pt idx="1">
                  <c:v>270555</c:v>
                </c:pt>
                <c:pt idx="2">
                  <c:v>286778</c:v>
                </c:pt>
                <c:pt idx="3">
                  <c:v>295112</c:v>
                </c:pt>
                <c:pt idx="4">
                  <c:v>320445</c:v>
                </c:pt>
                <c:pt idx="5">
                  <c:v>349015</c:v>
                </c:pt>
                <c:pt idx="6">
                  <c:v>357998</c:v>
                </c:pt>
                <c:pt idx="7">
                  <c:v>360821</c:v>
                </c:pt>
                <c:pt idx="8">
                  <c:v>350123</c:v>
                </c:pt>
                <c:pt idx="9">
                  <c:v>330015</c:v>
                </c:pt>
                <c:pt idx="10">
                  <c:v>313011</c:v>
                </c:pt>
                <c:pt idx="11">
                  <c:v>300123</c:v>
                </c:pt>
                <c:pt idx="12">
                  <c:v>338078.59200000006</c:v>
                </c:pt>
                <c:pt idx="13">
                  <c:v>342857.08799999993</c:v>
                </c:pt>
                <c:pt idx="14">
                  <c:v>347635.58399999997</c:v>
                </c:pt>
                <c:pt idx="15">
                  <c:v>352414.07999999996</c:v>
                </c:pt>
                <c:pt idx="16">
                  <c:v>350024.83200000005</c:v>
                </c:pt>
                <c:pt idx="17">
                  <c:v>353011.39199999993</c:v>
                </c:pt>
                <c:pt idx="18">
                  <c:v>363165.69600000005</c:v>
                </c:pt>
                <c:pt idx="19">
                  <c:v>358984.51199999993</c:v>
                </c:pt>
                <c:pt idx="20">
                  <c:v>372722.68800000002</c:v>
                </c:pt>
                <c:pt idx="21">
                  <c:v>374215.96799999999</c:v>
                </c:pt>
                <c:pt idx="22">
                  <c:v>364957.63199999998</c:v>
                </c:pt>
                <c:pt idx="23">
                  <c:v>366450.91200000001</c:v>
                </c:pt>
                <c:pt idx="24">
                  <c:v>373290</c:v>
                </c:pt>
                <c:pt idx="25">
                  <c:v>377775</c:v>
                </c:pt>
                <c:pt idx="26">
                  <c:v>353280</c:v>
                </c:pt>
                <c:pt idx="27">
                  <c:v>695175</c:v>
                </c:pt>
                <c:pt idx="28">
                  <c:v>359835</c:v>
                </c:pt>
                <c:pt idx="29">
                  <c:v>362250</c:v>
                </c:pt>
                <c:pt idx="30">
                  <c:v>372945</c:v>
                </c:pt>
                <c:pt idx="31">
                  <c:v>367770</c:v>
                </c:pt>
                <c:pt idx="32">
                  <c:v>381570</c:v>
                </c:pt>
                <c:pt idx="33">
                  <c:v>383295</c:v>
                </c:pt>
                <c:pt idx="34">
                  <c:v>394680</c:v>
                </c:pt>
                <c:pt idx="35">
                  <c:v>425730</c:v>
                </c:pt>
                <c:pt idx="36">
                  <c:v>519820</c:v>
                </c:pt>
                <c:pt idx="37">
                  <c:v>532510</c:v>
                </c:pt>
                <c:pt idx="38">
                  <c:v>536270</c:v>
                </c:pt>
                <c:pt idx="39">
                  <c:v>540030</c:v>
                </c:pt>
                <c:pt idx="40">
                  <c:v>543320</c:v>
                </c:pt>
                <c:pt idx="41">
                  <c:v>547080</c:v>
                </c:pt>
                <c:pt idx="42">
                  <c:v>550840</c:v>
                </c:pt>
                <c:pt idx="43">
                  <c:v>565410</c:v>
                </c:pt>
                <c:pt idx="44">
                  <c:v>569170</c:v>
                </c:pt>
                <c:pt idx="45">
                  <c:v>572460</c:v>
                </c:pt>
                <c:pt idx="46">
                  <c:v>581860</c:v>
                </c:pt>
                <c:pt idx="47">
                  <c:v>585620</c:v>
                </c:pt>
                <c:pt idx="48">
                  <c:v>588910</c:v>
                </c:pt>
                <c:pt idx="49">
                  <c:v>592670</c:v>
                </c:pt>
                <c:pt idx="50">
                  <c:v>607240</c:v>
                </c:pt>
                <c:pt idx="51">
                  <c:v>611000</c:v>
                </c:pt>
                <c:pt idx="52">
                  <c:v>614760</c:v>
                </c:pt>
                <c:pt idx="53">
                  <c:v>618050</c:v>
                </c:pt>
                <c:pt idx="54">
                  <c:v>627450</c:v>
                </c:pt>
                <c:pt idx="55">
                  <c:v>631210</c:v>
                </c:pt>
                <c:pt idx="56">
                  <c:v>645310</c:v>
                </c:pt>
                <c:pt idx="57">
                  <c:v>649070</c:v>
                </c:pt>
                <c:pt idx="58">
                  <c:v>652830</c:v>
                </c:pt>
                <c:pt idx="59">
                  <c:v>656590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2-44B6-BA0C-3C8DF72A8375}"/>
            </c:ext>
          </c:extLst>
        </c:ser>
        <c:ser>
          <c:idx val="1"/>
          <c:order val="1"/>
          <c:tx>
            <c:strRef>
              <c:f>Calculations!$D$43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Calculations!$E$41:$BL$41</c:f>
              <c:strCache>
                <c:ptCount val="60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</c:strCache>
            </c:strRef>
          </c:cat>
          <c:val>
            <c:numRef>
              <c:f>Calculations!$E$43:$BL$43</c:f>
              <c:numCache>
                <c:formatCode>#,##0</c:formatCode>
                <c:ptCount val="60"/>
                <c:pt idx="0">
                  <c:v>-10390</c:v>
                </c:pt>
                <c:pt idx="1">
                  <c:v>-10390</c:v>
                </c:pt>
                <c:pt idx="2">
                  <c:v>-10390</c:v>
                </c:pt>
                <c:pt idx="3">
                  <c:v>-10390</c:v>
                </c:pt>
                <c:pt idx="4">
                  <c:v>-10390</c:v>
                </c:pt>
                <c:pt idx="5">
                  <c:v>-10390</c:v>
                </c:pt>
                <c:pt idx="6">
                  <c:v>-10390</c:v>
                </c:pt>
                <c:pt idx="7">
                  <c:v>-10390</c:v>
                </c:pt>
                <c:pt idx="8">
                  <c:v>-10390</c:v>
                </c:pt>
                <c:pt idx="9">
                  <c:v>-10390</c:v>
                </c:pt>
                <c:pt idx="10">
                  <c:v>-10390</c:v>
                </c:pt>
                <c:pt idx="11">
                  <c:v>-10390</c:v>
                </c:pt>
                <c:pt idx="12">
                  <c:v>-10390</c:v>
                </c:pt>
                <c:pt idx="13">
                  <c:v>-10390</c:v>
                </c:pt>
                <c:pt idx="14">
                  <c:v>-10390</c:v>
                </c:pt>
                <c:pt idx="15">
                  <c:v>-10390</c:v>
                </c:pt>
                <c:pt idx="16">
                  <c:v>-10390</c:v>
                </c:pt>
                <c:pt idx="17">
                  <c:v>-10390</c:v>
                </c:pt>
                <c:pt idx="18">
                  <c:v>-10390</c:v>
                </c:pt>
                <c:pt idx="19">
                  <c:v>-10390</c:v>
                </c:pt>
                <c:pt idx="20">
                  <c:v>-10390</c:v>
                </c:pt>
                <c:pt idx="21">
                  <c:v>-10390</c:v>
                </c:pt>
                <c:pt idx="22">
                  <c:v>-10390</c:v>
                </c:pt>
                <c:pt idx="23">
                  <c:v>-10390</c:v>
                </c:pt>
                <c:pt idx="24">
                  <c:v>8610</c:v>
                </c:pt>
                <c:pt idx="25">
                  <c:v>8610</c:v>
                </c:pt>
                <c:pt idx="26">
                  <c:v>8610</c:v>
                </c:pt>
                <c:pt idx="27">
                  <c:v>8610</c:v>
                </c:pt>
                <c:pt idx="28">
                  <c:v>8610</c:v>
                </c:pt>
                <c:pt idx="29">
                  <c:v>8610</c:v>
                </c:pt>
                <c:pt idx="30">
                  <c:v>8610</c:v>
                </c:pt>
                <c:pt idx="31">
                  <c:v>8610</c:v>
                </c:pt>
                <c:pt idx="32">
                  <c:v>8610</c:v>
                </c:pt>
                <c:pt idx="33">
                  <c:v>8610</c:v>
                </c:pt>
                <c:pt idx="34">
                  <c:v>8610</c:v>
                </c:pt>
                <c:pt idx="35">
                  <c:v>8610</c:v>
                </c:pt>
                <c:pt idx="36">
                  <c:v>-32544</c:v>
                </c:pt>
                <c:pt idx="37">
                  <c:v>-32544</c:v>
                </c:pt>
                <c:pt idx="38">
                  <c:v>-32544</c:v>
                </c:pt>
                <c:pt idx="39">
                  <c:v>-32544</c:v>
                </c:pt>
                <c:pt idx="40">
                  <c:v>-32544</c:v>
                </c:pt>
                <c:pt idx="41">
                  <c:v>-32544</c:v>
                </c:pt>
                <c:pt idx="42">
                  <c:v>-32544</c:v>
                </c:pt>
                <c:pt idx="43">
                  <c:v>-32544</c:v>
                </c:pt>
                <c:pt idx="44">
                  <c:v>-32544</c:v>
                </c:pt>
                <c:pt idx="45">
                  <c:v>-32544</c:v>
                </c:pt>
                <c:pt idx="46">
                  <c:v>-32544</c:v>
                </c:pt>
                <c:pt idx="47">
                  <c:v>-32544</c:v>
                </c:pt>
                <c:pt idx="48">
                  <c:v>-32544</c:v>
                </c:pt>
                <c:pt idx="49">
                  <c:v>-32544</c:v>
                </c:pt>
                <c:pt idx="50">
                  <c:v>-38444</c:v>
                </c:pt>
                <c:pt idx="51">
                  <c:v>-38444</c:v>
                </c:pt>
                <c:pt idx="52">
                  <c:v>-38444</c:v>
                </c:pt>
                <c:pt idx="53">
                  <c:v>-38444</c:v>
                </c:pt>
                <c:pt idx="54">
                  <c:v>-38444</c:v>
                </c:pt>
                <c:pt idx="55">
                  <c:v>-38444</c:v>
                </c:pt>
                <c:pt idx="56">
                  <c:v>-38444</c:v>
                </c:pt>
                <c:pt idx="57">
                  <c:v>-38444</c:v>
                </c:pt>
                <c:pt idx="58">
                  <c:v>-38444</c:v>
                </c:pt>
                <c:pt idx="59">
                  <c:v>-38444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22-44B6-BA0C-3C8DF72A8375}"/>
            </c:ext>
          </c:extLst>
        </c:ser>
        <c:ser>
          <c:idx val="2"/>
          <c:order val="2"/>
          <c:tx>
            <c:strRef>
              <c:f>Calculations!$D$44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Calculations!$E$41:$BL$41</c:f>
              <c:strCache>
                <c:ptCount val="60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</c:strCache>
            </c:strRef>
          </c:cat>
          <c:val>
            <c:numRef>
              <c:f>Calculations!$E$44:$BL$44</c:f>
              <c:numCache>
                <c:formatCode>#,##0</c:formatCode>
                <c:ptCount val="60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  <c:pt idx="12">
                  <c:v>-2285</c:v>
                </c:pt>
                <c:pt idx="13">
                  <c:v>-2285</c:v>
                </c:pt>
                <c:pt idx="14">
                  <c:v>-2285</c:v>
                </c:pt>
                <c:pt idx="15">
                  <c:v>-2285</c:v>
                </c:pt>
                <c:pt idx="16">
                  <c:v>-2285</c:v>
                </c:pt>
                <c:pt idx="17">
                  <c:v>-2285</c:v>
                </c:pt>
                <c:pt idx="18">
                  <c:v>-2285</c:v>
                </c:pt>
                <c:pt idx="19">
                  <c:v>-2285</c:v>
                </c:pt>
                <c:pt idx="20">
                  <c:v>-2285</c:v>
                </c:pt>
                <c:pt idx="21">
                  <c:v>-2285</c:v>
                </c:pt>
                <c:pt idx="22">
                  <c:v>-2285</c:v>
                </c:pt>
                <c:pt idx="23">
                  <c:v>-2285</c:v>
                </c:pt>
                <c:pt idx="24">
                  <c:v>-2285</c:v>
                </c:pt>
                <c:pt idx="25">
                  <c:v>-2285</c:v>
                </c:pt>
                <c:pt idx="26">
                  <c:v>-2285</c:v>
                </c:pt>
                <c:pt idx="27">
                  <c:v>-2285</c:v>
                </c:pt>
                <c:pt idx="28">
                  <c:v>-2285</c:v>
                </c:pt>
                <c:pt idx="29">
                  <c:v>-2285</c:v>
                </c:pt>
                <c:pt idx="30">
                  <c:v>-2285</c:v>
                </c:pt>
                <c:pt idx="31">
                  <c:v>-2285</c:v>
                </c:pt>
                <c:pt idx="32">
                  <c:v>-2285</c:v>
                </c:pt>
                <c:pt idx="33">
                  <c:v>-2285</c:v>
                </c:pt>
                <c:pt idx="34">
                  <c:v>-2285</c:v>
                </c:pt>
                <c:pt idx="35">
                  <c:v>-2285</c:v>
                </c:pt>
                <c:pt idx="36">
                  <c:v>-28713</c:v>
                </c:pt>
                <c:pt idx="37">
                  <c:v>-28713</c:v>
                </c:pt>
                <c:pt idx="38">
                  <c:v>-28713</c:v>
                </c:pt>
                <c:pt idx="39">
                  <c:v>-28713</c:v>
                </c:pt>
                <c:pt idx="40">
                  <c:v>-28713</c:v>
                </c:pt>
                <c:pt idx="41">
                  <c:v>-28713</c:v>
                </c:pt>
                <c:pt idx="42">
                  <c:v>-28713</c:v>
                </c:pt>
                <c:pt idx="43">
                  <c:v>-28713</c:v>
                </c:pt>
                <c:pt idx="44">
                  <c:v>-28713</c:v>
                </c:pt>
                <c:pt idx="45">
                  <c:v>-28713</c:v>
                </c:pt>
                <c:pt idx="46">
                  <c:v>-28713</c:v>
                </c:pt>
                <c:pt idx="47">
                  <c:v>-17479</c:v>
                </c:pt>
                <c:pt idx="48">
                  <c:v>-28713</c:v>
                </c:pt>
                <c:pt idx="49">
                  <c:v>-28713</c:v>
                </c:pt>
                <c:pt idx="50">
                  <c:v>-28713</c:v>
                </c:pt>
                <c:pt idx="51">
                  <c:v>-28713</c:v>
                </c:pt>
                <c:pt idx="52">
                  <c:v>-28713</c:v>
                </c:pt>
                <c:pt idx="53">
                  <c:v>-28713</c:v>
                </c:pt>
                <c:pt idx="54">
                  <c:v>-28713</c:v>
                </c:pt>
                <c:pt idx="55">
                  <c:v>-28713</c:v>
                </c:pt>
                <c:pt idx="56">
                  <c:v>-28713</c:v>
                </c:pt>
                <c:pt idx="57">
                  <c:v>-28713</c:v>
                </c:pt>
                <c:pt idx="58">
                  <c:v>-28713</c:v>
                </c:pt>
                <c:pt idx="59">
                  <c:v>-17479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22-44B6-BA0C-3C8DF72A8375}"/>
            </c:ext>
          </c:extLst>
        </c:ser>
        <c:ser>
          <c:idx val="3"/>
          <c:order val="3"/>
          <c:tx>
            <c:strRef>
              <c:f>Calculations!$D$45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Calculations!$E$41:$BL$41</c:f>
              <c:strCache>
                <c:ptCount val="60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</c:strCache>
            </c:strRef>
          </c:cat>
          <c:val>
            <c:numRef>
              <c:f>Calculations!$E$45:$BL$45</c:f>
              <c:numCache>
                <c:formatCode>#,##0</c:formatCode>
                <c:ptCount val="60"/>
                <c:pt idx="0">
                  <c:v>-4063</c:v>
                </c:pt>
                <c:pt idx="1">
                  <c:v>-4063</c:v>
                </c:pt>
                <c:pt idx="2">
                  <c:v>-4063</c:v>
                </c:pt>
                <c:pt idx="3">
                  <c:v>-4063</c:v>
                </c:pt>
                <c:pt idx="4">
                  <c:v>-4063</c:v>
                </c:pt>
                <c:pt idx="5">
                  <c:v>-4063</c:v>
                </c:pt>
                <c:pt idx="6">
                  <c:v>-4063</c:v>
                </c:pt>
                <c:pt idx="7">
                  <c:v>-4063</c:v>
                </c:pt>
                <c:pt idx="8">
                  <c:v>-4063</c:v>
                </c:pt>
                <c:pt idx="9">
                  <c:v>-4063</c:v>
                </c:pt>
                <c:pt idx="10">
                  <c:v>-4063</c:v>
                </c:pt>
                <c:pt idx="11">
                  <c:v>-4063</c:v>
                </c:pt>
                <c:pt idx="12">
                  <c:v>-4063</c:v>
                </c:pt>
                <c:pt idx="13">
                  <c:v>-4063</c:v>
                </c:pt>
                <c:pt idx="14">
                  <c:v>-4063</c:v>
                </c:pt>
                <c:pt idx="15">
                  <c:v>-4063</c:v>
                </c:pt>
                <c:pt idx="16">
                  <c:v>-4063</c:v>
                </c:pt>
                <c:pt idx="17">
                  <c:v>-4063</c:v>
                </c:pt>
                <c:pt idx="18">
                  <c:v>-4063</c:v>
                </c:pt>
                <c:pt idx="19">
                  <c:v>-4063</c:v>
                </c:pt>
                <c:pt idx="20">
                  <c:v>-4063</c:v>
                </c:pt>
                <c:pt idx="21">
                  <c:v>-4063</c:v>
                </c:pt>
                <c:pt idx="22">
                  <c:v>-4063</c:v>
                </c:pt>
                <c:pt idx="23">
                  <c:v>-4063</c:v>
                </c:pt>
                <c:pt idx="24">
                  <c:v>-45063</c:v>
                </c:pt>
                <c:pt idx="25">
                  <c:v>-45063</c:v>
                </c:pt>
                <c:pt idx="26">
                  <c:v>-45063</c:v>
                </c:pt>
                <c:pt idx="27">
                  <c:v>-45063</c:v>
                </c:pt>
                <c:pt idx="28">
                  <c:v>-45063</c:v>
                </c:pt>
                <c:pt idx="29">
                  <c:v>-45063</c:v>
                </c:pt>
                <c:pt idx="30">
                  <c:v>-45063</c:v>
                </c:pt>
                <c:pt idx="31">
                  <c:v>-45063</c:v>
                </c:pt>
                <c:pt idx="32">
                  <c:v>-45063</c:v>
                </c:pt>
                <c:pt idx="33">
                  <c:v>-45063</c:v>
                </c:pt>
                <c:pt idx="34">
                  <c:v>-45063</c:v>
                </c:pt>
                <c:pt idx="35">
                  <c:v>-45063</c:v>
                </c:pt>
                <c:pt idx="36">
                  <c:v>-45063</c:v>
                </c:pt>
                <c:pt idx="37">
                  <c:v>-45063</c:v>
                </c:pt>
                <c:pt idx="38">
                  <c:v>-45063</c:v>
                </c:pt>
                <c:pt idx="39">
                  <c:v>-45063</c:v>
                </c:pt>
                <c:pt idx="40">
                  <c:v>-45063</c:v>
                </c:pt>
                <c:pt idx="41">
                  <c:v>-45063</c:v>
                </c:pt>
                <c:pt idx="42">
                  <c:v>-45063</c:v>
                </c:pt>
                <c:pt idx="43">
                  <c:v>-45063</c:v>
                </c:pt>
                <c:pt idx="44">
                  <c:v>-45063</c:v>
                </c:pt>
                <c:pt idx="45">
                  <c:v>-45063</c:v>
                </c:pt>
                <c:pt idx="46">
                  <c:v>-45063</c:v>
                </c:pt>
                <c:pt idx="47">
                  <c:v>-45063</c:v>
                </c:pt>
                <c:pt idx="48">
                  <c:v>-45063</c:v>
                </c:pt>
                <c:pt idx="49">
                  <c:v>-45063</c:v>
                </c:pt>
                <c:pt idx="50">
                  <c:v>-45063</c:v>
                </c:pt>
                <c:pt idx="51">
                  <c:v>-45063</c:v>
                </c:pt>
                <c:pt idx="52">
                  <c:v>-45063</c:v>
                </c:pt>
                <c:pt idx="53">
                  <c:v>-45063</c:v>
                </c:pt>
                <c:pt idx="54">
                  <c:v>-45063</c:v>
                </c:pt>
                <c:pt idx="55">
                  <c:v>-45063</c:v>
                </c:pt>
                <c:pt idx="56">
                  <c:v>-45063</c:v>
                </c:pt>
                <c:pt idx="57">
                  <c:v>-45063</c:v>
                </c:pt>
                <c:pt idx="58">
                  <c:v>-45063</c:v>
                </c:pt>
                <c:pt idx="59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22-44B6-BA0C-3C8DF72A8375}"/>
            </c:ext>
          </c:extLst>
        </c:ser>
        <c:ser>
          <c:idx val="4"/>
          <c:order val="4"/>
          <c:tx>
            <c:strRef>
              <c:f>Calculations!$D$46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Calculations!$E$41:$BL$41</c:f>
              <c:strCache>
                <c:ptCount val="60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</c:strCache>
            </c:strRef>
          </c:cat>
          <c:val>
            <c:numRef>
              <c:f>Calculations!$E$46:$BL$46</c:f>
              <c:numCache>
                <c:formatCode>#,##0</c:formatCode>
                <c:ptCount val="60"/>
                <c:pt idx="0">
                  <c:v>424833</c:v>
                </c:pt>
                <c:pt idx="1">
                  <c:v>444259</c:v>
                </c:pt>
                <c:pt idx="2">
                  <c:v>473068</c:v>
                </c:pt>
                <c:pt idx="3">
                  <c:v>474558</c:v>
                </c:pt>
                <c:pt idx="4">
                  <c:v>479798</c:v>
                </c:pt>
                <c:pt idx="5">
                  <c:v>515933</c:v>
                </c:pt>
                <c:pt idx="6">
                  <c:v>493708</c:v>
                </c:pt>
                <c:pt idx="7">
                  <c:v>522253</c:v>
                </c:pt>
                <c:pt idx="8">
                  <c:v>533023</c:v>
                </c:pt>
                <c:pt idx="9">
                  <c:v>591933</c:v>
                </c:pt>
                <c:pt idx="10">
                  <c:v>602488</c:v>
                </c:pt>
                <c:pt idx="11">
                  <c:v>623332</c:v>
                </c:pt>
                <c:pt idx="12">
                  <c:v>724561.57200000016</c:v>
                </c:pt>
                <c:pt idx="13">
                  <c:v>735619.30799999996</c:v>
                </c:pt>
                <c:pt idx="14">
                  <c:v>743902.04399999999</c:v>
                </c:pt>
                <c:pt idx="15">
                  <c:v>751919.78</c:v>
                </c:pt>
                <c:pt idx="16">
                  <c:v>748538.41200000001</c:v>
                </c:pt>
                <c:pt idx="17">
                  <c:v>753800.12199999986</c:v>
                </c:pt>
                <c:pt idx="18">
                  <c:v>770955.9360000001</c:v>
                </c:pt>
                <c:pt idx="19">
                  <c:v>766833.5419999999</c:v>
                </c:pt>
                <c:pt idx="20">
                  <c:v>790486.40800000005</c:v>
                </c:pt>
                <c:pt idx="21">
                  <c:v>793459.76300000004</c:v>
                </c:pt>
                <c:pt idx="22">
                  <c:v>777966.96200000006</c:v>
                </c:pt>
                <c:pt idx="23">
                  <c:v>794074.31700000004</c:v>
                </c:pt>
                <c:pt idx="24">
                  <c:v>371365</c:v>
                </c:pt>
                <c:pt idx="25">
                  <c:v>375850</c:v>
                </c:pt>
                <c:pt idx="26">
                  <c:v>351355</c:v>
                </c:pt>
                <c:pt idx="27">
                  <c:v>693250</c:v>
                </c:pt>
                <c:pt idx="28">
                  <c:v>357910</c:v>
                </c:pt>
                <c:pt idx="29">
                  <c:v>360325</c:v>
                </c:pt>
                <c:pt idx="30">
                  <c:v>371020</c:v>
                </c:pt>
                <c:pt idx="31">
                  <c:v>365845</c:v>
                </c:pt>
                <c:pt idx="32">
                  <c:v>379645</c:v>
                </c:pt>
                <c:pt idx="33">
                  <c:v>381370</c:v>
                </c:pt>
                <c:pt idx="34">
                  <c:v>392755</c:v>
                </c:pt>
                <c:pt idx="35">
                  <c:v>423805</c:v>
                </c:pt>
                <c:pt idx="36">
                  <c:v>450313</c:v>
                </c:pt>
                <c:pt idx="37">
                  <c:v>463003</c:v>
                </c:pt>
                <c:pt idx="38">
                  <c:v>466763</c:v>
                </c:pt>
                <c:pt idx="39">
                  <c:v>470523</c:v>
                </c:pt>
                <c:pt idx="40">
                  <c:v>473813</c:v>
                </c:pt>
                <c:pt idx="41">
                  <c:v>477573</c:v>
                </c:pt>
                <c:pt idx="42">
                  <c:v>481333</c:v>
                </c:pt>
                <c:pt idx="43">
                  <c:v>495903</c:v>
                </c:pt>
                <c:pt idx="44">
                  <c:v>499663</c:v>
                </c:pt>
                <c:pt idx="45">
                  <c:v>502953</c:v>
                </c:pt>
                <c:pt idx="46">
                  <c:v>512353</c:v>
                </c:pt>
                <c:pt idx="47">
                  <c:v>527347</c:v>
                </c:pt>
                <c:pt idx="48">
                  <c:v>519403</c:v>
                </c:pt>
                <c:pt idx="49">
                  <c:v>523163</c:v>
                </c:pt>
                <c:pt idx="50">
                  <c:v>531833</c:v>
                </c:pt>
                <c:pt idx="51">
                  <c:v>535593</c:v>
                </c:pt>
                <c:pt idx="52">
                  <c:v>539353</c:v>
                </c:pt>
                <c:pt idx="53">
                  <c:v>542643</c:v>
                </c:pt>
                <c:pt idx="54">
                  <c:v>552043</c:v>
                </c:pt>
                <c:pt idx="55">
                  <c:v>555803</c:v>
                </c:pt>
                <c:pt idx="56">
                  <c:v>569903</c:v>
                </c:pt>
                <c:pt idx="57">
                  <c:v>573663</c:v>
                </c:pt>
                <c:pt idx="58">
                  <c:v>577423</c:v>
                </c:pt>
                <c:pt idx="59">
                  <c:v>592417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22-44B6-BA0C-3C8DF72A8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8115903"/>
        <c:axId val="1978131263"/>
      </c:barChart>
      <c:catAx>
        <c:axId val="1978115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131263"/>
        <c:crosses val="autoZero"/>
        <c:auto val="1"/>
        <c:lblAlgn val="ctr"/>
        <c:lblOffset val="100"/>
        <c:noMultiLvlLbl val="0"/>
      </c:catAx>
      <c:valAx>
        <c:axId val="197813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115903"/>
        <c:crosses val="autoZero"/>
        <c:crossBetween val="between"/>
        <c:majorUnit val="200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Cash Flow 2023 - 2024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Calculations!$D$49</c:f>
              <c:strCache>
                <c:ptCount val="1"/>
                <c:pt idx="0">
                  <c:v>Cash Inflow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Calculations!$E$49:$AB$49</c:f>
              <c:numCache>
                <c:formatCode>#,##0</c:formatCode>
                <c:ptCount val="24"/>
                <c:pt idx="0">
                  <c:v>280000</c:v>
                </c:pt>
                <c:pt idx="1">
                  <c:v>270555</c:v>
                </c:pt>
                <c:pt idx="2">
                  <c:v>286778</c:v>
                </c:pt>
                <c:pt idx="3">
                  <c:v>295112</c:v>
                </c:pt>
                <c:pt idx="4">
                  <c:v>320445</c:v>
                </c:pt>
                <c:pt idx="5">
                  <c:v>349015</c:v>
                </c:pt>
                <c:pt idx="6">
                  <c:v>357998</c:v>
                </c:pt>
                <c:pt idx="7">
                  <c:v>360821</c:v>
                </c:pt>
                <c:pt idx="8">
                  <c:v>350123</c:v>
                </c:pt>
                <c:pt idx="9">
                  <c:v>330015</c:v>
                </c:pt>
                <c:pt idx="10">
                  <c:v>313011</c:v>
                </c:pt>
                <c:pt idx="11">
                  <c:v>300123</c:v>
                </c:pt>
                <c:pt idx="12">
                  <c:v>338078.59200000006</c:v>
                </c:pt>
                <c:pt idx="13">
                  <c:v>342857.08799999993</c:v>
                </c:pt>
                <c:pt idx="14">
                  <c:v>347635.58399999997</c:v>
                </c:pt>
                <c:pt idx="15">
                  <c:v>352414.07999999996</c:v>
                </c:pt>
                <c:pt idx="16">
                  <c:v>350024.83200000005</c:v>
                </c:pt>
                <c:pt idx="17">
                  <c:v>353011.39199999993</c:v>
                </c:pt>
                <c:pt idx="18">
                  <c:v>363165.69600000005</c:v>
                </c:pt>
                <c:pt idx="19">
                  <c:v>358984.51199999993</c:v>
                </c:pt>
                <c:pt idx="20">
                  <c:v>372722.68800000002</c:v>
                </c:pt>
                <c:pt idx="21">
                  <c:v>374215.96799999999</c:v>
                </c:pt>
                <c:pt idx="22">
                  <c:v>364957.63199999998</c:v>
                </c:pt>
                <c:pt idx="23">
                  <c:v>366450.91200000001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F-4ED8-8969-3D34DD6886D8}"/>
            </c:ext>
          </c:extLst>
        </c:ser>
        <c:ser>
          <c:idx val="1"/>
          <c:order val="1"/>
          <c:tx>
            <c:strRef>
              <c:f>Calculations!$D$50</c:f>
              <c:strCache>
                <c:ptCount val="1"/>
                <c:pt idx="0">
                  <c:v>Cash Outflow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Calculations!$E$50:$AB$50</c:f>
              <c:numCache>
                <c:formatCode>#,##0</c:formatCode>
                <c:ptCount val="24"/>
                <c:pt idx="0">
                  <c:v>-162440</c:v>
                </c:pt>
                <c:pt idx="1">
                  <c:v>-157187.40000000002</c:v>
                </c:pt>
                <c:pt idx="2">
                  <c:v>-157068.40000000002</c:v>
                </c:pt>
                <c:pt idx="3">
                  <c:v>-155371.6</c:v>
                </c:pt>
                <c:pt idx="4">
                  <c:v>-157074.6</c:v>
                </c:pt>
                <c:pt idx="5">
                  <c:v>-159425</c:v>
                </c:pt>
                <c:pt idx="6">
                  <c:v>-157858</c:v>
                </c:pt>
                <c:pt idx="7">
                  <c:v>-155059</c:v>
                </c:pt>
                <c:pt idx="8">
                  <c:v>-149555.80000000002</c:v>
                </c:pt>
                <c:pt idx="9">
                  <c:v>-142170.6</c:v>
                </c:pt>
                <c:pt idx="10">
                  <c:v>-135406.20000000001</c:v>
                </c:pt>
                <c:pt idx="11">
                  <c:v>-129465.00000000001</c:v>
                </c:pt>
                <c:pt idx="12">
                  <c:v>-133692.5184</c:v>
                </c:pt>
                <c:pt idx="13">
                  <c:v>-131284.6176</c:v>
                </c:pt>
                <c:pt idx="14">
                  <c:v>-128876.71679999999</c:v>
                </c:pt>
                <c:pt idx="15">
                  <c:v>-126468.81599999999</c:v>
                </c:pt>
                <c:pt idx="16">
                  <c:v>-122627.36640000003</c:v>
                </c:pt>
                <c:pt idx="17">
                  <c:v>-119861.0784</c:v>
                </c:pt>
                <c:pt idx="18">
                  <c:v>-118528.33920000002</c:v>
                </c:pt>
                <c:pt idx="19">
                  <c:v>-114328.5024</c:v>
                </c:pt>
                <c:pt idx="20">
                  <c:v>-113712.53760000001</c:v>
                </c:pt>
                <c:pt idx="21">
                  <c:v>-110647.59359999999</c:v>
                </c:pt>
                <c:pt idx="22">
                  <c:v>-105432.32640000001</c:v>
                </c:pt>
                <c:pt idx="23">
                  <c:v>-102367.3824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F-4ED8-8969-3D34DD6886D8}"/>
            </c:ext>
          </c:extLst>
        </c:ser>
        <c:ser>
          <c:idx val="2"/>
          <c:order val="2"/>
          <c:tx>
            <c:strRef>
              <c:f>Calculations!$D$51</c:f>
              <c:strCache>
                <c:ptCount val="1"/>
                <c:pt idx="0">
                  <c:v>Net Cash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Calculations!$E$51:$AB$51</c:f>
              <c:numCache>
                <c:formatCode>#,##0</c:formatCode>
                <c:ptCount val="24"/>
                <c:pt idx="0">
                  <c:v>117560</c:v>
                </c:pt>
                <c:pt idx="1">
                  <c:v>96549.599999999977</c:v>
                </c:pt>
                <c:pt idx="2">
                  <c:v>112891.59999999998</c:v>
                </c:pt>
                <c:pt idx="3">
                  <c:v>122922.4</c:v>
                </c:pt>
                <c:pt idx="4">
                  <c:v>146552.4</c:v>
                </c:pt>
                <c:pt idx="5">
                  <c:v>172772</c:v>
                </c:pt>
                <c:pt idx="6">
                  <c:v>183322</c:v>
                </c:pt>
                <c:pt idx="7">
                  <c:v>188944</c:v>
                </c:pt>
                <c:pt idx="8">
                  <c:v>183749.19999999998</c:v>
                </c:pt>
                <c:pt idx="9">
                  <c:v>171026.4</c:v>
                </c:pt>
                <c:pt idx="10">
                  <c:v>160786.79999999999</c:v>
                </c:pt>
                <c:pt idx="11">
                  <c:v>153840</c:v>
                </c:pt>
                <c:pt idx="12">
                  <c:v>187568.07360000006</c:v>
                </c:pt>
                <c:pt idx="13">
                  <c:v>194754.47039999993</c:v>
                </c:pt>
                <c:pt idx="14">
                  <c:v>201940.86719999998</c:v>
                </c:pt>
                <c:pt idx="15">
                  <c:v>209127.26399999997</c:v>
                </c:pt>
                <c:pt idx="16">
                  <c:v>210579.46560000003</c:v>
                </c:pt>
                <c:pt idx="17">
                  <c:v>216332.31359999994</c:v>
                </c:pt>
                <c:pt idx="18">
                  <c:v>227819.35680000004</c:v>
                </c:pt>
                <c:pt idx="19">
                  <c:v>227838.00959999993</c:v>
                </c:pt>
                <c:pt idx="20">
                  <c:v>242192.15040000001</c:v>
                </c:pt>
                <c:pt idx="21">
                  <c:v>246750.37439999997</c:v>
                </c:pt>
                <c:pt idx="22">
                  <c:v>242707.30559999996</c:v>
                </c:pt>
                <c:pt idx="23">
                  <c:v>247265.52960000001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2F-4ED8-8969-3D34DD688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794943"/>
        <c:axId val="117794463"/>
      </c:barChart>
      <c:catAx>
        <c:axId val="117794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94463"/>
        <c:crosses val="autoZero"/>
        <c:auto val="1"/>
        <c:lblAlgn val="ctr"/>
        <c:lblOffset val="100"/>
        <c:noMultiLvlLbl val="0"/>
      </c:catAx>
      <c:valAx>
        <c:axId val="11779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9494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KPIs 2024 - 2025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Calculations!$Q$41:$AN$41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Calculations!$Q$42:$AN$42</c:f>
              <c:numCache>
                <c:formatCode>#,##0</c:formatCode>
                <c:ptCount val="24"/>
                <c:pt idx="0">
                  <c:v>338078.59200000006</c:v>
                </c:pt>
                <c:pt idx="1">
                  <c:v>342857.08799999993</c:v>
                </c:pt>
                <c:pt idx="2">
                  <c:v>347635.58399999997</c:v>
                </c:pt>
                <c:pt idx="3">
                  <c:v>352414.07999999996</c:v>
                </c:pt>
                <c:pt idx="4">
                  <c:v>350024.83200000005</c:v>
                </c:pt>
                <c:pt idx="5">
                  <c:v>353011.39199999993</c:v>
                </c:pt>
                <c:pt idx="6">
                  <c:v>363165.69600000005</c:v>
                </c:pt>
                <c:pt idx="7">
                  <c:v>358984.51199999993</c:v>
                </c:pt>
                <c:pt idx="8">
                  <c:v>372722.68800000002</c:v>
                </c:pt>
                <c:pt idx="9">
                  <c:v>374215.96799999999</c:v>
                </c:pt>
                <c:pt idx="10">
                  <c:v>364957.63199999998</c:v>
                </c:pt>
                <c:pt idx="11">
                  <c:v>366450.91200000001</c:v>
                </c:pt>
                <c:pt idx="12">
                  <c:v>373290</c:v>
                </c:pt>
                <c:pt idx="13">
                  <c:v>377775</c:v>
                </c:pt>
                <c:pt idx="14">
                  <c:v>353280</c:v>
                </c:pt>
                <c:pt idx="15">
                  <c:v>695175</c:v>
                </c:pt>
                <c:pt idx="16">
                  <c:v>359835</c:v>
                </c:pt>
                <c:pt idx="17">
                  <c:v>362250</c:v>
                </c:pt>
                <c:pt idx="18">
                  <c:v>372945</c:v>
                </c:pt>
                <c:pt idx="19">
                  <c:v>367770</c:v>
                </c:pt>
                <c:pt idx="20">
                  <c:v>381570</c:v>
                </c:pt>
                <c:pt idx="21">
                  <c:v>383295</c:v>
                </c:pt>
                <c:pt idx="22">
                  <c:v>394680</c:v>
                </c:pt>
                <c:pt idx="23">
                  <c:v>425730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3-4BFB-B25E-3A101B0E1229}"/>
            </c:ext>
          </c:extLst>
        </c:ser>
        <c:ser>
          <c:idx val="1"/>
          <c:order val="1"/>
          <c:tx>
            <c:strRef>
              <c:f>Calculations!$D$43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73-4BFB-B25E-3A101B0E1229}"/>
              </c:ext>
            </c:extLst>
          </c:dPt>
          <c:cat>
            <c:strRef>
              <c:f>Calculations!$Q$41:$AN$41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Calculations!$Q$43:$AN$43</c:f>
              <c:numCache>
                <c:formatCode>#,##0</c:formatCode>
                <c:ptCount val="24"/>
                <c:pt idx="0">
                  <c:v>-10390</c:v>
                </c:pt>
                <c:pt idx="1">
                  <c:v>-10390</c:v>
                </c:pt>
                <c:pt idx="2">
                  <c:v>-10390</c:v>
                </c:pt>
                <c:pt idx="3">
                  <c:v>-10390</c:v>
                </c:pt>
                <c:pt idx="4">
                  <c:v>-10390</c:v>
                </c:pt>
                <c:pt idx="5">
                  <c:v>-10390</c:v>
                </c:pt>
                <c:pt idx="6">
                  <c:v>-10390</c:v>
                </c:pt>
                <c:pt idx="7">
                  <c:v>-10390</c:v>
                </c:pt>
                <c:pt idx="8">
                  <c:v>-10390</c:v>
                </c:pt>
                <c:pt idx="9">
                  <c:v>-10390</c:v>
                </c:pt>
                <c:pt idx="10">
                  <c:v>-10390</c:v>
                </c:pt>
                <c:pt idx="11">
                  <c:v>-10390</c:v>
                </c:pt>
                <c:pt idx="12">
                  <c:v>8610</c:v>
                </c:pt>
                <c:pt idx="13">
                  <c:v>8610</c:v>
                </c:pt>
                <c:pt idx="14">
                  <c:v>8610</c:v>
                </c:pt>
                <c:pt idx="15">
                  <c:v>8610</c:v>
                </c:pt>
                <c:pt idx="16">
                  <c:v>8610</c:v>
                </c:pt>
                <c:pt idx="17">
                  <c:v>8610</c:v>
                </c:pt>
                <c:pt idx="18">
                  <c:v>8610</c:v>
                </c:pt>
                <c:pt idx="19">
                  <c:v>8610</c:v>
                </c:pt>
                <c:pt idx="20">
                  <c:v>8610</c:v>
                </c:pt>
                <c:pt idx="21">
                  <c:v>8610</c:v>
                </c:pt>
                <c:pt idx="22">
                  <c:v>8610</c:v>
                </c:pt>
                <c:pt idx="23">
                  <c:v>8610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3-4BFB-B25E-3A101B0E1229}"/>
            </c:ext>
          </c:extLst>
        </c:ser>
        <c:ser>
          <c:idx val="2"/>
          <c:order val="2"/>
          <c:tx>
            <c:strRef>
              <c:f>Calculations!$D$44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Calculations!$Q$41:$AN$41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Calculations!$Q$44:$AN$44</c:f>
              <c:numCache>
                <c:formatCode>#,##0</c:formatCode>
                <c:ptCount val="24"/>
                <c:pt idx="0">
                  <c:v>-2285</c:v>
                </c:pt>
                <c:pt idx="1">
                  <c:v>-2285</c:v>
                </c:pt>
                <c:pt idx="2">
                  <c:v>-2285</c:v>
                </c:pt>
                <c:pt idx="3">
                  <c:v>-2285</c:v>
                </c:pt>
                <c:pt idx="4">
                  <c:v>-2285</c:v>
                </c:pt>
                <c:pt idx="5">
                  <c:v>-2285</c:v>
                </c:pt>
                <c:pt idx="6">
                  <c:v>-2285</c:v>
                </c:pt>
                <c:pt idx="7">
                  <c:v>-2285</c:v>
                </c:pt>
                <c:pt idx="8">
                  <c:v>-2285</c:v>
                </c:pt>
                <c:pt idx="9">
                  <c:v>-2285</c:v>
                </c:pt>
                <c:pt idx="10">
                  <c:v>-2285</c:v>
                </c:pt>
                <c:pt idx="11">
                  <c:v>-2285</c:v>
                </c:pt>
                <c:pt idx="12">
                  <c:v>-2285</c:v>
                </c:pt>
                <c:pt idx="13">
                  <c:v>-2285</c:v>
                </c:pt>
                <c:pt idx="14">
                  <c:v>-2285</c:v>
                </c:pt>
                <c:pt idx="15">
                  <c:v>-2285</c:v>
                </c:pt>
                <c:pt idx="16">
                  <c:v>-2285</c:v>
                </c:pt>
                <c:pt idx="17">
                  <c:v>-2285</c:v>
                </c:pt>
                <c:pt idx="18">
                  <c:v>-2285</c:v>
                </c:pt>
                <c:pt idx="19">
                  <c:v>-2285</c:v>
                </c:pt>
                <c:pt idx="20">
                  <c:v>-2285</c:v>
                </c:pt>
                <c:pt idx="21">
                  <c:v>-2285</c:v>
                </c:pt>
                <c:pt idx="22">
                  <c:v>-2285</c:v>
                </c:pt>
                <c:pt idx="23">
                  <c:v>-2285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73-4BFB-B25E-3A101B0E1229}"/>
            </c:ext>
          </c:extLst>
        </c:ser>
        <c:ser>
          <c:idx val="3"/>
          <c:order val="3"/>
          <c:tx>
            <c:strRef>
              <c:f>Calculations!$D$45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Calculations!$Q$41:$AN$41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Calculations!$Q$45:$AN$45</c:f>
              <c:numCache>
                <c:formatCode>#,##0</c:formatCode>
                <c:ptCount val="24"/>
                <c:pt idx="0">
                  <c:v>-4063</c:v>
                </c:pt>
                <c:pt idx="1">
                  <c:v>-4063</c:v>
                </c:pt>
                <c:pt idx="2">
                  <c:v>-4063</c:v>
                </c:pt>
                <c:pt idx="3">
                  <c:v>-4063</c:v>
                </c:pt>
                <c:pt idx="4">
                  <c:v>-4063</c:v>
                </c:pt>
                <c:pt idx="5">
                  <c:v>-4063</c:v>
                </c:pt>
                <c:pt idx="6">
                  <c:v>-4063</c:v>
                </c:pt>
                <c:pt idx="7">
                  <c:v>-4063</c:v>
                </c:pt>
                <c:pt idx="8">
                  <c:v>-4063</c:v>
                </c:pt>
                <c:pt idx="9">
                  <c:v>-4063</c:v>
                </c:pt>
                <c:pt idx="10">
                  <c:v>-4063</c:v>
                </c:pt>
                <c:pt idx="11">
                  <c:v>-4063</c:v>
                </c:pt>
                <c:pt idx="12">
                  <c:v>-45063</c:v>
                </c:pt>
                <c:pt idx="13">
                  <c:v>-45063</c:v>
                </c:pt>
                <c:pt idx="14">
                  <c:v>-45063</c:v>
                </c:pt>
                <c:pt idx="15">
                  <c:v>-45063</c:v>
                </c:pt>
                <c:pt idx="16">
                  <c:v>-45063</c:v>
                </c:pt>
                <c:pt idx="17">
                  <c:v>-45063</c:v>
                </c:pt>
                <c:pt idx="18">
                  <c:v>-45063</c:v>
                </c:pt>
                <c:pt idx="19">
                  <c:v>-45063</c:v>
                </c:pt>
                <c:pt idx="20">
                  <c:v>-45063</c:v>
                </c:pt>
                <c:pt idx="21">
                  <c:v>-45063</c:v>
                </c:pt>
                <c:pt idx="22">
                  <c:v>-45063</c:v>
                </c:pt>
                <c:pt idx="23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73-4BFB-B25E-3A101B0E1229}"/>
            </c:ext>
          </c:extLst>
        </c:ser>
        <c:ser>
          <c:idx val="4"/>
          <c:order val="4"/>
          <c:tx>
            <c:strRef>
              <c:f>Calculations!$D$46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Calculations!$Q$41:$AN$41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Calculations!$Q$46:$AN$46</c:f>
              <c:numCache>
                <c:formatCode>#,##0</c:formatCode>
                <c:ptCount val="24"/>
                <c:pt idx="0">
                  <c:v>724561.57200000016</c:v>
                </c:pt>
                <c:pt idx="1">
                  <c:v>735619.30799999996</c:v>
                </c:pt>
                <c:pt idx="2">
                  <c:v>743902.04399999999</c:v>
                </c:pt>
                <c:pt idx="3">
                  <c:v>751919.78</c:v>
                </c:pt>
                <c:pt idx="4">
                  <c:v>748538.41200000001</c:v>
                </c:pt>
                <c:pt idx="5">
                  <c:v>753800.12199999986</c:v>
                </c:pt>
                <c:pt idx="6">
                  <c:v>770955.9360000001</c:v>
                </c:pt>
                <c:pt idx="7">
                  <c:v>766833.5419999999</c:v>
                </c:pt>
                <c:pt idx="8">
                  <c:v>790486.40800000005</c:v>
                </c:pt>
                <c:pt idx="9">
                  <c:v>793459.76300000004</c:v>
                </c:pt>
                <c:pt idx="10">
                  <c:v>777966.96200000006</c:v>
                </c:pt>
                <c:pt idx="11">
                  <c:v>794074.31700000004</c:v>
                </c:pt>
                <c:pt idx="12">
                  <c:v>371365</c:v>
                </c:pt>
                <c:pt idx="13">
                  <c:v>375850</c:v>
                </c:pt>
                <c:pt idx="14">
                  <c:v>351355</c:v>
                </c:pt>
                <c:pt idx="15">
                  <c:v>693250</c:v>
                </c:pt>
                <c:pt idx="16">
                  <c:v>357910</c:v>
                </c:pt>
                <c:pt idx="17">
                  <c:v>360325</c:v>
                </c:pt>
                <c:pt idx="18">
                  <c:v>371020</c:v>
                </c:pt>
                <c:pt idx="19">
                  <c:v>365845</c:v>
                </c:pt>
                <c:pt idx="20">
                  <c:v>379645</c:v>
                </c:pt>
                <c:pt idx="21">
                  <c:v>381370</c:v>
                </c:pt>
                <c:pt idx="22">
                  <c:v>392755</c:v>
                </c:pt>
                <c:pt idx="23">
                  <c:v>423805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73-4BFB-B25E-3A101B0E1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5"/>
        <c:overlap val="100"/>
        <c:axId val="1120472224"/>
        <c:axId val="1120468864"/>
      </c:barChart>
      <c:catAx>
        <c:axId val="112047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468864"/>
        <c:crosses val="autoZero"/>
        <c:auto val="1"/>
        <c:lblAlgn val="ctr"/>
        <c:lblOffset val="100"/>
        <c:noMultiLvlLbl val="0"/>
      </c:catAx>
      <c:valAx>
        <c:axId val="112046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472224"/>
        <c:crosses val="autoZero"/>
        <c:crossBetween val="between"/>
        <c:majorUnit val="200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Cash Flow 2024 - 2025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Calculations!$D$49</c:f>
              <c:strCache>
                <c:ptCount val="1"/>
                <c:pt idx="0">
                  <c:v>Cash Inflow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Calculations!$Q$49:$AN$49</c:f>
              <c:numCache>
                <c:formatCode>#,##0</c:formatCode>
                <c:ptCount val="24"/>
                <c:pt idx="0">
                  <c:v>338078.59200000006</c:v>
                </c:pt>
                <c:pt idx="1">
                  <c:v>342857.08799999993</c:v>
                </c:pt>
                <c:pt idx="2">
                  <c:v>347635.58399999997</c:v>
                </c:pt>
                <c:pt idx="3">
                  <c:v>352414.07999999996</c:v>
                </c:pt>
                <c:pt idx="4">
                  <c:v>350024.83200000005</c:v>
                </c:pt>
                <c:pt idx="5">
                  <c:v>353011.39199999993</c:v>
                </c:pt>
                <c:pt idx="6">
                  <c:v>363165.69600000005</c:v>
                </c:pt>
                <c:pt idx="7">
                  <c:v>358984.51199999993</c:v>
                </c:pt>
                <c:pt idx="8">
                  <c:v>372722.68800000002</c:v>
                </c:pt>
                <c:pt idx="9">
                  <c:v>374215.96799999999</c:v>
                </c:pt>
                <c:pt idx="10">
                  <c:v>364957.63199999998</c:v>
                </c:pt>
                <c:pt idx="11">
                  <c:v>366450.91200000001</c:v>
                </c:pt>
                <c:pt idx="12">
                  <c:v>373290</c:v>
                </c:pt>
                <c:pt idx="13">
                  <c:v>377775</c:v>
                </c:pt>
                <c:pt idx="14">
                  <c:v>353280</c:v>
                </c:pt>
                <c:pt idx="15">
                  <c:v>695175</c:v>
                </c:pt>
                <c:pt idx="16">
                  <c:v>359835</c:v>
                </c:pt>
                <c:pt idx="17">
                  <c:v>362250</c:v>
                </c:pt>
                <c:pt idx="18">
                  <c:v>372945</c:v>
                </c:pt>
                <c:pt idx="19">
                  <c:v>367770</c:v>
                </c:pt>
                <c:pt idx="20">
                  <c:v>381570</c:v>
                </c:pt>
                <c:pt idx="21">
                  <c:v>383295</c:v>
                </c:pt>
                <c:pt idx="22">
                  <c:v>394680</c:v>
                </c:pt>
                <c:pt idx="23">
                  <c:v>425730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F-46C1-A789-EBBF20ED2C0F}"/>
            </c:ext>
          </c:extLst>
        </c:ser>
        <c:ser>
          <c:idx val="1"/>
          <c:order val="1"/>
          <c:tx>
            <c:strRef>
              <c:f>Calculations!$D$50</c:f>
              <c:strCache>
                <c:ptCount val="1"/>
                <c:pt idx="0">
                  <c:v>Cash Outflow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Calculations!$Q$50:$AN$50</c:f>
              <c:numCache>
                <c:formatCode>#,##0</c:formatCode>
                <c:ptCount val="24"/>
                <c:pt idx="0">
                  <c:v>-133692.5184</c:v>
                </c:pt>
                <c:pt idx="1">
                  <c:v>-131284.6176</c:v>
                </c:pt>
                <c:pt idx="2">
                  <c:v>-128876.71679999999</c:v>
                </c:pt>
                <c:pt idx="3">
                  <c:v>-126468.81599999999</c:v>
                </c:pt>
                <c:pt idx="4">
                  <c:v>-122627.36640000003</c:v>
                </c:pt>
                <c:pt idx="5">
                  <c:v>-119861.0784</c:v>
                </c:pt>
                <c:pt idx="6">
                  <c:v>-118528.33920000002</c:v>
                </c:pt>
                <c:pt idx="7">
                  <c:v>-114328.5024</c:v>
                </c:pt>
                <c:pt idx="8">
                  <c:v>-113712.53760000001</c:v>
                </c:pt>
                <c:pt idx="9">
                  <c:v>-110647.59359999999</c:v>
                </c:pt>
                <c:pt idx="10">
                  <c:v>-105432.32640000001</c:v>
                </c:pt>
                <c:pt idx="11">
                  <c:v>-102367.3824</c:v>
                </c:pt>
                <c:pt idx="12">
                  <c:v>-103114.8</c:v>
                </c:pt>
                <c:pt idx="13">
                  <c:v>-99591.4</c:v>
                </c:pt>
                <c:pt idx="14">
                  <c:v>-90272</c:v>
                </c:pt>
                <c:pt idx="15">
                  <c:v>-154230.6</c:v>
                </c:pt>
                <c:pt idx="16">
                  <c:v>-82742.2</c:v>
                </c:pt>
                <c:pt idx="17">
                  <c:v>-78804.800000000003</c:v>
                </c:pt>
                <c:pt idx="18">
                  <c:v>-76523.399999999994</c:v>
                </c:pt>
                <c:pt idx="19">
                  <c:v>-73794</c:v>
                </c:pt>
                <c:pt idx="20">
                  <c:v>-76554</c:v>
                </c:pt>
                <c:pt idx="21">
                  <c:v>-76899</c:v>
                </c:pt>
                <c:pt idx="22">
                  <c:v>-79176</c:v>
                </c:pt>
                <c:pt idx="23">
                  <c:v>-85386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F-46C1-A789-EBBF20ED2C0F}"/>
            </c:ext>
          </c:extLst>
        </c:ser>
        <c:ser>
          <c:idx val="2"/>
          <c:order val="2"/>
          <c:tx>
            <c:strRef>
              <c:f>Calculations!$D$51</c:f>
              <c:strCache>
                <c:ptCount val="1"/>
                <c:pt idx="0">
                  <c:v>Net Cash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Calculations!$E$41:$AB$41</c:f>
              <c:strCache>
                <c:ptCount val="2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</c:strCache>
            </c:strRef>
          </c:cat>
          <c:val>
            <c:numRef>
              <c:f>Calculations!$Q$51:$AN$51</c:f>
              <c:numCache>
                <c:formatCode>#,##0</c:formatCode>
                <c:ptCount val="24"/>
                <c:pt idx="0">
                  <c:v>187568.07360000006</c:v>
                </c:pt>
                <c:pt idx="1">
                  <c:v>194754.47039999993</c:v>
                </c:pt>
                <c:pt idx="2">
                  <c:v>201940.86719999998</c:v>
                </c:pt>
                <c:pt idx="3">
                  <c:v>209127.26399999997</c:v>
                </c:pt>
                <c:pt idx="4">
                  <c:v>210579.46560000003</c:v>
                </c:pt>
                <c:pt idx="5">
                  <c:v>216332.31359999994</c:v>
                </c:pt>
                <c:pt idx="6">
                  <c:v>227819.35680000004</c:v>
                </c:pt>
                <c:pt idx="7">
                  <c:v>227838.00959999993</c:v>
                </c:pt>
                <c:pt idx="8">
                  <c:v>242192.15040000001</c:v>
                </c:pt>
                <c:pt idx="9">
                  <c:v>246750.37439999997</c:v>
                </c:pt>
                <c:pt idx="10">
                  <c:v>242707.30559999996</c:v>
                </c:pt>
                <c:pt idx="11">
                  <c:v>247265.52960000001</c:v>
                </c:pt>
                <c:pt idx="12">
                  <c:v>248073.2</c:v>
                </c:pt>
                <c:pt idx="13">
                  <c:v>256081.59999999998</c:v>
                </c:pt>
                <c:pt idx="14">
                  <c:v>240906</c:v>
                </c:pt>
                <c:pt idx="15">
                  <c:v>518842.4</c:v>
                </c:pt>
                <c:pt idx="16">
                  <c:v>254990.8</c:v>
                </c:pt>
                <c:pt idx="17">
                  <c:v>261343.2</c:v>
                </c:pt>
                <c:pt idx="18">
                  <c:v>274319.59999999998</c:v>
                </c:pt>
                <c:pt idx="19">
                  <c:v>285504</c:v>
                </c:pt>
                <c:pt idx="20">
                  <c:v>305016</c:v>
                </c:pt>
                <c:pt idx="21">
                  <c:v>306396</c:v>
                </c:pt>
                <c:pt idx="22">
                  <c:v>315504</c:v>
                </c:pt>
                <c:pt idx="23">
                  <c:v>340344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EF-46C1-A789-EBBF20ED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180592"/>
        <c:axId val="1210179152"/>
      </c:barChart>
      <c:catAx>
        <c:axId val="121018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179152"/>
        <c:crosses val="autoZero"/>
        <c:auto val="1"/>
        <c:lblAlgn val="ctr"/>
        <c:lblOffset val="100"/>
        <c:noMultiLvlLbl val="0"/>
      </c:catAx>
      <c:valAx>
        <c:axId val="121017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180592"/>
        <c:crosses val="autoZero"/>
        <c:crossBetween val="between"/>
        <c:majorUnit val="200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KPI's 2026 - 2027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Calculations!$AO$42:$BL$42</c:f>
              <c:numCache>
                <c:formatCode>#,##0</c:formatCode>
                <c:ptCount val="24"/>
                <c:pt idx="0">
                  <c:v>519820</c:v>
                </c:pt>
                <c:pt idx="1">
                  <c:v>532510</c:v>
                </c:pt>
                <c:pt idx="2">
                  <c:v>536270</c:v>
                </c:pt>
                <c:pt idx="3">
                  <c:v>540030</c:v>
                </c:pt>
                <c:pt idx="4">
                  <c:v>543320</c:v>
                </c:pt>
                <c:pt idx="5">
                  <c:v>547080</c:v>
                </c:pt>
                <c:pt idx="6">
                  <c:v>550840</c:v>
                </c:pt>
                <c:pt idx="7">
                  <c:v>565410</c:v>
                </c:pt>
                <c:pt idx="8">
                  <c:v>569170</c:v>
                </c:pt>
                <c:pt idx="9">
                  <c:v>572460</c:v>
                </c:pt>
                <c:pt idx="10">
                  <c:v>581860</c:v>
                </c:pt>
                <c:pt idx="11">
                  <c:v>585620</c:v>
                </c:pt>
                <c:pt idx="12">
                  <c:v>588910</c:v>
                </c:pt>
                <c:pt idx="13">
                  <c:v>592670</c:v>
                </c:pt>
                <c:pt idx="14">
                  <c:v>607240</c:v>
                </c:pt>
                <c:pt idx="15">
                  <c:v>611000</c:v>
                </c:pt>
                <c:pt idx="16">
                  <c:v>614760</c:v>
                </c:pt>
                <c:pt idx="17">
                  <c:v>618050</c:v>
                </c:pt>
                <c:pt idx="18">
                  <c:v>627450</c:v>
                </c:pt>
                <c:pt idx="19">
                  <c:v>631210</c:v>
                </c:pt>
                <c:pt idx="20">
                  <c:v>645310</c:v>
                </c:pt>
                <c:pt idx="21">
                  <c:v>649070</c:v>
                </c:pt>
                <c:pt idx="22">
                  <c:v>652830</c:v>
                </c:pt>
                <c:pt idx="23">
                  <c:v>656590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D-4211-BF8B-400A57939DC1}"/>
            </c:ext>
          </c:extLst>
        </c:ser>
        <c:ser>
          <c:idx val="1"/>
          <c:order val="1"/>
          <c:tx>
            <c:strRef>
              <c:f>Calculations!$D$43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Calculations!$AO$43:$BL$43</c:f>
              <c:numCache>
                <c:formatCode>#,##0</c:formatCode>
                <c:ptCount val="24"/>
                <c:pt idx="0">
                  <c:v>-32544</c:v>
                </c:pt>
                <c:pt idx="1">
                  <c:v>-32544</c:v>
                </c:pt>
                <c:pt idx="2">
                  <c:v>-32544</c:v>
                </c:pt>
                <c:pt idx="3">
                  <c:v>-32544</c:v>
                </c:pt>
                <c:pt idx="4">
                  <c:v>-32544</c:v>
                </c:pt>
                <c:pt idx="5">
                  <c:v>-32544</c:v>
                </c:pt>
                <c:pt idx="6">
                  <c:v>-32544</c:v>
                </c:pt>
                <c:pt idx="7">
                  <c:v>-32544</c:v>
                </c:pt>
                <c:pt idx="8">
                  <c:v>-32544</c:v>
                </c:pt>
                <c:pt idx="9">
                  <c:v>-32544</c:v>
                </c:pt>
                <c:pt idx="10">
                  <c:v>-32544</c:v>
                </c:pt>
                <c:pt idx="11">
                  <c:v>-32544</c:v>
                </c:pt>
                <c:pt idx="12">
                  <c:v>-32544</c:v>
                </c:pt>
                <c:pt idx="13">
                  <c:v>-32544</c:v>
                </c:pt>
                <c:pt idx="14">
                  <c:v>-38444</c:v>
                </c:pt>
                <c:pt idx="15">
                  <c:v>-38444</c:v>
                </c:pt>
                <c:pt idx="16">
                  <c:v>-38444</c:v>
                </c:pt>
                <c:pt idx="17">
                  <c:v>-38444</c:v>
                </c:pt>
                <c:pt idx="18">
                  <c:v>-38444</c:v>
                </c:pt>
                <c:pt idx="19">
                  <c:v>-38444</c:v>
                </c:pt>
                <c:pt idx="20">
                  <c:v>-38444</c:v>
                </c:pt>
                <c:pt idx="21">
                  <c:v>-38444</c:v>
                </c:pt>
                <c:pt idx="22">
                  <c:v>-38444</c:v>
                </c:pt>
                <c:pt idx="23">
                  <c:v>-38444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D-4211-BF8B-400A57939DC1}"/>
            </c:ext>
          </c:extLst>
        </c:ser>
        <c:ser>
          <c:idx val="2"/>
          <c:order val="2"/>
          <c:tx>
            <c:strRef>
              <c:f>Calculations!$D$44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Calculations!$AO$44:$BL$44</c:f>
              <c:numCache>
                <c:formatCode>#,##0</c:formatCode>
                <c:ptCount val="24"/>
                <c:pt idx="0">
                  <c:v>-28713</c:v>
                </c:pt>
                <c:pt idx="1">
                  <c:v>-28713</c:v>
                </c:pt>
                <c:pt idx="2">
                  <c:v>-28713</c:v>
                </c:pt>
                <c:pt idx="3">
                  <c:v>-28713</c:v>
                </c:pt>
                <c:pt idx="4">
                  <c:v>-28713</c:v>
                </c:pt>
                <c:pt idx="5">
                  <c:v>-28713</c:v>
                </c:pt>
                <c:pt idx="6">
                  <c:v>-28713</c:v>
                </c:pt>
                <c:pt idx="7">
                  <c:v>-28713</c:v>
                </c:pt>
                <c:pt idx="8">
                  <c:v>-28713</c:v>
                </c:pt>
                <c:pt idx="9">
                  <c:v>-28713</c:v>
                </c:pt>
                <c:pt idx="10">
                  <c:v>-28713</c:v>
                </c:pt>
                <c:pt idx="11">
                  <c:v>-17479</c:v>
                </c:pt>
                <c:pt idx="12">
                  <c:v>-28713</c:v>
                </c:pt>
                <c:pt idx="13">
                  <c:v>-28713</c:v>
                </c:pt>
                <c:pt idx="14">
                  <c:v>-28713</c:v>
                </c:pt>
                <c:pt idx="15">
                  <c:v>-28713</c:v>
                </c:pt>
                <c:pt idx="16">
                  <c:v>-28713</c:v>
                </c:pt>
                <c:pt idx="17">
                  <c:v>-28713</c:v>
                </c:pt>
                <c:pt idx="18">
                  <c:v>-28713</c:v>
                </c:pt>
                <c:pt idx="19">
                  <c:v>-28713</c:v>
                </c:pt>
                <c:pt idx="20">
                  <c:v>-28713</c:v>
                </c:pt>
                <c:pt idx="21">
                  <c:v>-28713</c:v>
                </c:pt>
                <c:pt idx="22">
                  <c:v>-28713</c:v>
                </c:pt>
                <c:pt idx="23">
                  <c:v>-17479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D-4211-BF8B-400A57939DC1}"/>
            </c:ext>
          </c:extLst>
        </c:ser>
        <c:ser>
          <c:idx val="3"/>
          <c:order val="3"/>
          <c:tx>
            <c:strRef>
              <c:f>Calculations!$D$45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Calculations!$AO$45:$BL$45</c:f>
              <c:numCache>
                <c:formatCode>#,##0</c:formatCode>
                <c:ptCount val="24"/>
                <c:pt idx="0">
                  <c:v>-45063</c:v>
                </c:pt>
                <c:pt idx="1">
                  <c:v>-45063</c:v>
                </c:pt>
                <c:pt idx="2">
                  <c:v>-45063</c:v>
                </c:pt>
                <c:pt idx="3">
                  <c:v>-45063</c:v>
                </c:pt>
                <c:pt idx="4">
                  <c:v>-45063</c:v>
                </c:pt>
                <c:pt idx="5">
                  <c:v>-45063</c:v>
                </c:pt>
                <c:pt idx="6">
                  <c:v>-45063</c:v>
                </c:pt>
                <c:pt idx="7">
                  <c:v>-45063</c:v>
                </c:pt>
                <c:pt idx="8">
                  <c:v>-45063</c:v>
                </c:pt>
                <c:pt idx="9">
                  <c:v>-45063</c:v>
                </c:pt>
                <c:pt idx="10">
                  <c:v>-45063</c:v>
                </c:pt>
                <c:pt idx="11">
                  <c:v>-45063</c:v>
                </c:pt>
                <c:pt idx="12">
                  <c:v>-45063</c:v>
                </c:pt>
                <c:pt idx="13">
                  <c:v>-45063</c:v>
                </c:pt>
                <c:pt idx="14">
                  <c:v>-45063</c:v>
                </c:pt>
                <c:pt idx="15">
                  <c:v>-45063</c:v>
                </c:pt>
                <c:pt idx="16">
                  <c:v>-45063</c:v>
                </c:pt>
                <c:pt idx="17">
                  <c:v>-45063</c:v>
                </c:pt>
                <c:pt idx="18">
                  <c:v>-45063</c:v>
                </c:pt>
                <c:pt idx="19">
                  <c:v>-45063</c:v>
                </c:pt>
                <c:pt idx="20">
                  <c:v>-45063</c:v>
                </c:pt>
                <c:pt idx="21">
                  <c:v>-45063</c:v>
                </c:pt>
                <c:pt idx="22">
                  <c:v>-45063</c:v>
                </c:pt>
                <c:pt idx="23">
                  <c:v>-45063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5D-4211-BF8B-400A57939DC1}"/>
            </c:ext>
          </c:extLst>
        </c:ser>
        <c:ser>
          <c:idx val="4"/>
          <c:order val="4"/>
          <c:tx>
            <c:strRef>
              <c:f>Calculations!$D$46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Calculations!$AO$46:$BL$46</c:f>
              <c:numCache>
                <c:formatCode>#,##0</c:formatCode>
                <c:ptCount val="24"/>
                <c:pt idx="0">
                  <c:v>450313</c:v>
                </c:pt>
                <c:pt idx="1">
                  <c:v>463003</c:v>
                </c:pt>
                <c:pt idx="2">
                  <c:v>466763</c:v>
                </c:pt>
                <c:pt idx="3">
                  <c:v>470523</c:v>
                </c:pt>
                <c:pt idx="4">
                  <c:v>473813</c:v>
                </c:pt>
                <c:pt idx="5">
                  <c:v>477573</c:v>
                </c:pt>
                <c:pt idx="6">
                  <c:v>481333</c:v>
                </c:pt>
                <c:pt idx="7">
                  <c:v>495903</c:v>
                </c:pt>
                <c:pt idx="8">
                  <c:v>499663</c:v>
                </c:pt>
                <c:pt idx="9">
                  <c:v>502953</c:v>
                </c:pt>
                <c:pt idx="10">
                  <c:v>512353</c:v>
                </c:pt>
                <c:pt idx="11">
                  <c:v>527347</c:v>
                </c:pt>
                <c:pt idx="12">
                  <c:v>519403</c:v>
                </c:pt>
                <c:pt idx="13">
                  <c:v>523163</c:v>
                </c:pt>
                <c:pt idx="14">
                  <c:v>531833</c:v>
                </c:pt>
                <c:pt idx="15">
                  <c:v>535593</c:v>
                </c:pt>
                <c:pt idx="16">
                  <c:v>539353</c:v>
                </c:pt>
                <c:pt idx="17">
                  <c:v>542643</c:v>
                </c:pt>
                <c:pt idx="18">
                  <c:v>552043</c:v>
                </c:pt>
                <c:pt idx="19">
                  <c:v>555803</c:v>
                </c:pt>
                <c:pt idx="20">
                  <c:v>569903</c:v>
                </c:pt>
                <c:pt idx="21">
                  <c:v>573663</c:v>
                </c:pt>
                <c:pt idx="22">
                  <c:v>577423</c:v>
                </c:pt>
                <c:pt idx="23">
                  <c:v>592417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5D-4211-BF8B-400A57939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0792880"/>
        <c:axId val="830804400"/>
      </c:barChart>
      <c:catAx>
        <c:axId val="830792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804400"/>
        <c:crosses val="autoZero"/>
        <c:auto val="1"/>
        <c:lblAlgn val="ctr"/>
        <c:lblOffset val="100"/>
        <c:noMultiLvlLbl val="0"/>
      </c:catAx>
      <c:valAx>
        <c:axId val="83080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792880"/>
        <c:crosses val="autoZero"/>
        <c:crossBetween val="between"/>
        <c:majorUnit val="200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Key Cash Flow 2026 - 2027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Calculations!$D$49</c:f>
              <c:strCache>
                <c:ptCount val="1"/>
                <c:pt idx="0">
                  <c:v>Cash Inflow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Calculations!$AO$49:$BL$49</c:f>
              <c:numCache>
                <c:formatCode>#,##0</c:formatCode>
                <c:ptCount val="24"/>
                <c:pt idx="0">
                  <c:v>519820</c:v>
                </c:pt>
                <c:pt idx="1">
                  <c:v>532510</c:v>
                </c:pt>
                <c:pt idx="2">
                  <c:v>536270</c:v>
                </c:pt>
                <c:pt idx="3">
                  <c:v>540030</c:v>
                </c:pt>
                <c:pt idx="4">
                  <c:v>543320</c:v>
                </c:pt>
                <c:pt idx="5">
                  <c:v>547080</c:v>
                </c:pt>
                <c:pt idx="6">
                  <c:v>550840</c:v>
                </c:pt>
                <c:pt idx="7">
                  <c:v>565410</c:v>
                </c:pt>
                <c:pt idx="8">
                  <c:v>569170</c:v>
                </c:pt>
                <c:pt idx="9">
                  <c:v>572460</c:v>
                </c:pt>
                <c:pt idx="10">
                  <c:v>581860</c:v>
                </c:pt>
                <c:pt idx="11">
                  <c:v>585620</c:v>
                </c:pt>
                <c:pt idx="12">
                  <c:v>588910</c:v>
                </c:pt>
                <c:pt idx="13">
                  <c:v>592670</c:v>
                </c:pt>
                <c:pt idx="14">
                  <c:v>607240</c:v>
                </c:pt>
                <c:pt idx="15">
                  <c:v>611000</c:v>
                </c:pt>
                <c:pt idx="16">
                  <c:v>614760</c:v>
                </c:pt>
                <c:pt idx="17">
                  <c:v>618050</c:v>
                </c:pt>
                <c:pt idx="18">
                  <c:v>627450</c:v>
                </c:pt>
                <c:pt idx="19">
                  <c:v>631210</c:v>
                </c:pt>
                <c:pt idx="20">
                  <c:v>645310</c:v>
                </c:pt>
                <c:pt idx="21">
                  <c:v>649070</c:v>
                </c:pt>
                <c:pt idx="22">
                  <c:v>652830</c:v>
                </c:pt>
                <c:pt idx="23">
                  <c:v>656590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A-4D37-A41C-7F453A5CAFD2}"/>
            </c:ext>
          </c:extLst>
        </c:ser>
        <c:ser>
          <c:idx val="1"/>
          <c:order val="1"/>
          <c:tx>
            <c:strRef>
              <c:f>Calculations!$D$50</c:f>
              <c:strCache>
                <c:ptCount val="1"/>
                <c:pt idx="0">
                  <c:v>Cash Outflow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Calculations!$AO$50:$BL$50</c:f>
              <c:numCache>
                <c:formatCode>#,##0</c:formatCode>
                <c:ptCount val="24"/>
                <c:pt idx="0">
                  <c:v>-90687.6</c:v>
                </c:pt>
                <c:pt idx="1">
                  <c:v>-93225.600000000006</c:v>
                </c:pt>
                <c:pt idx="2">
                  <c:v>-93977.600000000006</c:v>
                </c:pt>
                <c:pt idx="3">
                  <c:v>-94729.600000000006</c:v>
                </c:pt>
                <c:pt idx="4">
                  <c:v>-95387.6</c:v>
                </c:pt>
                <c:pt idx="5">
                  <c:v>-96139.6</c:v>
                </c:pt>
                <c:pt idx="6">
                  <c:v>-96891.6</c:v>
                </c:pt>
                <c:pt idx="7">
                  <c:v>-99805.6</c:v>
                </c:pt>
                <c:pt idx="8">
                  <c:v>-100557.6</c:v>
                </c:pt>
                <c:pt idx="9">
                  <c:v>-101215.6</c:v>
                </c:pt>
                <c:pt idx="10">
                  <c:v>-103095.6</c:v>
                </c:pt>
                <c:pt idx="11">
                  <c:v>-106094.40000000001</c:v>
                </c:pt>
                <c:pt idx="12">
                  <c:v>-104505.60000000001</c:v>
                </c:pt>
                <c:pt idx="13">
                  <c:v>-105257.60000000001</c:v>
                </c:pt>
                <c:pt idx="14">
                  <c:v>-106991.6</c:v>
                </c:pt>
                <c:pt idx="15">
                  <c:v>-107743.6</c:v>
                </c:pt>
                <c:pt idx="16">
                  <c:v>-108495.6</c:v>
                </c:pt>
                <c:pt idx="17">
                  <c:v>-109153.60000000001</c:v>
                </c:pt>
                <c:pt idx="18">
                  <c:v>-111033.60000000001</c:v>
                </c:pt>
                <c:pt idx="19">
                  <c:v>-111785.60000000001</c:v>
                </c:pt>
                <c:pt idx="20">
                  <c:v>-114605.6</c:v>
                </c:pt>
                <c:pt idx="21">
                  <c:v>-115357.6</c:v>
                </c:pt>
                <c:pt idx="22">
                  <c:v>-116109.6</c:v>
                </c:pt>
                <c:pt idx="23">
                  <c:v>-119108.40000000001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6A-4D37-A41C-7F453A5CAFD2}"/>
            </c:ext>
          </c:extLst>
        </c:ser>
        <c:ser>
          <c:idx val="2"/>
          <c:order val="2"/>
          <c:tx>
            <c:strRef>
              <c:f>Calculations!$D$51</c:f>
              <c:strCache>
                <c:ptCount val="1"/>
                <c:pt idx="0">
                  <c:v>Net Cash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Calculations!$E$41:$AC$41</c:f>
              <c:strCache>
                <c:ptCount val="2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</c:strCache>
            </c:strRef>
          </c:cat>
          <c:val>
            <c:numRef>
              <c:f>Calculations!$AO$51:$BL$51</c:f>
              <c:numCache>
                <c:formatCode>#,##0</c:formatCode>
                <c:ptCount val="24"/>
                <c:pt idx="0">
                  <c:v>429132.4</c:v>
                </c:pt>
                <c:pt idx="1">
                  <c:v>439284.4</c:v>
                </c:pt>
                <c:pt idx="2">
                  <c:v>442292.4</c:v>
                </c:pt>
                <c:pt idx="3">
                  <c:v>445300.4</c:v>
                </c:pt>
                <c:pt idx="4">
                  <c:v>447932.4</c:v>
                </c:pt>
                <c:pt idx="5">
                  <c:v>450940.4</c:v>
                </c:pt>
                <c:pt idx="6">
                  <c:v>453948.4</c:v>
                </c:pt>
                <c:pt idx="7">
                  <c:v>465604.4</c:v>
                </c:pt>
                <c:pt idx="8">
                  <c:v>468612.4</c:v>
                </c:pt>
                <c:pt idx="9">
                  <c:v>471244.4</c:v>
                </c:pt>
                <c:pt idx="10">
                  <c:v>478764.4</c:v>
                </c:pt>
                <c:pt idx="11">
                  <c:v>479525.6</c:v>
                </c:pt>
                <c:pt idx="12">
                  <c:v>484404.4</c:v>
                </c:pt>
                <c:pt idx="13">
                  <c:v>487412.4</c:v>
                </c:pt>
                <c:pt idx="14">
                  <c:v>500248.4</c:v>
                </c:pt>
                <c:pt idx="15">
                  <c:v>503256.4</c:v>
                </c:pt>
                <c:pt idx="16">
                  <c:v>506264.4</c:v>
                </c:pt>
                <c:pt idx="17">
                  <c:v>508896.4</c:v>
                </c:pt>
                <c:pt idx="18">
                  <c:v>516416.4</c:v>
                </c:pt>
                <c:pt idx="19">
                  <c:v>519424.4</c:v>
                </c:pt>
                <c:pt idx="20">
                  <c:v>530704.4</c:v>
                </c:pt>
                <c:pt idx="21">
                  <c:v>533712.4</c:v>
                </c:pt>
                <c:pt idx="22">
                  <c:v>536720.4</c:v>
                </c:pt>
                <c:pt idx="23">
                  <c:v>537481.6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6A-4D37-A41C-7F453A5CA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8255456"/>
        <c:axId val="1448272736"/>
      </c:barChart>
      <c:catAx>
        <c:axId val="144825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272736"/>
        <c:crosses val="autoZero"/>
        <c:auto val="1"/>
        <c:lblAlgn val="ctr"/>
        <c:lblOffset val="100"/>
        <c:noMultiLvlLbl val="0"/>
      </c:catAx>
      <c:valAx>
        <c:axId val="144827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255456"/>
        <c:crosses val="autoZero"/>
        <c:crossBetween val="between"/>
        <c:majorUnit val="200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BEA!$E$27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BEA!$H$24:$Q$24</c15:sqref>
                  </c15:fullRef>
                </c:ext>
              </c:extLst>
              <c:f>(BEA!$H$24,BEA!$J$24,BEA!$L$24,BEA!$N$24,BEA!$P$24)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BEA!$H$27:$Q$27</c15:sqref>
                  </c15:fullRef>
                </c:ext>
              </c:extLst>
              <c:f>(BEA!$H$27,BEA!$J$27,BEA!$L$27,BEA!$N$27,BEA!$P$27)</c:f>
              <c:numCache>
                <c:formatCode>#,##0</c:formatCode>
                <c:ptCount val="5"/>
                <c:pt idx="0">
                  <c:v>3813996</c:v>
                </c:pt>
                <c:pt idx="1">
                  <c:v>4284518.9759999998</c:v>
                </c:pt>
                <c:pt idx="2">
                  <c:v>4847595</c:v>
                </c:pt>
                <c:pt idx="3">
                  <c:v>6644390</c:v>
                </c:pt>
                <c:pt idx="4">
                  <c:v>7495090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D-45A2-A66D-DA29F5182646}"/>
            </c:ext>
          </c:extLst>
        </c:ser>
        <c:ser>
          <c:idx val="1"/>
          <c:order val="1"/>
          <c:tx>
            <c:strRef>
              <c:f>BEA!$E$34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BEA!$H$34:$Q$34</c15:sqref>
                  </c15:fullRef>
                </c:ext>
              </c:extLst>
              <c:f>(BEA!$H$34,BEA!$J$34,BEA!$L$34,BEA!$N$34,BEA!$P$34)</c:f>
              <c:numCache>
                <c:formatCode>General</c:formatCode>
                <c:ptCount val="5"/>
                <c:pt idx="0" formatCode="#,##0">
                  <c:v>2850316.8</c:v>
                </c:pt>
                <c:pt idx="1" formatCode="#,##0">
                  <c:v>3226735.1808000002</c:v>
                </c:pt>
                <c:pt idx="2" formatCode="#,##0">
                  <c:v>3859596</c:v>
                </c:pt>
                <c:pt idx="3" formatCode="#,##0">
                  <c:v>4657231.9999999991</c:v>
                </c:pt>
                <c:pt idx="4" formatCode="#,##0">
                  <c:v>5290592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106433648"/>
        <c:axId val="89747792"/>
      </c:barChart>
      <c:lineChart>
        <c:grouping val="standard"/>
        <c:varyColors val="0"/>
        <c:ser>
          <c:idx val="2"/>
          <c:order val="2"/>
          <c:tx>
            <c:strRef>
              <c:f>BEA!$E$32</c:f>
              <c:strCache>
                <c:ptCount val="1"/>
                <c:pt idx="0">
                  <c:v>Break Even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BEA!$H$32:$Q$32</c15:sqref>
                  </c15:fullRef>
                </c:ext>
              </c:extLst>
              <c:f>(BEA!$H$32,BEA!$J$32,BEA!$L$32,BEA!$N$32,BEA!$P$32)</c:f>
              <c:numCache>
                <c:formatCode>General</c:formatCode>
                <c:ptCount val="5"/>
                <c:pt idx="0" formatCode="#,##0">
                  <c:v>2130969.6000000001</c:v>
                </c:pt>
                <c:pt idx="1" formatCode="#,##0">
                  <c:v>1737983.7952000001</c:v>
                </c:pt>
                <c:pt idx="2" formatCode="#,##0">
                  <c:v>1861233.2</c:v>
                </c:pt>
                <c:pt idx="3" formatCode="#,##0">
                  <c:v>2549451</c:v>
                </c:pt>
                <c:pt idx="4" formatCode="#,##0">
                  <c:v>2766546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6433648"/>
        <c:axId val="89747792"/>
      </c:lineChart>
      <c:catAx>
        <c:axId val="1064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47792"/>
        <c:crosses val="autoZero"/>
        <c:auto val="1"/>
        <c:lblAlgn val="ctr"/>
        <c:lblOffset val="100"/>
        <c:noMultiLvlLbl val="0"/>
      </c:catAx>
      <c:valAx>
        <c:axId val="897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Building Rent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8-4000-88F5-F16B23D06E97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162756</c:v>
                </c:pt>
                <c:pt idx="1">
                  <c:v>162756</c:v>
                </c:pt>
                <c:pt idx="2">
                  <c:v>654756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8-4000-88F5-F16B23D06E97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8-4000-88F5-F16B23D06E97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3600</c:v>
                </c:pt>
                <c:pt idx="1">
                  <c:v>3600</c:v>
                </c:pt>
                <c:pt idx="2">
                  <c:v>3600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48-4000-88F5-F16B23D06E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2"/>
        <c:overlap val="100"/>
        <c:axId val="86746880"/>
        <c:axId val="181657264"/>
      </c:barChart>
      <c:catAx>
        <c:axId val="867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57264"/>
        <c:crosses val="autoZero"/>
        <c:auto val="1"/>
        <c:lblAlgn val="ctr"/>
        <c:lblOffset val="100"/>
        <c:noMultiLvlLbl val="0"/>
      </c:catAx>
      <c:valAx>
        <c:axId val="18165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571741032370953E-2"/>
          <c:y val="2.7777777777777776E-2"/>
          <c:w val="0.831903234101958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2023'!$K$86:$V$86</c:f>
              <c:numCache>
                <c:formatCode>#,##0</c:formatCode>
                <c:ptCount val="12"/>
                <c:pt idx="0">
                  <c:v>117560</c:v>
                </c:pt>
                <c:pt idx="1">
                  <c:v>214109.59999999998</c:v>
                </c:pt>
                <c:pt idx="2">
                  <c:v>327001.19999999995</c:v>
                </c:pt>
                <c:pt idx="3">
                  <c:v>449923.6</c:v>
                </c:pt>
                <c:pt idx="4">
                  <c:v>596476</c:v>
                </c:pt>
                <c:pt idx="5">
                  <c:v>769248</c:v>
                </c:pt>
                <c:pt idx="6">
                  <c:v>952570</c:v>
                </c:pt>
                <c:pt idx="7">
                  <c:v>1141514</c:v>
                </c:pt>
                <c:pt idx="8">
                  <c:v>1325263.2</c:v>
                </c:pt>
                <c:pt idx="9">
                  <c:v>1496289.5999999999</c:v>
                </c:pt>
                <c:pt idx="10">
                  <c:v>1657076.4</c:v>
                </c:pt>
                <c:pt idx="11">
                  <c:v>1810916.4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C-4F68-99DB-1225325C85C7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2023'!$K$89:$V$89</c:f>
              <c:numCache>
                <c:formatCode>#,##0</c:formatCode>
                <c:ptCount val="12"/>
                <c:pt idx="1">
                  <c:v>-49926</c:v>
                </c:pt>
                <c:pt idx="2">
                  <c:v>-53170.600000000006</c:v>
                </c:pt>
                <c:pt idx="3">
                  <c:v>-54837.4</c:v>
                </c:pt>
                <c:pt idx="4">
                  <c:v>-59904</c:v>
                </c:pt>
                <c:pt idx="5">
                  <c:v>-65618</c:v>
                </c:pt>
                <c:pt idx="6">
                  <c:v>-67414.600000000006</c:v>
                </c:pt>
                <c:pt idx="7">
                  <c:v>-67979.199999999997</c:v>
                </c:pt>
                <c:pt idx="8">
                  <c:v>-65839.600000000006</c:v>
                </c:pt>
                <c:pt idx="9">
                  <c:v>-61818</c:v>
                </c:pt>
                <c:pt idx="10">
                  <c:v>-58417.200000000004</c:v>
                </c:pt>
                <c:pt idx="11">
                  <c:v>-55839.600000000006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71135"/>
        <c:axId val="9127725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2023'!$K$88:$V$88</c:f>
              <c:numCache>
                <c:formatCode>#,##0</c:formatCode>
                <c:ptCount val="12"/>
                <c:pt idx="0">
                  <c:v>569271</c:v>
                </c:pt>
                <c:pt idx="1">
                  <c:v>667531.6</c:v>
                </c:pt>
                <c:pt idx="2">
                  <c:v>782134.2</c:v>
                </c:pt>
                <c:pt idx="3">
                  <c:v>906767.6</c:v>
                </c:pt>
                <c:pt idx="4">
                  <c:v>1055031</c:v>
                </c:pt>
                <c:pt idx="5">
                  <c:v>1229514</c:v>
                </c:pt>
                <c:pt idx="6">
                  <c:v>1414547</c:v>
                </c:pt>
                <c:pt idx="7">
                  <c:v>1605202</c:v>
                </c:pt>
                <c:pt idx="8">
                  <c:v>1790662.2</c:v>
                </c:pt>
                <c:pt idx="9">
                  <c:v>1963399.5999999999</c:v>
                </c:pt>
                <c:pt idx="10">
                  <c:v>2125897.4</c:v>
                </c:pt>
                <c:pt idx="11">
                  <c:v>2281448.4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C-4F68-99DB-1225325C85C7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2023'!$K$92:$V$92</c:f>
              <c:numCache>
                <c:formatCode>#,##0</c:formatCode>
                <c:ptCount val="12"/>
                <c:pt idx="0">
                  <c:v>-32544</c:v>
                </c:pt>
                <c:pt idx="1">
                  <c:v>84423.599999999977</c:v>
                </c:pt>
                <c:pt idx="2">
                  <c:v>212599.59999999998</c:v>
                </c:pt>
                <c:pt idx="3">
                  <c:v>352384.19999999995</c:v>
                </c:pt>
                <c:pt idx="4">
                  <c:v>512399</c:v>
                </c:pt>
                <c:pt idx="5">
                  <c:v>697986</c:v>
                </c:pt>
                <c:pt idx="6">
                  <c:v>898040.4</c:v>
                </c:pt>
                <c:pt idx="7">
                  <c:v>1104948.8</c:v>
                </c:pt>
                <c:pt idx="8">
                  <c:v>1309366.6000000001</c:v>
                </c:pt>
                <c:pt idx="9">
                  <c:v>1502943.5999999999</c:v>
                </c:pt>
                <c:pt idx="10">
                  <c:v>1685660.2</c:v>
                </c:pt>
                <c:pt idx="11">
                  <c:v>1860606.7999999998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C-4F68-99DB-1225325C85C7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2023'!$K$93:$V$93</c:f>
              <c:numCache>
                <c:formatCode>#,##0</c:formatCode>
                <c:ptCount val="12"/>
                <c:pt idx="0">
                  <c:v>117560</c:v>
                </c:pt>
                <c:pt idx="1">
                  <c:v>214109.59999999998</c:v>
                </c:pt>
                <c:pt idx="2">
                  <c:v>327001.19999999995</c:v>
                </c:pt>
                <c:pt idx="3">
                  <c:v>449923.6</c:v>
                </c:pt>
                <c:pt idx="4">
                  <c:v>596476</c:v>
                </c:pt>
                <c:pt idx="5">
                  <c:v>769248</c:v>
                </c:pt>
                <c:pt idx="6">
                  <c:v>952570</c:v>
                </c:pt>
                <c:pt idx="7">
                  <c:v>1141514</c:v>
                </c:pt>
                <c:pt idx="8">
                  <c:v>1325263.2</c:v>
                </c:pt>
                <c:pt idx="9">
                  <c:v>1496289.5999999999</c:v>
                </c:pt>
                <c:pt idx="10">
                  <c:v>1657076.4</c:v>
                </c:pt>
                <c:pt idx="11">
                  <c:v>1810916.4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71135"/>
        <c:axId val="912772575"/>
      </c:lineChart>
      <c:catAx>
        <c:axId val="91277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2575"/>
        <c:crosses val="autoZero"/>
        <c:auto val="1"/>
        <c:lblAlgn val="ctr"/>
        <c:lblOffset val="100"/>
        <c:noMultiLvlLbl val="0"/>
      </c:catAx>
      <c:valAx>
        <c:axId val="91277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Building Rent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9-41F2-86A9-6D771DAA14D6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162756</c:v>
                </c:pt>
                <c:pt idx="1">
                  <c:v>162756</c:v>
                </c:pt>
                <c:pt idx="2">
                  <c:v>654756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9-41F2-86A9-6D771DAA14D6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9-41F2-86A9-6D771DAA14D6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3600</c:v>
                </c:pt>
                <c:pt idx="1">
                  <c:v>3600</c:v>
                </c:pt>
                <c:pt idx="2">
                  <c:v>3600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9-41F2-86A9-6D771DAA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24048"/>
        <c:axId val="121146032"/>
      </c:lineChart>
      <c:catAx>
        <c:axId val="1064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46032"/>
        <c:crosses val="autoZero"/>
        <c:auto val="1"/>
        <c:lblAlgn val="ctr"/>
        <c:lblOffset val="100"/>
        <c:noMultiLvlLbl val="0"/>
      </c:catAx>
      <c:valAx>
        <c:axId val="12114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2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'Servcies Team Upselling %'!$F$10</c:f>
              <c:strCache>
                <c:ptCount val="1"/>
                <c:pt idx="0">
                  <c:v>% OF GOAL REACHED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%'!$F$11:$F$35</c:f>
              <c:numCache>
                <c:formatCode>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1.0416666666666667</c:v>
                </c:pt>
                <c:pt idx="5">
                  <c:v>1</c:v>
                </c:pt>
                <c:pt idx="6">
                  <c:v>1.0833333333333333</c:v>
                </c:pt>
                <c:pt idx="7">
                  <c:v>1.1666666666666667</c:v>
                </c:pt>
                <c:pt idx="8">
                  <c:v>1.25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1.1666666666666667</c:v>
                </c:pt>
                <c:pt idx="13">
                  <c:v>1.0833333333333333</c:v>
                </c:pt>
                <c:pt idx="14">
                  <c:v>1</c:v>
                </c:pt>
                <c:pt idx="15">
                  <c:v>1</c:v>
                </c:pt>
                <c:pt idx="16">
                  <c:v>1.0833333333333333</c:v>
                </c:pt>
                <c:pt idx="17">
                  <c:v>1</c:v>
                </c:pt>
                <c:pt idx="18">
                  <c:v>1.0416666666666667</c:v>
                </c:pt>
                <c:pt idx="19">
                  <c:v>1.0833333333333333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85-457A-A6FF-41BD0EDC3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483483213663E-2"/>
          <c:y val="4.0958462760173703E-2"/>
          <c:w val="0.95614007837133197"/>
          <c:h val="0.88437656679764598"/>
        </c:manualLayout>
      </c:layout>
      <c:barChart>
        <c:barDir val="col"/>
        <c:grouping val="clustered"/>
        <c:varyColors val="1"/>
        <c:ser>
          <c:idx val="3"/>
          <c:order val="0"/>
          <c:tx>
            <c:strRef>
              <c:f>'Servcies Team Upselling %'!$D$10</c:f>
              <c:strCache>
                <c:ptCount val="1"/>
                <c:pt idx="0">
                  <c:v>Actual Months Taken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solidFill>
                <a:schemeClr val="accent4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7-4B12-A27C-B38C8A3254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C7-4B12-A27C-B38C8A3254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C7-4B12-A27C-B38C8A3254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C7-4B12-A27C-B38C8A32548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C7-4B12-A27C-B38C8A32548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CC7-4B12-A27C-B38C8A32548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8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CC7-4B12-A27C-B38C8A32548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CC7-4B12-A27C-B38C8A32548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CC7-4B12-A27C-B38C8A32548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CC7-4B12-A27C-B38C8A32548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CC7-4B12-A27C-B38C8A32548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2CC7-4B12-A27C-B38C8A32548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2CC7-4B12-A27C-B38C8A32548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2CC7-4B12-A27C-B38C8A32548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CC7-4B12-A27C-B38C8A32548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2CC7-4B12-A27C-B38C8A32548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2CC7-4B12-A27C-B38C8A32548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2CC7-4B12-A27C-B38C8A32548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1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2CC7-4B12-A27C-B38C8A32548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2CC7-4B12-A27C-B38C8A325486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CC7-4B12-A27C-B38C8A325486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3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2CC7-4B12-A27C-B38C8A3254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%'!$D$11:$D$35</c:f>
              <c:numCache>
                <c:formatCode>General</c:formatCode>
                <c:ptCount val="25"/>
                <c:pt idx="0">
                  <c:v>12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25</c:v>
                </c:pt>
                <c:pt idx="5">
                  <c:v>12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14</c:v>
                </c:pt>
                <c:pt idx="13">
                  <c:v>26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25</c:v>
                </c:pt>
                <c:pt idx="19">
                  <c:v>26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CC7-4B12-A27C-B38C8A325486}"/>
            </c:ext>
          </c:extLst>
        </c:ser>
        <c:ser>
          <c:idx val="0"/>
          <c:order val="1"/>
          <c:tx>
            <c:strRef>
              <c:f>'Servcies Team Upselling %'!$E$10</c:f>
              <c:strCache>
                <c:ptCount val="1"/>
                <c:pt idx="0">
                  <c:v>Planned Months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4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%'!$E$11:$E$35</c:f>
              <c:numCache>
                <c:formatCode>General</c:formatCode>
                <c:ptCount val="25"/>
                <c:pt idx="0">
                  <c:v>12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24</c:v>
                </c:pt>
                <c:pt idx="5">
                  <c:v>12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2CC7-4B12-A27C-B38C8A3254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1"/>
        <c:axId val="210470832"/>
        <c:axId val="210471392"/>
      </c:barChart>
      <c:catAx>
        <c:axId val="21047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1392"/>
        <c:crosses val="autoZero"/>
        <c:auto val="1"/>
        <c:lblAlgn val="ctr"/>
        <c:lblOffset val="100"/>
        <c:noMultiLvlLbl val="0"/>
      </c:catAx>
      <c:valAx>
        <c:axId val="2104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GB" b="0"/>
              <a:t>KPI Service Financials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6"/>
          <c:order val="0"/>
          <c:tx>
            <c:strRef>
              <c:f>'KPI Stage Financials'!$E$5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Financials'!$E$6:$E$20</c15:sqref>
                  </c15:fullRef>
                </c:ext>
              </c:extLst>
              <c:f>('KPI Stage Financials'!$E$6:$E$17,'KPI Stage Financials'!$E$19:$E$20)</c:f>
              <c:numCache>
                <c:formatCode>#,##0</c:formatCode>
                <c:ptCount val="14"/>
                <c:pt idx="0">
                  <c:v>2760</c:v>
                </c:pt>
                <c:pt idx="1">
                  <c:v>2760</c:v>
                </c:pt>
                <c:pt idx="2">
                  <c:v>2660</c:v>
                </c:pt>
                <c:pt idx="3">
                  <c:v>2450</c:v>
                </c:pt>
                <c:pt idx="4">
                  <c:v>2500</c:v>
                </c:pt>
                <c:pt idx="5">
                  <c:v>2760</c:v>
                </c:pt>
                <c:pt idx="6">
                  <c:v>2760</c:v>
                </c:pt>
                <c:pt idx="7">
                  <c:v>2700</c:v>
                </c:pt>
                <c:pt idx="8">
                  <c:v>2750</c:v>
                </c:pt>
                <c:pt idx="9">
                  <c:v>3005</c:v>
                </c:pt>
                <c:pt idx="10">
                  <c:v>2970</c:v>
                </c:pt>
                <c:pt idx="11">
                  <c:v>2760</c:v>
                </c:pt>
                <c:pt idx="12">
                  <c:v>2350</c:v>
                </c:pt>
                <c:pt idx="13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7A-4537-ABB8-1736D51F4BAC}"/>
            </c:ext>
          </c:extLst>
        </c:ser>
        <c:ser>
          <c:idx val="0"/>
          <c:order val="1"/>
          <c:tx>
            <c:strRef>
              <c:f>'KPI Stage Financials'!$D$5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Financials'!$D$6:$D$20</c15:sqref>
                  </c15:fullRef>
                </c:ext>
              </c:extLst>
              <c:f>('KPI Stage Financials'!$D$6:$D$17,'KPI Stage Financials'!$D$19:$D$20)</c:f>
              <c:numCache>
                <c:formatCode>#,##0</c:formatCode>
                <c:ptCount val="14"/>
                <c:pt idx="0">
                  <c:v>2760</c:v>
                </c:pt>
                <c:pt idx="1">
                  <c:v>2660</c:v>
                </c:pt>
                <c:pt idx="2">
                  <c:v>2560</c:v>
                </c:pt>
                <c:pt idx="3">
                  <c:v>2550</c:v>
                </c:pt>
                <c:pt idx="4">
                  <c:v>2550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2760</c:v>
                </c:pt>
                <c:pt idx="9">
                  <c:v>3000</c:v>
                </c:pt>
                <c:pt idx="10">
                  <c:v>2970</c:v>
                </c:pt>
                <c:pt idx="11">
                  <c:v>2760</c:v>
                </c:pt>
                <c:pt idx="12">
                  <c:v>2400</c:v>
                </c:pt>
                <c:pt idx="13">
                  <c:v>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401608"/>
        <c:axId val="2092405368"/>
      </c:barChart>
      <c:lineChart>
        <c:grouping val="standard"/>
        <c:varyColors val="1"/>
        <c:ser>
          <c:idx val="1"/>
          <c:order val="2"/>
          <c:tx>
            <c:strRef>
              <c:f>'KPI Stage Financials'!$G$5</c:f>
              <c:strCache>
                <c:ptCount val="1"/>
                <c:pt idx="0">
                  <c:v>Variance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marker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6-4484-A5EB-235BC332D3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6-4484-A5EB-235BC332D3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16-4484-A5EB-235BC332D3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16-4484-A5EB-235BC332D3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516-4484-A5EB-235BC332D3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516-4484-A5EB-235BC332D3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516-4484-A5EB-235BC332D3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16-4484-A5EB-235BC332D38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Financials'!$G$6:$G$20</c15:sqref>
                  </c15:fullRef>
                </c:ext>
              </c:extLst>
              <c:f>('KPI Stage Financials'!$G$6:$G$17,'KPI Stage Financials'!$G$19:$G$20)</c:f>
              <c:numCache>
                <c:formatCode>#,##0</c:formatCode>
                <c:ptCount val="14"/>
                <c:pt idx="0">
                  <c:v>0</c:v>
                </c:pt>
                <c:pt idx="1">
                  <c:v>-100</c:v>
                </c:pt>
                <c:pt idx="2">
                  <c:v>-100</c:v>
                </c:pt>
                <c:pt idx="3">
                  <c:v>100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  <c:pt idx="7">
                  <c:v>60</c:v>
                </c:pt>
                <c:pt idx="8">
                  <c:v>10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740479"/>
        <c:axId val="1542239119"/>
      </c:line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  <c:valAx>
        <c:axId val="154223911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472740479"/>
        <c:crosses val="max"/>
        <c:crossBetween val="between"/>
      </c:valAx>
      <c:catAx>
        <c:axId val="1472740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22391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>
              <a:outerShdw blurRad="50800" dist="50800" dir="5400000" algn="ctr" rotWithShape="0">
                <a:srgbClr val="000000">
                  <a:alpha val="37000"/>
                </a:srgbClr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50800" dir="5400000" algn="ctr" rotWithShape="0">
                  <a:srgbClr val="000000">
                    <a:alpha val="37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'KPI Stage Financials'!$C$6:$C$20</c:f>
              <c:strCache>
                <c:ptCount val="1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</c:strCache>
            </c:strRef>
          </c:xVal>
          <c:y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FA-4455-AA66-1D03A7FA271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13279743"/>
        <c:axId val="303379807"/>
      </c:scatterChart>
      <c:valAx>
        <c:axId val="31327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79807"/>
        <c:crosses val="autoZero"/>
        <c:crossBetween val="midCat"/>
      </c:valAx>
      <c:valAx>
        <c:axId val="30337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27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Stage Financials'!$C$6:$C$20</c:f>
              <c:strCache>
                <c:ptCount val="1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</c:strCache>
            </c:strRef>
          </c:cat>
          <c: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CE-42DF-8FC1-E3D68557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Return on Investment</a:t>
            </a:r>
            <a:r>
              <a:rPr lang="en-GB" baseline="0"/>
              <a:t> (ROI) For Projected Services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Spend'!$B$5</c:f>
              <c:strCache>
                <c:ptCount val="1"/>
                <c:pt idx="0">
                  <c:v>Planned Value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Spend'!$C$5:$N$5</c:f>
              <c:numCache>
                <c:formatCode>#,##0</c:formatCode>
                <c:ptCount val="12"/>
                <c:pt idx="0">
                  <c:v>3500</c:v>
                </c:pt>
                <c:pt idx="1">
                  <c:v>4000</c:v>
                </c:pt>
                <c:pt idx="2">
                  <c:v>4500</c:v>
                </c:pt>
                <c:pt idx="3">
                  <c:v>5500</c:v>
                </c:pt>
                <c:pt idx="4">
                  <c:v>6500</c:v>
                </c:pt>
                <c:pt idx="5">
                  <c:v>7500</c:v>
                </c:pt>
                <c:pt idx="6">
                  <c:v>8500</c:v>
                </c:pt>
                <c:pt idx="7">
                  <c:v>11000</c:v>
                </c:pt>
                <c:pt idx="8">
                  <c:v>9500</c:v>
                </c:pt>
                <c:pt idx="9">
                  <c:v>9600</c:v>
                </c:pt>
                <c:pt idx="10">
                  <c:v>9700</c:v>
                </c:pt>
                <c:pt idx="11">
                  <c:v>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8E-408A-8D6E-2712D36A29AD}"/>
            </c:ext>
          </c:extLst>
        </c:ser>
        <c:ser>
          <c:idx val="1"/>
          <c:order val="1"/>
          <c:tx>
            <c:strRef>
              <c:f>'KPI Spend'!$B$6</c:f>
              <c:strCache>
                <c:ptCount val="1"/>
                <c:pt idx="0">
                  <c:v>Expenditure Service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Spend'!$C$6:$N$6</c:f>
              <c:numCache>
                <c:formatCode>#,##0</c:formatCode>
                <c:ptCount val="12"/>
                <c:pt idx="0">
                  <c:v>4400</c:v>
                </c:pt>
                <c:pt idx="1">
                  <c:v>3800</c:v>
                </c:pt>
                <c:pt idx="2">
                  <c:v>4500</c:v>
                </c:pt>
                <c:pt idx="3">
                  <c:v>5500</c:v>
                </c:pt>
                <c:pt idx="4">
                  <c:v>6000</c:v>
                </c:pt>
                <c:pt idx="5">
                  <c:v>8500</c:v>
                </c:pt>
                <c:pt idx="6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E-408A-8D6E-2712D36A29AD}"/>
            </c:ext>
          </c:extLst>
        </c:ser>
        <c:ser>
          <c:idx val="2"/>
          <c:order val="2"/>
          <c:tx>
            <c:strRef>
              <c:f>'KPI Spend'!$B$7</c:f>
              <c:strCache>
                <c:ptCount val="1"/>
                <c:pt idx="0">
                  <c:v>Earned Service 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Spend'!$C$7:$N$7</c:f>
              <c:numCache>
                <c:formatCode>#,##0</c:formatCode>
                <c:ptCount val="12"/>
                <c:pt idx="0">
                  <c:v>3100</c:v>
                </c:pt>
                <c:pt idx="1">
                  <c:v>4150</c:v>
                </c:pt>
                <c:pt idx="2">
                  <c:v>4700</c:v>
                </c:pt>
                <c:pt idx="3">
                  <c:v>5600</c:v>
                </c:pt>
                <c:pt idx="4">
                  <c:v>6900</c:v>
                </c:pt>
                <c:pt idx="5">
                  <c:v>7700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8E-408A-8D6E-2712D36A29AD}"/>
            </c:ext>
          </c:extLst>
        </c:ser>
        <c:ser>
          <c:idx val="3"/>
          <c:order val="3"/>
          <c:tx>
            <c:strRef>
              <c:f>'KPI Spend'!$B$8</c:f>
              <c:strCache>
                <c:ptCount val="1"/>
                <c:pt idx="0">
                  <c:v>Expenditure Service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Spend'!$C$8:$N$8</c:f>
              <c:numCache>
                <c:formatCode>#,##0</c:formatCode>
                <c:ptCount val="12"/>
                <c:pt idx="0">
                  <c:v>6000</c:v>
                </c:pt>
                <c:pt idx="1">
                  <c:v>6500</c:v>
                </c:pt>
                <c:pt idx="2">
                  <c:v>6700</c:v>
                </c:pt>
                <c:pt idx="3">
                  <c:v>6900</c:v>
                </c:pt>
                <c:pt idx="4">
                  <c:v>7200</c:v>
                </c:pt>
                <c:pt idx="5">
                  <c:v>7800</c:v>
                </c:pt>
                <c:pt idx="6">
                  <c:v>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8E-408A-8D6E-2712D36A29AD}"/>
            </c:ext>
          </c:extLst>
        </c:ser>
        <c:ser>
          <c:idx val="4"/>
          <c:order val="4"/>
          <c:tx>
            <c:strRef>
              <c:f>'KPI Spend'!$B$9</c:f>
              <c:strCache>
                <c:ptCount val="1"/>
                <c:pt idx="0">
                  <c:v>Earned Service 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Spend'!$C$9:$N$9</c:f>
              <c:numCache>
                <c:formatCode>#,##0</c:formatCode>
                <c:ptCount val="12"/>
                <c:pt idx="0">
                  <c:v>5700</c:v>
                </c:pt>
                <c:pt idx="1">
                  <c:v>6250</c:v>
                </c:pt>
                <c:pt idx="2">
                  <c:v>6400</c:v>
                </c:pt>
                <c:pt idx="3">
                  <c:v>6500</c:v>
                </c:pt>
                <c:pt idx="4">
                  <c:v>7000</c:v>
                </c:pt>
                <c:pt idx="5">
                  <c:v>7550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8E-408A-8D6E-2712D36A29AD}"/>
            </c:ext>
          </c:extLst>
        </c:ser>
        <c:ser>
          <c:idx val="5"/>
          <c:order val="5"/>
          <c:tx>
            <c:strRef>
              <c:f>'KPI Spend'!$B$10</c:f>
              <c:strCache>
                <c:ptCount val="1"/>
                <c:pt idx="0">
                  <c:v>Expenditure Service 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Spend'!$C$10:$N$10</c:f>
              <c:numCache>
                <c:formatCode>#,##0</c:formatCode>
                <c:ptCount val="12"/>
                <c:pt idx="0">
                  <c:v>2700</c:v>
                </c:pt>
                <c:pt idx="1">
                  <c:v>3100</c:v>
                </c:pt>
                <c:pt idx="2">
                  <c:v>3500</c:v>
                </c:pt>
                <c:pt idx="3">
                  <c:v>4300</c:v>
                </c:pt>
                <c:pt idx="4">
                  <c:v>5100</c:v>
                </c:pt>
                <c:pt idx="5">
                  <c:v>6500</c:v>
                </c:pt>
                <c:pt idx="6">
                  <c:v>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8E-408A-8D6E-2712D36A29AD}"/>
            </c:ext>
          </c:extLst>
        </c:ser>
        <c:ser>
          <c:idx val="6"/>
          <c:order val="6"/>
          <c:tx>
            <c:strRef>
              <c:f>'KPI Spend'!$B$11</c:f>
              <c:strCache>
                <c:ptCount val="1"/>
                <c:pt idx="0">
                  <c:v>Earned Service 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Spend'!$C$11:$N$11</c:f>
              <c:numCache>
                <c:formatCode>#,##0</c:formatCode>
                <c:ptCount val="12"/>
                <c:pt idx="0">
                  <c:v>3600</c:v>
                </c:pt>
                <c:pt idx="1">
                  <c:v>3950</c:v>
                </c:pt>
                <c:pt idx="2">
                  <c:v>4100</c:v>
                </c:pt>
                <c:pt idx="3">
                  <c:v>5500</c:v>
                </c:pt>
                <c:pt idx="4">
                  <c:v>7100</c:v>
                </c:pt>
                <c:pt idx="5">
                  <c:v>7450</c:v>
                </c:pt>
                <c:pt idx="6">
                  <c:v>8800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8E-408A-8D6E-2712D36A2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58928"/>
        <c:axId val="339634576"/>
      </c:lineChart>
      <c:catAx>
        <c:axId val="34265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34576"/>
        <c:crosses val="autoZero"/>
        <c:auto val="1"/>
        <c:lblAlgn val="ctr"/>
        <c:lblOffset val="100"/>
        <c:noMultiLvlLbl val="0"/>
      </c:catAx>
      <c:valAx>
        <c:axId val="3396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5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Spend'!$D$33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Spend'!$D$34:$D$43</c:f>
              <c:numCache>
                <c:formatCode>#,##0</c:formatCode>
                <c:ptCount val="10"/>
                <c:pt idx="0">
                  <c:v>15860</c:v>
                </c:pt>
                <c:pt idx="1">
                  <c:v>13760</c:v>
                </c:pt>
                <c:pt idx="2">
                  <c:v>14940</c:v>
                </c:pt>
                <c:pt idx="3">
                  <c:v>12653</c:v>
                </c:pt>
                <c:pt idx="4">
                  <c:v>9478</c:v>
                </c:pt>
                <c:pt idx="5">
                  <c:v>11600</c:v>
                </c:pt>
                <c:pt idx="6">
                  <c:v>13785</c:v>
                </c:pt>
                <c:pt idx="7">
                  <c:v>28283</c:v>
                </c:pt>
                <c:pt idx="8">
                  <c:v>15438</c:v>
                </c:pt>
                <c:pt idx="9">
                  <c:v>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A-4114-8208-C8186CA8DE1E}"/>
            </c:ext>
          </c:extLst>
        </c:ser>
        <c:ser>
          <c:idx val="1"/>
          <c:order val="1"/>
          <c:tx>
            <c:strRef>
              <c:f>'KPI Spend'!$E$33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Spend'!$E$34:$E$43</c:f>
              <c:numCache>
                <c:formatCode>#,##0</c:formatCode>
                <c:ptCount val="10"/>
                <c:pt idx="0">
                  <c:v>15650</c:v>
                </c:pt>
                <c:pt idx="1">
                  <c:v>13018</c:v>
                </c:pt>
                <c:pt idx="2">
                  <c:v>13259</c:v>
                </c:pt>
                <c:pt idx="3">
                  <c:v>11368</c:v>
                </c:pt>
                <c:pt idx="4">
                  <c:v>9003</c:v>
                </c:pt>
                <c:pt idx="5">
                  <c:v>10900</c:v>
                </c:pt>
                <c:pt idx="6">
                  <c:v>12550</c:v>
                </c:pt>
                <c:pt idx="7">
                  <c:v>26300</c:v>
                </c:pt>
                <c:pt idx="8">
                  <c:v>14400</c:v>
                </c:pt>
                <c:pt idx="9">
                  <c:v>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A-4114-8208-C8186CA8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0736"/>
        <c:axId val="349460544"/>
      </c:barChart>
      <c:catAx>
        <c:axId val="206281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60544"/>
        <c:crosses val="autoZero"/>
        <c:auto val="1"/>
        <c:lblAlgn val="ctr"/>
        <c:lblOffset val="100"/>
        <c:noMultiLvlLbl val="0"/>
      </c:catAx>
      <c:valAx>
        <c:axId val="349460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Spend'!$I$33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Spend'!$I$34:$I$43</c:f>
              <c:numCache>
                <c:formatCode>#,##0</c:formatCode>
                <c:ptCount val="10"/>
                <c:pt idx="0">
                  <c:v>35916</c:v>
                </c:pt>
                <c:pt idx="1">
                  <c:v>15534</c:v>
                </c:pt>
                <c:pt idx="2">
                  <c:v>20719</c:v>
                </c:pt>
                <c:pt idx="3">
                  <c:v>20242</c:v>
                </c:pt>
                <c:pt idx="4">
                  <c:v>15177</c:v>
                </c:pt>
                <c:pt idx="5">
                  <c:v>11263</c:v>
                </c:pt>
                <c:pt idx="6">
                  <c:v>18852</c:v>
                </c:pt>
                <c:pt idx="7">
                  <c:v>38380</c:v>
                </c:pt>
                <c:pt idx="8">
                  <c:v>9731</c:v>
                </c:pt>
                <c:pt idx="9">
                  <c:v>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4-470C-A0B1-44F08ABDB7B4}"/>
            </c:ext>
          </c:extLst>
        </c:ser>
        <c:ser>
          <c:idx val="1"/>
          <c:order val="1"/>
          <c:tx>
            <c:strRef>
              <c:f>'KPI Spend'!$J$33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Spend'!$J$34:$J$43</c:f>
              <c:numCache>
                <c:formatCode>#,##0</c:formatCode>
                <c:ptCount val="10"/>
                <c:pt idx="0">
                  <c:v>37957</c:v>
                </c:pt>
                <c:pt idx="1">
                  <c:v>15900</c:v>
                </c:pt>
                <c:pt idx="2">
                  <c:v>22784</c:v>
                </c:pt>
                <c:pt idx="3">
                  <c:v>26000</c:v>
                </c:pt>
                <c:pt idx="4">
                  <c:v>17581</c:v>
                </c:pt>
                <c:pt idx="5">
                  <c:v>15766</c:v>
                </c:pt>
                <c:pt idx="6">
                  <c:v>20375</c:v>
                </c:pt>
                <c:pt idx="7">
                  <c:v>39983</c:v>
                </c:pt>
                <c:pt idx="8">
                  <c:v>14240</c:v>
                </c:pt>
                <c:pt idx="9">
                  <c:v>12610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4-470C-A0B1-44F08ABD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3136"/>
        <c:axId val="349440704"/>
      </c:barChart>
      <c:catAx>
        <c:axId val="2062813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0704"/>
        <c:crosses val="autoZero"/>
        <c:auto val="1"/>
        <c:lblAlgn val="ctr"/>
        <c:lblOffset val="100"/>
        <c:noMultiLvlLbl val="0"/>
      </c:catAx>
      <c:valAx>
        <c:axId val="349440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Profit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Spend'!$L$33</c:f>
              <c:strCache>
                <c:ptCount val="1"/>
                <c:pt idx="0">
                  <c:v>GROSS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Spend'!$L$34:$L$43</c:f>
              <c:numCache>
                <c:formatCode>0%</c:formatCode>
                <c:ptCount val="10"/>
                <c:pt idx="0">
                  <c:v>0.58769133493163317</c:v>
                </c:pt>
                <c:pt idx="1">
                  <c:v>0.18125786163522012</c:v>
                </c:pt>
                <c:pt idx="2">
                  <c:v>0.4180565308988764</c:v>
                </c:pt>
                <c:pt idx="3">
                  <c:v>0.5627692307692308</c:v>
                </c:pt>
                <c:pt idx="4">
                  <c:v>0.48791308799271943</c:v>
                </c:pt>
                <c:pt idx="5">
                  <c:v>0.30863884308004569</c:v>
                </c:pt>
                <c:pt idx="6">
                  <c:v>0.38404907975460123</c:v>
                </c:pt>
                <c:pt idx="7">
                  <c:v>0.34222044368856763</c:v>
                </c:pt>
                <c:pt idx="8">
                  <c:v>-1.1235955056179775E-2</c:v>
                </c:pt>
                <c:pt idx="9">
                  <c:v>0.27145122918318793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6-4AA2-9F0B-EE4DC015F8FD}"/>
            </c:ext>
          </c:extLst>
        </c:ser>
        <c:ser>
          <c:idx val="1"/>
          <c:order val="1"/>
          <c:tx>
            <c:strRef>
              <c:f>'KPI Spend'!$M$33</c:f>
              <c:strCache>
                <c:ptCount val="1"/>
                <c:pt idx="0">
                  <c:v>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Spend'!$M$34:$M$43</c:f>
              <c:numCache>
                <c:formatCode>0%</c:formatCode>
                <c:ptCount val="10"/>
                <c:pt idx="0">
                  <c:v>0.34312511526200701</c:v>
                </c:pt>
                <c:pt idx="1">
                  <c:v>-0.23371069182389936</c:v>
                </c:pt>
                <c:pt idx="2">
                  <c:v>8.7693117977528087E-2</c:v>
                </c:pt>
                <c:pt idx="3">
                  <c:v>0.19384615384615383</c:v>
                </c:pt>
                <c:pt idx="4">
                  <c:v>1.0579602980490302E-2</c:v>
                </c:pt>
                <c:pt idx="5">
                  <c:v>-0.10300646961816567</c:v>
                </c:pt>
                <c:pt idx="6">
                  <c:v>6.1006134969325151E-2</c:v>
                </c:pt>
                <c:pt idx="7">
                  <c:v>0.1519895955781207</c:v>
                </c:pt>
                <c:pt idx="8">
                  <c:v>-0.40919943820224719</c:v>
                </c:pt>
                <c:pt idx="9">
                  <c:v>-0.23187946074544014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6-4AA2-9F0B-EE4DC015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812176"/>
        <c:axId val="350242384"/>
      </c:lineChart>
      <c:catAx>
        <c:axId val="20628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242384"/>
        <c:crosses val="autoZero"/>
        <c:auto val="1"/>
        <c:lblAlgn val="ctr"/>
        <c:lblOffset val="100"/>
        <c:noMultiLvlLbl val="0"/>
      </c:catAx>
      <c:valAx>
        <c:axId val="3502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1810916.4</c:v>
                </c:pt>
                <c:pt idx="1">
                  <c:v>4465791.5807999996</c:v>
                </c:pt>
                <c:pt idx="2">
                  <c:v>8073112.3807999995</c:v>
                </c:pt>
                <c:pt idx="3">
                  <c:v>13545694.380800003</c:v>
                </c:pt>
                <c:pt idx="4">
                  <c:v>19710636.380800001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4-4576-85A4-AE9A296A7F3E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-55839.600000000006</c:v>
                </c:pt>
                <c:pt idx="1">
                  <c:v>-69105.182400000005</c:v>
                </c:pt>
                <c:pt idx="2">
                  <c:v>-84761</c:v>
                </c:pt>
                <c:pt idx="3">
                  <c:v>-105469.40000000001</c:v>
                </c:pt>
                <c:pt idx="4">
                  <c:v>-118483.40000000001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2281448.4</c:v>
                </c:pt>
                <c:pt idx="1">
                  <c:v>4954123.5807999996</c:v>
                </c:pt>
                <c:pt idx="2">
                  <c:v>8582593.3807999995</c:v>
                </c:pt>
                <c:pt idx="3">
                  <c:v>14076712.380800003</c:v>
                </c:pt>
                <c:pt idx="4">
                  <c:v>20263036.380800001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4-4576-85A4-AE9A296A7F3E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1860606.7999999998</c:v>
                </c:pt>
                <c:pt idx="1">
                  <c:v>4721832.3983999994</c:v>
                </c:pt>
                <c:pt idx="2">
                  <c:v>8497832.3807999995</c:v>
                </c:pt>
                <c:pt idx="3">
                  <c:v>13971242.980800003</c:v>
                </c:pt>
                <c:pt idx="4">
                  <c:v>20144552.980800003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B4-4576-85A4-AE9A296A7F3E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1810916.4</c:v>
                </c:pt>
                <c:pt idx="1">
                  <c:v>4465791.5807999996</c:v>
                </c:pt>
                <c:pt idx="2">
                  <c:v>8073112.3807999995</c:v>
                </c:pt>
                <c:pt idx="3">
                  <c:v>13545694.380800003</c:v>
                </c:pt>
                <c:pt idx="4">
                  <c:v>19710636.380800001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TimeData!$C$3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TimeData!$D$3:$O$3</c:f>
              <c:numCache>
                <c:formatCode>#,##0</c:formatCode>
                <c:ptCount val="12"/>
                <c:pt idx="0" formatCode="0">
                  <c:v>37</c:v>
                </c:pt>
                <c:pt idx="1">
                  <c:v>41</c:v>
                </c:pt>
                <c:pt idx="2">
                  <c:v>46</c:v>
                </c:pt>
                <c:pt idx="3">
                  <c:v>48</c:v>
                </c:pt>
                <c:pt idx="4">
                  <c:v>45</c:v>
                </c:pt>
                <c:pt idx="5">
                  <c:v>48</c:v>
                </c:pt>
                <c:pt idx="6">
                  <c:v>51</c:v>
                </c:pt>
                <c:pt idx="7">
                  <c:v>39</c:v>
                </c:pt>
                <c:pt idx="8">
                  <c:v>45</c:v>
                </c:pt>
                <c:pt idx="9">
                  <c:v>44</c:v>
                </c:pt>
                <c:pt idx="10">
                  <c:v>44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TimeData!$C$4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TimeData!$D$4:$O$4</c:f>
              <c:numCache>
                <c:formatCode>#,##0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50</c:v>
                </c:pt>
                <c:pt idx="6">
                  <c:v>50</c:v>
                </c:pt>
                <c:pt idx="7">
                  <c:v>42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4C-42B0-B394-EA7880C87BB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4C-42B0-B394-EA7880C87BB8}"/>
              </c:ext>
            </c:extLst>
          </c:dPt>
          <c:val>
            <c:numRef>
              <c:f>TimeData!$P$5:$Q$5</c:f>
              <c:numCache>
                <c:formatCode>0.0%</c:formatCode>
                <c:ptCount val="2"/>
                <c:pt idx="0">
                  <c:v>0.97074954296160876</c:v>
                </c:pt>
                <c:pt idx="1">
                  <c:v>2.9250457038391242E-2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C-42B0-B394-EA7880C8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TimeData!$C$9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TimeData!$D$9:$O$9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80</c:v>
                </c:pt>
                <c:pt idx="3">
                  <c:v>75</c:v>
                </c:pt>
                <c:pt idx="4">
                  <c:v>92</c:v>
                </c:pt>
                <c:pt idx="5">
                  <c:v>91</c:v>
                </c:pt>
                <c:pt idx="6">
                  <c:v>96</c:v>
                </c:pt>
                <c:pt idx="7">
                  <c:v>96</c:v>
                </c:pt>
                <c:pt idx="8">
                  <c:v>65</c:v>
                </c:pt>
                <c:pt idx="9">
                  <c:v>40</c:v>
                </c:pt>
                <c:pt idx="10">
                  <c:v>66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TimeData!$C$10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TimeData!$D$10:$O$10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86</c:v>
                </c:pt>
                <c:pt idx="3">
                  <c:v>92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72</c:v>
                </c:pt>
                <c:pt idx="9">
                  <c:v>48</c:v>
                </c:pt>
                <c:pt idx="10">
                  <c:v>65</c:v>
                </c:pt>
                <c:pt idx="1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AD-456C-8660-972CE91CFAA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AD-456C-8660-972CE91CFAA3}"/>
              </c:ext>
            </c:extLst>
          </c:dPt>
          <c:val>
            <c:numRef>
              <c:f>TimeData!$P$11:$Q$11</c:f>
              <c:numCache>
                <c:formatCode>0.0%</c:formatCode>
                <c:ptCount val="2"/>
                <c:pt idx="0">
                  <c:v>0.93870967741935485</c:v>
                </c:pt>
                <c:pt idx="1">
                  <c:v>6.1290322580645151E-2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D-456C-8660-972CE91CF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TimeData!$C$6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TimeData!$D$6:$O$6</c:f>
              <c:numCache>
                <c:formatCode>#,##0</c:formatCode>
                <c:ptCount val="12"/>
                <c:pt idx="0">
                  <c:v>75</c:v>
                </c:pt>
                <c:pt idx="1">
                  <c:v>52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44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40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TimeData!$C$7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TimeData!$D$7:$O$7</c:f>
              <c:numCache>
                <c:formatCode>#,##0</c:formatCode>
                <c:ptCount val="12"/>
                <c:pt idx="0">
                  <c:v>72</c:v>
                </c:pt>
                <c:pt idx="1">
                  <c:v>56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45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48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E6-48D6-BC69-BEC546E98964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E6-48D6-BC69-BEC546E98964}"/>
              </c:ext>
            </c:extLst>
          </c:dPt>
          <c:val>
            <c:numRef>
              <c:f>TimeData!$P$8:$Q$8</c:f>
              <c:numCache>
                <c:formatCode>0.0%</c:formatCode>
                <c:ptCount val="2"/>
                <c:pt idx="0">
                  <c:v>0.98081841432225059</c:v>
                </c:pt>
                <c:pt idx="1">
                  <c:v>1.9181585677749413E-2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6-48D6-BC69-BEC546E9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TimeData!$C$12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TimeData!$D$12:$O$12</c:f>
              <c:numCache>
                <c:formatCode>#,##0</c:formatCode>
                <c:ptCount val="12"/>
                <c:pt idx="0">
                  <c:v>102</c:v>
                </c:pt>
                <c:pt idx="1">
                  <c:v>92</c:v>
                </c:pt>
                <c:pt idx="2">
                  <c:v>99</c:v>
                </c:pt>
                <c:pt idx="3">
                  <c:v>98</c:v>
                </c:pt>
                <c:pt idx="4">
                  <c:v>102</c:v>
                </c:pt>
                <c:pt idx="5">
                  <c:v>102</c:v>
                </c:pt>
                <c:pt idx="6">
                  <c:v>86</c:v>
                </c:pt>
                <c:pt idx="7">
                  <c:v>86</c:v>
                </c:pt>
                <c:pt idx="8">
                  <c:v>89</c:v>
                </c:pt>
                <c:pt idx="9">
                  <c:v>108</c:v>
                </c:pt>
                <c:pt idx="10">
                  <c:v>107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TimeData!$C$13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TimeData!$D$13:$O$13</c:f>
              <c:numCache>
                <c:formatCode>#,##0</c:formatCode>
                <c:ptCount val="12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106</c:v>
                </c:pt>
                <c:pt idx="4">
                  <c:v>109</c:v>
                </c:pt>
                <c:pt idx="5">
                  <c:v>102</c:v>
                </c:pt>
                <c:pt idx="6">
                  <c:v>102</c:v>
                </c:pt>
                <c:pt idx="7">
                  <c:v>110</c:v>
                </c:pt>
                <c:pt idx="8">
                  <c:v>95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8-449B-BF5F-DB3D5038FBE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8-449B-BF5F-DB3D5038FBE5}"/>
              </c:ext>
            </c:extLst>
          </c:dPt>
          <c:val>
            <c:numRef>
              <c:f>TimeData!$P$14:$Q$14</c:f>
              <c:numCache>
                <c:formatCode>0.0%</c:formatCode>
                <c:ptCount val="2"/>
                <c:pt idx="0">
                  <c:v>0.94255663430420711</c:v>
                </c:pt>
                <c:pt idx="1">
                  <c:v>5.7443365695792892E-2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E8-449B-BF5F-DB3D5038F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TimeData!$C$15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TimeData!$D$15:$O$15</c:f>
              <c:numCache>
                <c:formatCode>#,##0</c:formatCode>
                <c:ptCount val="12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50</c:v>
                </c:pt>
                <c:pt idx="5">
                  <c:v>60</c:v>
                </c:pt>
                <c:pt idx="6">
                  <c:v>30</c:v>
                </c:pt>
                <c:pt idx="7">
                  <c:v>23</c:v>
                </c:pt>
                <c:pt idx="8">
                  <c:v>90</c:v>
                </c:pt>
                <c:pt idx="9">
                  <c:v>66</c:v>
                </c:pt>
                <c:pt idx="10">
                  <c:v>45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TimeData!$C$16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TimeData!$D$16:$O$16</c:f>
              <c:numCache>
                <c:formatCode>#,##0</c:formatCode>
                <c:ptCount val="12"/>
                <c:pt idx="0">
                  <c:v>48</c:v>
                </c:pt>
                <c:pt idx="1">
                  <c:v>48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67</c:v>
                </c:pt>
                <c:pt idx="6">
                  <c:v>32</c:v>
                </c:pt>
                <c:pt idx="7">
                  <c:v>24</c:v>
                </c:pt>
                <c:pt idx="8">
                  <c:v>90</c:v>
                </c:pt>
                <c:pt idx="9">
                  <c:v>66</c:v>
                </c:pt>
                <c:pt idx="10">
                  <c:v>48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E-4004-BCC8-9CA0ADBC179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E-4004-BCC8-9CA0ADBC179D}"/>
              </c:ext>
            </c:extLst>
          </c:dPt>
          <c:val>
            <c:numRef>
              <c:f>TimeData!$P$17:$Q$17</c:f>
              <c:numCache>
                <c:formatCode>0.0%</c:formatCode>
                <c:ptCount val="2"/>
                <c:pt idx="0">
                  <c:v>0.9889064976228209</c:v>
                </c:pt>
                <c:pt idx="1">
                  <c:v>1.1093502377179099E-2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E-4004-BCC8-9CA0ADBC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2024'!$E$45:$I$45</c:f>
              <c:numCache>
                <c:formatCode>#,##0</c:formatCode>
                <c:ptCount val="5"/>
                <c:pt idx="0">
                  <c:v>300123</c:v>
                </c:pt>
                <c:pt idx="1">
                  <c:v>366450.91200000001</c:v>
                </c:pt>
                <c:pt idx="2">
                  <c:v>425730</c:v>
                </c:pt>
                <c:pt idx="3">
                  <c:v>585620</c:v>
                </c:pt>
                <c:pt idx="4">
                  <c:v>656590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2A-4F2A-9271-472F962DB847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2024'!$E$57:$I$57</c:f>
              <c:numCache>
                <c:formatCode>#,##0</c:formatCode>
                <c:ptCount val="5"/>
                <c:pt idx="0">
                  <c:v>279198</c:v>
                </c:pt>
                <c:pt idx="1">
                  <c:v>345525.91200000001</c:v>
                </c:pt>
                <c:pt idx="2">
                  <c:v>423805</c:v>
                </c:pt>
                <c:pt idx="3">
                  <c:v>527347</c:v>
                </c:pt>
                <c:pt idx="4">
                  <c:v>592417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A-4F2A-9271-472F962DB847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2024'!$E$64:$I$64</c:f>
              <c:numCache>
                <c:formatCode>#,##0</c:formatCode>
                <c:ptCount val="5"/>
                <c:pt idx="0">
                  <c:v>223358.4</c:v>
                </c:pt>
                <c:pt idx="1">
                  <c:v>276420.72960000002</c:v>
                </c:pt>
                <c:pt idx="2">
                  <c:v>339044</c:v>
                </c:pt>
                <c:pt idx="3">
                  <c:v>421877.6</c:v>
                </c:pt>
                <c:pt idx="4">
                  <c:v>473933.6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2A-4F2A-9271-472F962D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TimeData!$C$18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TimeData!$D$18:$O$18</c:f>
              <c:numCache>
                <c:formatCode>#,##0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21</c:v>
                </c:pt>
                <c:pt idx="3">
                  <c:v>24</c:v>
                </c:pt>
                <c:pt idx="4">
                  <c:v>24</c:v>
                </c:pt>
                <c:pt idx="5">
                  <c:v>34</c:v>
                </c:pt>
                <c:pt idx="6">
                  <c:v>52</c:v>
                </c:pt>
                <c:pt idx="7">
                  <c:v>72</c:v>
                </c:pt>
                <c:pt idx="8">
                  <c:v>70</c:v>
                </c:pt>
                <c:pt idx="9">
                  <c:v>24</c:v>
                </c:pt>
                <c:pt idx="10">
                  <c:v>40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TimeData!$C$19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TimeData!$D$19:$O$19</c:f>
              <c:numCache>
                <c:formatCode>#,##0</c:formatCode>
                <c:ptCount val="12"/>
                <c:pt idx="0">
                  <c:v>16</c:v>
                </c:pt>
                <c:pt idx="1">
                  <c:v>10</c:v>
                </c:pt>
                <c:pt idx="2">
                  <c:v>21</c:v>
                </c:pt>
                <c:pt idx="3">
                  <c:v>24</c:v>
                </c:pt>
                <c:pt idx="4">
                  <c:v>26</c:v>
                </c:pt>
                <c:pt idx="5">
                  <c:v>32</c:v>
                </c:pt>
                <c:pt idx="6">
                  <c:v>48</c:v>
                </c:pt>
                <c:pt idx="7">
                  <c:v>72</c:v>
                </c:pt>
                <c:pt idx="8">
                  <c:v>72</c:v>
                </c:pt>
                <c:pt idx="9">
                  <c:v>24</c:v>
                </c:pt>
                <c:pt idx="10">
                  <c:v>48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B8-4AA2-9E38-967594D99A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B8-4AA2-9E38-967594D99AB6}"/>
              </c:ext>
            </c:extLst>
          </c:dPt>
          <c:val>
            <c:numRef>
              <c:f>TimeData!$P$20:$Q$20</c:f>
              <c:numCache>
                <c:formatCode>0.0%</c:formatCode>
                <c:ptCount val="2"/>
                <c:pt idx="0">
                  <c:v>0.96926713947990539</c:v>
                </c:pt>
                <c:pt idx="1">
                  <c:v>3.0732860520094607E-2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8-4AA2-9E38-967594D99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2024'!$K$45:$V$45</c:f>
              <c:numCache>
                <c:formatCode>#,##0</c:formatCode>
                <c:ptCount val="12"/>
                <c:pt idx="0">
                  <c:v>338078.59200000006</c:v>
                </c:pt>
                <c:pt idx="1">
                  <c:v>342857.08799999993</c:v>
                </c:pt>
                <c:pt idx="2">
                  <c:v>347635.58399999997</c:v>
                </c:pt>
                <c:pt idx="3">
                  <c:v>352414.07999999996</c:v>
                </c:pt>
                <c:pt idx="4">
                  <c:v>350024.83200000005</c:v>
                </c:pt>
                <c:pt idx="5">
                  <c:v>353011.39199999993</c:v>
                </c:pt>
                <c:pt idx="6">
                  <c:v>363165.69600000005</c:v>
                </c:pt>
                <c:pt idx="7">
                  <c:v>358984.51199999993</c:v>
                </c:pt>
                <c:pt idx="8">
                  <c:v>372722.68800000002</c:v>
                </c:pt>
                <c:pt idx="9">
                  <c:v>374215.96799999999</c:v>
                </c:pt>
                <c:pt idx="10">
                  <c:v>364957.63199999998</c:v>
                </c:pt>
                <c:pt idx="11">
                  <c:v>366450.91200000001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7-4A6D-B199-78FC8EF8617B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2024'!$K$57:$V$57</c:f>
              <c:numCache>
                <c:formatCode>#,##0</c:formatCode>
                <c:ptCount val="12"/>
                <c:pt idx="0">
                  <c:v>317153.59200000006</c:v>
                </c:pt>
                <c:pt idx="1">
                  <c:v>321932.08799999993</c:v>
                </c:pt>
                <c:pt idx="2">
                  <c:v>326710.58399999997</c:v>
                </c:pt>
                <c:pt idx="3">
                  <c:v>331489.07999999996</c:v>
                </c:pt>
                <c:pt idx="4">
                  <c:v>329099.83200000005</c:v>
                </c:pt>
                <c:pt idx="5">
                  <c:v>332086.39199999993</c:v>
                </c:pt>
                <c:pt idx="6">
                  <c:v>342240.69600000005</c:v>
                </c:pt>
                <c:pt idx="7">
                  <c:v>338059.51199999993</c:v>
                </c:pt>
                <c:pt idx="8">
                  <c:v>351797.68800000002</c:v>
                </c:pt>
                <c:pt idx="9">
                  <c:v>353290.96799999999</c:v>
                </c:pt>
                <c:pt idx="10">
                  <c:v>344032.63199999998</c:v>
                </c:pt>
                <c:pt idx="11">
                  <c:v>345525.91200000001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7-4A6D-B199-78FC8EF8617B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2024'!$K$64:$V$64</c:f>
              <c:numCache>
                <c:formatCode>#,##0</c:formatCode>
                <c:ptCount val="12"/>
                <c:pt idx="0">
                  <c:v>253722.87360000005</c:v>
                </c:pt>
                <c:pt idx="1">
                  <c:v>257545.67039999994</c:v>
                </c:pt>
                <c:pt idx="2">
                  <c:v>261368.46719999998</c:v>
                </c:pt>
                <c:pt idx="3">
                  <c:v>265191.26399999997</c:v>
                </c:pt>
                <c:pt idx="4">
                  <c:v>263279.86560000002</c:v>
                </c:pt>
                <c:pt idx="5">
                  <c:v>265669.11359999992</c:v>
                </c:pt>
                <c:pt idx="6">
                  <c:v>273792.55680000002</c:v>
                </c:pt>
                <c:pt idx="7">
                  <c:v>270447.60959999997</c:v>
                </c:pt>
                <c:pt idx="8">
                  <c:v>281438.15040000004</c:v>
                </c:pt>
                <c:pt idx="9">
                  <c:v>282632.77439999999</c:v>
                </c:pt>
                <c:pt idx="10">
                  <c:v>275226.10560000001</c:v>
                </c:pt>
                <c:pt idx="11">
                  <c:v>276420.72960000002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7-4A6D-B199-78FC8EF86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170658</c:v>
                </c:pt>
                <c:pt idx="1">
                  <c:v>264083.52960000001</c:v>
                </c:pt>
                <c:pt idx="2">
                  <c:v>340344</c:v>
                </c:pt>
                <c:pt idx="3">
                  <c:v>479525.6</c:v>
                </c:pt>
                <c:pt idx="4">
                  <c:v>537481.6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2-4A03-952F-673C721080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2-4A03-952F-673C721080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170658</c:v>
                </c:pt>
                <c:pt idx="1">
                  <c:v>264083.52960000001</c:v>
                </c:pt>
                <c:pt idx="2">
                  <c:v>340344</c:v>
                </c:pt>
                <c:pt idx="3">
                  <c:v>479525.6</c:v>
                </c:pt>
                <c:pt idx="4">
                  <c:v>537481.6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2-4A03-952F-673C721080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324498</c:v>
                </c:pt>
                <c:pt idx="1">
                  <c:v>511349.05920000002</c:v>
                </c:pt>
                <c:pt idx="2">
                  <c:v>680688</c:v>
                </c:pt>
                <c:pt idx="3">
                  <c:v>959051.20000000007</c:v>
                </c:pt>
                <c:pt idx="4">
                  <c:v>1074963.2000000002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4" Type="http://schemas.openxmlformats.org/officeDocument/2006/relationships/chart" Target="../charts/chart59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12" Type="http://schemas.openxmlformats.org/officeDocument/2006/relationships/chart" Target="../charts/chart71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11" Type="http://schemas.openxmlformats.org/officeDocument/2006/relationships/chart" Target="../charts/chart70.xml"/><Relationship Id="rId5" Type="http://schemas.openxmlformats.org/officeDocument/2006/relationships/chart" Target="../charts/chart64.xml"/><Relationship Id="rId10" Type="http://schemas.openxmlformats.org/officeDocument/2006/relationships/chart" Target="../charts/chart69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66</xdr:row>
      <xdr:rowOff>80010</xdr:rowOff>
    </xdr:from>
    <xdr:to>
      <xdr:col>9</xdr:col>
      <xdr:colOff>15240</xdr:colOff>
      <xdr:row>81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66</xdr:row>
      <xdr:rowOff>110490</xdr:rowOff>
    </xdr:from>
    <xdr:to>
      <xdr:col>22</xdr:col>
      <xdr:colOff>15240</xdr:colOff>
      <xdr:row>81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15875</xdr:colOff>
      <xdr:row>99</xdr:row>
      <xdr:rowOff>116681</xdr:rowOff>
    </xdr:from>
    <xdr:to>
      <xdr:col>21</xdr:col>
      <xdr:colOff>650875</xdr:colOff>
      <xdr:row>128</xdr:row>
      <xdr:rowOff>15875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158748</xdr:colOff>
      <xdr:row>99</xdr:row>
      <xdr:rowOff>100804</xdr:rowOff>
    </xdr:from>
    <xdr:to>
      <xdr:col>9</xdr:col>
      <xdr:colOff>23812</xdr:colOff>
      <xdr:row>128</xdr:row>
      <xdr:rowOff>23813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3810</xdr:rowOff>
    </xdr:from>
    <xdr:to>
      <xdr:col>9</xdr:col>
      <xdr:colOff>22860</xdr:colOff>
      <xdr:row>30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3810</xdr:rowOff>
    </xdr:from>
    <xdr:to>
      <xdr:col>20</xdr:col>
      <xdr:colOff>0</xdr:colOff>
      <xdr:row>30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220245</xdr:colOff>
      <xdr:row>20</xdr:row>
      <xdr:rowOff>6620</xdr:rowOff>
    </xdr:from>
    <xdr:to>
      <xdr:col>23</xdr:col>
      <xdr:colOff>815473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222250</xdr:colOff>
      <xdr:row>5</xdr:row>
      <xdr:rowOff>0</xdr:rowOff>
    </xdr:from>
    <xdr:to>
      <xdr:col>23</xdr:col>
      <xdr:colOff>812800</xdr:colOff>
      <xdr:row>17</xdr:row>
      <xdr:rowOff>294105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23</xdr:row>
      <xdr:rowOff>1906</xdr:rowOff>
    </xdr:from>
    <xdr:to>
      <xdr:col>13</xdr:col>
      <xdr:colOff>30480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121920</xdr:colOff>
      <xdr:row>92</xdr:row>
      <xdr:rowOff>80010</xdr:rowOff>
    </xdr:from>
    <xdr:to>
      <xdr:col>11</xdr:col>
      <xdr:colOff>236220</xdr:colOff>
      <xdr:row>107</xdr:row>
      <xdr:rowOff>80010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106680</xdr:colOff>
      <xdr:row>44</xdr:row>
      <xdr:rowOff>53340</xdr:rowOff>
    </xdr:from>
    <xdr:to>
      <xdr:col>12</xdr:col>
      <xdr:colOff>58287</xdr:colOff>
      <xdr:row>66</xdr:row>
      <xdr:rowOff>65548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102870</xdr:rowOff>
    </xdr:from>
    <xdr:to>
      <xdr:col>15</xdr:col>
      <xdr:colOff>7620</xdr:colOff>
      <xdr:row>29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43</xdr:row>
      <xdr:rowOff>316230</xdr:rowOff>
    </xdr:from>
    <xdr:to>
      <xdr:col>8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1089660</xdr:colOff>
      <xdr:row>43</xdr:row>
      <xdr:rowOff>308610</xdr:rowOff>
    </xdr:from>
    <xdr:to>
      <xdr:col>15</xdr:col>
      <xdr:colOff>274320</xdr:colOff>
      <xdr:row>63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62</xdr:row>
      <xdr:rowOff>163830</xdr:rowOff>
    </xdr:from>
    <xdr:to>
      <xdr:col>15</xdr:col>
      <xdr:colOff>281940</xdr:colOff>
      <xdr:row>77</xdr:row>
      <xdr:rowOff>163830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3</xdr:row>
      <xdr:rowOff>53340</xdr:rowOff>
    </xdr:from>
    <xdr:to>
      <xdr:col>11</xdr:col>
      <xdr:colOff>670560</xdr:colOff>
      <xdr:row>12</xdr:row>
      <xdr:rowOff>220980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91440</xdr:colOff>
      <xdr:row>4</xdr:row>
      <xdr:rowOff>68580</xdr:rowOff>
    </xdr:from>
    <xdr:to>
      <xdr:col>4</xdr:col>
      <xdr:colOff>488726</xdr:colOff>
      <xdr:row>12</xdr:row>
      <xdr:rowOff>83820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472440</xdr:colOff>
      <xdr:row>7</xdr:row>
      <xdr:rowOff>30480</xdr:rowOff>
    </xdr:from>
    <xdr:ext cx="1516380" cy="530658"/>
    <xdr:sp macro="" textlink="TimeData!P5">
      <xdr:nvSpPr>
        <xdr:cNvPr id="4" name="CaixaDeTexto 4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 txBox="1"/>
      </xdr:nvSpPr>
      <xdr:spPr>
        <a:xfrm>
          <a:off x="594360" y="1623060"/>
          <a:ext cx="151638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111634CF-465E-473D-89A6-9B77C1258CAF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97.1%</a:t>
          </a:fld>
          <a:endParaRPr lang="fr-CA" sz="2800" b="0"/>
        </a:p>
      </xdr:txBody>
    </xdr:sp>
    <xdr:clientData/>
  </xdr:oneCellAnchor>
  <xdr:twoCellAnchor>
    <xdr:from>
      <xdr:col>4</xdr:col>
      <xdr:colOff>457200</xdr:colOff>
      <xdr:row>14</xdr:row>
      <xdr:rowOff>53340</xdr:rowOff>
    </xdr:from>
    <xdr:to>
      <xdr:col>11</xdr:col>
      <xdr:colOff>670560</xdr:colOff>
      <xdr:row>23</xdr:row>
      <xdr:rowOff>220980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91440</xdr:colOff>
      <xdr:row>15</xdr:row>
      <xdr:rowOff>68580</xdr:rowOff>
    </xdr:from>
    <xdr:to>
      <xdr:col>4</xdr:col>
      <xdr:colOff>488726</xdr:colOff>
      <xdr:row>23</xdr:row>
      <xdr:rowOff>83820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441960</xdr:colOff>
      <xdr:row>18</xdr:row>
      <xdr:rowOff>0</xdr:rowOff>
    </xdr:from>
    <xdr:ext cx="1524000" cy="530658"/>
    <xdr:sp macro="" textlink="TimeData!P11">
      <xdr:nvSpPr>
        <xdr:cNvPr id="7" name="CaixaDeTexto 7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 txBox="1"/>
      </xdr:nvSpPr>
      <xdr:spPr>
        <a:xfrm>
          <a:off x="563880" y="43662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0EFF5A92-6150-4641-824C-DD8696C95D78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93.9%</a:t>
          </a:fld>
          <a:endParaRPr lang="fr-CA" sz="2800" b="0"/>
        </a:p>
      </xdr:txBody>
    </xdr:sp>
    <xdr:clientData/>
  </xdr:oneCellAnchor>
  <xdr:twoCellAnchor>
    <xdr:from>
      <xdr:col>16</xdr:col>
      <xdr:colOff>495300</xdr:colOff>
      <xdr:row>3</xdr:row>
      <xdr:rowOff>53340</xdr:rowOff>
    </xdr:from>
    <xdr:to>
      <xdr:col>23</xdr:col>
      <xdr:colOff>662940</xdr:colOff>
      <xdr:row>12</xdr:row>
      <xdr:rowOff>220980</xdr:rowOff>
    </xdr:to>
    <xdr:graphicFrame macro="">
      <xdr:nvGraphicFramePr>
        <xdr:cNvPr id="8" name="Gráfico 8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91440</xdr:colOff>
      <xdr:row>4</xdr:row>
      <xdr:rowOff>68580</xdr:rowOff>
    </xdr:from>
    <xdr:to>
      <xdr:col>16</xdr:col>
      <xdr:colOff>488726</xdr:colOff>
      <xdr:row>12</xdr:row>
      <xdr:rowOff>83820</xdr:rowOff>
    </xdr:to>
    <xdr:graphicFrame macro="">
      <xdr:nvGraphicFramePr>
        <xdr:cNvPr id="9" name="Gráfico 9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13</xdr:col>
      <xdr:colOff>396240</xdr:colOff>
      <xdr:row>7</xdr:row>
      <xdr:rowOff>0</xdr:rowOff>
    </xdr:from>
    <xdr:ext cx="1569720" cy="530658"/>
    <xdr:sp macro="" textlink="TimeData!P8">
      <xdr:nvSpPr>
        <xdr:cNvPr id="10" name="CaixaDeTexto 10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7490460" y="1592580"/>
          <a:ext cx="15697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AD00BC9-D633-42E1-B43C-C6BE88982D43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98.1%</a:t>
          </a:fld>
          <a:endParaRPr lang="fr-CA" sz="2800" b="0"/>
        </a:p>
      </xdr:txBody>
    </xdr:sp>
    <xdr:clientData/>
  </xdr:oneCellAnchor>
  <xdr:twoCellAnchor>
    <xdr:from>
      <xdr:col>16</xdr:col>
      <xdr:colOff>457200</xdr:colOff>
      <xdr:row>14</xdr:row>
      <xdr:rowOff>53340</xdr:rowOff>
    </xdr:from>
    <xdr:to>
      <xdr:col>23</xdr:col>
      <xdr:colOff>685800</xdr:colOff>
      <xdr:row>23</xdr:row>
      <xdr:rowOff>220980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91440</xdr:colOff>
      <xdr:row>15</xdr:row>
      <xdr:rowOff>68580</xdr:rowOff>
    </xdr:from>
    <xdr:to>
      <xdr:col>16</xdr:col>
      <xdr:colOff>488726</xdr:colOff>
      <xdr:row>23</xdr:row>
      <xdr:rowOff>83820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13</xdr:col>
      <xdr:colOff>441960</xdr:colOff>
      <xdr:row>18</xdr:row>
      <xdr:rowOff>45720</xdr:rowOff>
    </xdr:from>
    <xdr:ext cx="1531620" cy="530658"/>
    <xdr:sp macro="" textlink="TimeData!P14">
      <xdr:nvSpPr>
        <xdr:cNvPr id="13" name="CaixaDeTexto 13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/>
      </xdr:nvSpPr>
      <xdr:spPr>
        <a:xfrm>
          <a:off x="7536180" y="441198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B3DFBA9D-7221-4144-86D6-3770360B5339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94.3%</a:t>
          </a:fld>
          <a:endParaRPr lang="fr-CA" sz="2800" b="0"/>
        </a:p>
      </xdr:txBody>
    </xdr:sp>
    <xdr:clientData/>
  </xdr:oneCellAnchor>
  <xdr:twoCellAnchor>
    <xdr:from>
      <xdr:col>5</xdr:col>
      <xdr:colOff>45720</xdr:colOff>
      <xdr:row>25</xdr:row>
      <xdr:rowOff>53340</xdr:rowOff>
    </xdr:from>
    <xdr:to>
      <xdr:col>11</xdr:col>
      <xdr:colOff>571500</xdr:colOff>
      <xdr:row>34</xdr:row>
      <xdr:rowOff>220980</xdr:rowOff>
    </xdr:to>
    <xdr:graphicFrame macro="">
      <xdr:nvGraphicFramePr>
        <xdr:cNvPr id="14" name="Gráfico 5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91440</xdr:colOff>
      <xdr:row>26</xdr:row>
      <xdr:rowOff>68580</xdr:rowOff>
    </xdr:from>
    <xdr:to>
      <xdr:col>4</xdr:col>
      <xdr:colOff>488726</xdr:colOff>
      <xdr:row>34</xdr:row>
      <xdr:rowOff>83820</xdr:rowOff>
    </xdr:to>
    <xdr:graphicFrame macro="">
      <xdr:nvGraphicFramePr>
        <xdr:cNvPr id="15" name="Gráfico 6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</xdr:col>
      <xdr:colOff>441960</xdr:colOff>
      <xdr:row>29</xdr:row>
      <xdr:rowOff>0</xdr:rowOff>
    </xdr:from>
    <xdr:ext cx="1524000" cy="530658"/>
    <xdr:sp macro="" textlink="TimeData!P17">
      <xdr:nvSpPr>
        <xdr:cNvPr id="16" name="CaixaDeTexto 7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 txBox="1"/>
      </xdr:nvSpPr>
      <xdr:spPr>
        <a:xfrm>
          <a:off x="563880" y="72999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C3C28BB5-0173-4B13-AEFC-30DE6C9CC4E4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98.9%</a:t>
          </a:fld>
          <a:endParaRPr lang="fr-CA" sz="2800" b="0"/>
        </a:p>
      </xdr:txBody>
    </xdr:sp>
    <xdr:clientData/>
  </xdr:oneCellAnchor>
  <xdr:twoCellAnchor>
    <xdr:from>
      <xdr:col>17</xdr:col>
      <xdr:colOff>45720</xdr:colOff>
      <xdr:row>25</xdr:row>
      <xdr:rowOff>53340</xdr:rowOff>
    </xdr:from>
    <xdr:to>
      <xdr:col>23</xdr:col>
      <xdr:colOff>571500</xdr:colOff>
      <xdr:row>34</xdr:row>
      <xdr:rowOff>220980</xdr:rowOff>
    </xdr:to>
    <xdr:graphicFrame macro="">
      <xdr:nvGraphicFramePr>
        <xdr:cNvPr id="17" name="Gráfico 11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91440</xdr:colOff>
      <xdr:row>26</xdr:row>
      <xdr:rowOff>68580</xdr:rowOff>
    </xdr:from>
    <xdr:to>
      <xdr:col>16</xdr:col>
      <xdr:colOff>488726</xdr:colOff>
      <xdr:row>34</xdr:row>
      <xdr:rowOff>83820</xdr:rowOff>
    </xdr:to>
    <xdr:graphicFrame macro="">
      <xdr:nvGraphicFramePr>
        <xdr:cNvPr id="18" name="Gráfico 12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13</xdr:col>
      <xdr:colOff>441960</xdr:colOff>
      <xdr:row>29</xdr:row>
      <xdr:rowOff>45720</xdr:rowOff>
    </xdr:from>
    <xdr:ext cx="1531620" cy="530658"/>
    <xdr:sp macro="" textlink="TimeData!P20">
      <xdr:nvSpPr>
        <xdr:cNvPr id="19" name="CaixaDeTexto 13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 txBox="1"/>
      </xdr:nvSpPr>
      <xdr:spPr>
        <a:xfrm>
          <a:off x="7536180" y="728472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85598F7-2DA9-4344-887A-87D8D498C8D5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96.9%</a:t>
          </a:fld>
          <a:endParaRPr lang="fr-CA" sz="28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24</xdr:col>
      <xdr:colOff>593558</xdr:colOff>
      <xdr:row>22</xdr:row>
      <xdr:rowOff>154007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E6A6F1-24E6-49E1-A8CC-ABAFED169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8019</xdr:colOff>
      <xdr:row>23</xdr:row>
      <xdr:rowOff>75399</xdr:rowOff>
    </xdr:from>
    <xdr:to>
      <xdr:col>24</xdr:col>
      <xdr:colOff>601577</xdr:colOff>
      <xdr:row>42</xdr:row>
      <xdr:rowOff>137965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EF6146-5BB5-4855-AD80-BDCBA0928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8020</xdr:colOff>
      <xdr:row>43</xdr:row>
      <xdr:rowOff>59358</xdr:rowOff>
    </xdr:from>
    <xdr:to>
      <xdr:col>25</xdr:col>
      <xdr:colOff>8019</xdr:colOff>
      <xdr:row>63</xdr:row>
      <xdr:rowOff>19253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2280BE-025B-4F8B-94F2-819E9AB50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10426</xdr:colOff>
      <xdr:row>63</xdr:row>
      <xdr:rowOff>150798</xdr:rowOff>
    </xdr:from>
    <xdr:to>
      <xdr:col>24</xdr:col>
      <xdr:colOff>563878</xdr:colOff>
      <xdr:row>85</xdr:row>
      <xdr:rowOff>145986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899E04-540C-4237-9740-3639ADE95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18046</xdr:colOff>
      <xdr:row>86</xdr:row>
      <xdr:rowOff>115505</xdr:rowOff>
    </xdr:from>
    <xdr:to>
      <xdr:col>24</xdr:col>
      <xdr:colOff>531393</xdr:colOff>
      <xdr:row>109</xdr:row>
      <xdr:rowOff>8106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E0ACB1-D9BF-4BEE-896F-8064CCE89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23</xdr:col>
      <xdr:colOff>594360</xdr:colOff>
      <xdr:row>21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D73413-FF3D-498D-9194-0FDC104A3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22</xdr:row>
      <xdr:rowOff>22860</xdr:rowOff>
    </xdr:from>
    <xdr:to>
      <xdr:col>23</xdr:col>
      <xdr:colOff>601980</xdr:colOff>
      <xdr:row>43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24C383-FA29-4308-9BFC-D7F495927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</xdr:colOff>
      <xdr:row>44</xdr:row>
      <xdr:rowOff>22860</xdr:rowOff>
    </xdr:from>
    <xdr:to>
      <xdr:col>24</xdr:col>
      <xdr:colOff>0</xdr:colOff>
      <xdr:row>65</xdr:row>
      <xdr:rowOff>144780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DA962F-3B59-47AA-AD83-F3BE1FFDB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</xdr:colOff>
      <xdr:row>65</xdr:row>
      <xdr:rowOff>175260</xdr:rowOff>
    </xdr:from>
    <xdr:to>
      <xdr:col>23</xdr:col>
      <xdr:colOff>594360</xdr:colOff>
      <xdr:row>88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308539-C9A5-4BFC-96FF-DFA951FD0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</xdr:colOff>
      <xdr:row>88</xdr:row>
      <xdr:rowOff>68580</xdr:rowOff>
    </xdr:from>
    <xdr:to>
      <xdr:col>23</xdr:col>
      <xdr:colOff>594360</xdr:colOff>
      <xdr:row>109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75A6A53-CECF-4570-B773-225B0C0CB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548640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5B770F-C78F-4618-8FAA-8A1286B15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21</xdr:row>
      <xdr:rowOff>38100</xdr:rowOff>
    </xdr:from>
    <xdr:to>
      <xdr:col>24</xdr:col>
      <xdr:colOff>15240</xdr:colOff>
      <xdr:row>41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3BCD18-3C81-465B-A72A-3869E9875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594360</xdr:colOff>
      <xdr:row>1</xdr:row>
      <xdr:rowOff>15240</xdr:rowOff>
    </xdr:from>
    <xdr:to>
      <xdr:col>24</xdr:col>
      <xdr:colOff>15240</xdr:colOff>
      <xdr:row>21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0F6D57-59C1-4EE8-9C62-9DC4919D9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22860</xdr:colOff>
      <xdr:row>41</xdr:row>
      <xdr:rowOff>68580</xdr:rowOff>
    </xdr:from>
    <xdr:to>
      <xdr:col>12</xdr:col>
      <xdr:colOff>579120</xdr:colOff>
      <xdr:row>64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AD5633-3B13-4DDC-8F0C-EDEE5CCC6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7620</xdr:colOff>
      <xdr:row>41</xdr:row>
      <xdr:rowOff>76200</xdr:rowOff>
    </xdr:from>
    <xdr:to>
      <xdr:col>24</xdr:col>
      <xdr:colOff>182880</xdr:colOff>
      <xdr:row>64</xdr:row>
      <xdr:rowOff>7620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A33052-A559-4EB7-9D3C-CE4EA2082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7620</xdr:colOff>
      <xdr:row>64</xdr:row>
      <xdr:rowOff>45720</xdr:rowOff>
    </xdr:from>
    <xdr:to>
      <xdr:col>12</xdr:col>
      <xdr:colOff>594360</xdr:colOff>
      <xdr:row>90</xdr:row>
      <xdr:rowOff>83820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99BBEF5-B854-4F56-851E-DC3825164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64</xdr:row>
      <xdr:rowOff>53340</xdr:rowOff>
    </xdr:from>
    <xdr:to>
      <xdr:col>24</xdr:col>
      <xdr:colOff>167640</xdr:colOff>
      <xdr:row>90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238225F-C8A8-4FAC-B8CF-59D5E0A7B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5</xdr:row>
      <xdr:rowOff>7620</xdr:rowOff>
    </xdr:from>
    <xdr:to>
      <xdr:col>17</xdr:col>
      <xdr:colOff>0</xdr:colOff>
      <xdr:row>20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D21203-E486-4586-AFC9-6F592D61DFCC}" name="Table132" displayName="Table132" ref="C5:K21" totalsRowShown="0" headerRowDxfId="13" dataDxfId="11" headerRowBorderDxfId="12" tableBorderDxfId="10" totalsRowBorderDxfId="9">
  <autoFilter ref="C5:K21" xr:uid="{EBD21203-E486-4586-AFC9-6F592D61DFCC}"/>
  <tableColumns count="9">
    <tableColumn id="1" xr3:uid="{8D2D7101-D3FE-421B-87F9-C86C66773D49}" name="Service" dataDxfId="8"/>
    <tableColumn id="3" xr3:uid="{F55B9943-3B62-49D3-BB11-14993B0D270B}" name="Actual" dataDxfId="7"/>
    <tableColumn id="4" xr3:uid="{37E28A73-E2A0-4B9E-8787-FFF5B4E95B08}" name="Target" dataDxfId="6"/>
    <tableColumn id="6" xr3:uid="{234C9C82-D518-4D19-A7F8-EDB9AB63E9C9}" name="% Of Costs" dataDxfId="5">
      <calculatedColumnFormula>D6/E6</calculatedColumnFormula>
    </tableColumn>
    <tableColumn id="5" xr3:uid="{AC96A10F-40BF-4DA2-A0A3-46BA470C2E6E}" name="Variance" dataDxfId="4">
      <calculatedColumnFormula>IF(ISBLANK(D6-E6),"",(D6-E6))</calculatedColumnFormula>
    </tableColumn>
    <tableColumn id="2" xr3:uid="{7B3113D1-1BEE-4F14-857C-3D27E19F9EA9}" name="Average" dataDxfId="3"/>
    <tableColumn id="7" xr3:uid="{57424F22-F241-4C83-B318-02C72B2E4298}" name="Totals" dataDxfId="2"/>
    <tableColumn id="8" xr3:uid="{96BBA01E-6EAC-433D-9785-566FBAF9FC5E}" name="Overuns" dataDxfId="1"/>
    <tableColumn id="9" xr3:uid="{0E2464E4-875E-430F-91F2-506267071B3A}" name="Totals2" dataDxfId="0">
      <calculatedColumnFormula>SUM(Table132[[#This Row],[Totals]:[Overuns]])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2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9B64-5E41-41B5-BB65-3C913EE02CC6}">
  <sheetPr codeName="Sheet21"/>
  <dimension ref="A1:AP79"/>
  <sheetViews>
    <sheetView showGridLines="0" workbookViewId="0">
      <selection activeCell="J48" sqref="J48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27" bestFit="1" customWidth="1"/>
    <col min="7" max="8" width="10" bestFit="1" customWidth="1"/>
    <col min="9" max="9" width="9.88671875" customWidth="1"/>
    <col min="10" max="10" width="11.44140625" bestFit="1" customWidth="1"/>
    <col min="11" max="12" width="10" bestFit="1" customWidth="1"/>
    <col min="13" max="13" width="11.44140625" bestFit="1" customWidth="1"/>
    <col min="14" max="14" width="9.5546875" customWidth="1"/>
    <col min="15" max="15" width="10" bestFit="1" customWidth="1"/>
    <col min="16" max="17" width="11.44140625" bestFit="1" customWidth="1"/>
    <col min="18" max="19" width="10" bestFit="1" customWidth="1"/>
    <col min="20" max="20" width="9.33203125" customWidth="1"/>
    <col min="21" max="21" width="9.88671875" bestFit="1" customWidth="1"/>
  </cols>
  <sheetData>
    <row r="1" spans="1:42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42" ht="18" x14ac:dyDescent="0.35">
      <c r="A2" s="9"/>
      <c r="B2" s="132" t="s">
        <v>140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O2" s="303"/>
      <c r="P2" s="9"/>
      <c r="Q2" s="9"/>
      <c r="R2" s="9"/>
      <c r="S2" s="9"/>
      <c r="T2" s="9"/>
      <c r="U2" s="9"/>
    </row>
    <row r="3" spans="1:42" x14ac:dyDescent="0.3">
      <c r="A3" s="9"/>
      <c r="B3" s="9" t="s">
        <v>141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42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42" x14ac:dyDescent="0.3">
      <c r="A5" s="141"/>
      <c r="B5" s="144" t="s">
        <v>170</v>
      </c>
      <c r="C5" s="141"/>
      <c r="D5" s="141"/>
      <c r="E5" s="141"/>
      <c r="F5" s="194">
        <v>2023</v>
      </c>
      <c r="G5" s="194">
        <v>2023</v>
      </c>
      <c r="H5" s="194">
        <v>2023</v>
      </c>
      <c r="I5" s="194">
        <v>2023</v>
      </c>
      <c r="J5" s="194">
        <v>2023</v>
      </c>
      <c r="K5" s="194">
        <v>2023</v>
      </c>
      <c r="L5" s="194">
        <v>2023</v>
      </c>
      <c r="M5" s="194">
        <v>2023</v>
      </c>
      <c r="N5" s="194">
        <v>2023</v>
      </c>
      <c r="O5" s="194">
        <v>2023</v>
      </c>
      <c r="P5" s="194">
        <v>2023</v>
      </c>
      <c r="Q5" s="194">
        <v>2023</v>
      </c>
      <c r="R5" s="194">
        <v>2024</v>
      </c>
      <c r="S5" s="194">
        <v>2024</v>
      </c>
      <c r="T5" s="194">
        <v>2024</v>
      </c>
      <c r="U5" s="145" t="s">
        <v>72</v>
      </c>
    </row>
    <row r="6" spans="1:42" ht="15" thickBot="1" x14ac:dyDescent="0.35">
      <c r="A6" s="143"/>
      <c r="B6" s="151" t="s">
        <v>64</v>
      </c>
      <c r="C6" s="143"/>
      <c r="D6" s="143"/>
      <c r="E6" s="143"/>
      <c r="F6" s="193" t="s">
        <v>25</v>
      </c>
      <c r="G6" s="193" t="s">
        <v>26</v>
      </c>
      <c r="H6" s="193" t="s">
        <v>27</v>
      </c>
      <c r="I6" s="193" t="s">
        <v>28</v>
      </c>
      <c r="J6" s="193" t="s">
        <v>29</v>
      </c>
      <c r="K6" s="193" t="s">
        <v>30</v>
      </c>
      <c r="L6" s="193" t="s">
        <v>31</v>
      </c>
      <c r="M6" s="193" t="s">
        <v>32</v>
      </c>
      <c r="N6" s="193" t="s">
        <v>33</v>
      </c>
      <c r="O6" s="193" t="s">
        <v>34</v>
      </c>
      <c r="P6" s="193" t="s">
        <v>35</v>
      </c>
      <c r="Q6" s="193" t="s">
        <v>36</v>
      </c>
      <c r="R6" s="193" t="s">
        <v>25</v>
      </c>
      <c r="S6" s="193" t="s">
        <v>26</v>
      </c>
      <c r="T6" s="193" t="s">
        <v>27</v>
      </c>
      <c r="U6" s="157"/>
    </row>
    <row r="7" spans="1:42" s="126" customForma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2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9"/>
      <c r="B8" s="9"/>
      <c r="C8" s="135" t="s">
        <v>281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42" x14ac:dyDescent="0.3">
      <c r="A9" s="9"/>
      <c r="B9" s="9"/>
      <c r="C9" s="135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42" x14ac:dyDescent="0.3">
      <c r="A10" s="9"/>
      <c r="B10" s="9"/>
      <c r="C10" s="135" t="s">
        <v>2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42" ht="10.199999999999999" customHeight="1" x14ac:dyDescent="0.3">
      <c r="A11" s="9"/>
      <c r="B11" s="9"/>
      <c r="C11" s="13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42" x14ac:dyDescent="0.3">
      <c r="A12" s="9"/>
      <c r="B12" s="9"/>
      <c r="C12" s="136" t="s">
        <v>305</v>
      </c>
      <c r="D12" s="9"/>
      <c r="E12" s="9"/>
      <c r="F12" s="208">
        <v>280000</v>
      </c>
      <c r="G12" s="208">
        <v>270555</v>
      </c>
      <c r="H12" s="208">
        <v>286778</v>
      </c>
      <c r="I12" s="208">
        <v>295112</v>
      </c>
      <c r="J12" s="208">
        <v>320445</v>
      </c>
      <c r="K12" s="208">
        <v>349015</v>
      </c>
      <c r="L12" s="208">
        <v>357998</v>
      </c>
      <c r="M12" s="208">
        <v>360821</v>
      </c>
      <c r="N12" s="208">
        <v>350123</v>
      </c>
      <c r="O12" s="208">
        <v>330015</v>
      </c>
      <c r="P12" s="208">
        <v>313011</v>
      </c>
      <c r="Q12" s="208">
        <v>300123</v>
      </c>
      <c r="R12" s="149">
        <f>'IS 2024'!F12</f>
        <v>338078.59200000006</v>
      </c>
      <c r="S12" s="149">
        <f>'IS 2024'!G12</f>
        <v>342857.08799999993</v>
      </c>
      <c r="T12" s="149">
        <f>'IS 2024'!H12</f>
        <v>347635.58399999997</v>
      </c>
      <c r="U12" s="9"/>
    </row>
    <row r="13" spans="1:42" x14ac:dyDescent="0.3">
      <c r="A13" s="141"/>
      <c r="B13" s="141"/>
      <c r="C13" s="144" t="s">
        <v>115</v>
      </c>
      <c r="D13" s="141"/>
      <c r="E13" s="141"/>
      <c r="F13" s="142">
        <f t="shared" ref="F13:T13" si="0">SUM(F12:F12)</f>
        <v>280000</v>
      </c>
      <c r="G13" s="142">
        <f t="shared" si="0"/>
        <v>270555</v>
      </c>
      <c r="H13" s="142">
        <f t="shared" si="0"/>
        <v>286778</v>
      </c>
      <c r="I13" s="142">
        <f t="shared" si="0"/>
        <v>295112</v>
      </c>
      <c r="J13" s="142">
        <f t="shared" si="0"/>
        <v>320445</v>
      </c>
      <c r="K13" s="142">
        <f t="shared" si="0"/>
        <v>349015</v>
      </c>
      <c r="L13" s="142">
        <f t="shared" si="0"/>
        <v>357998</v>
      </c>
      <c r="M13" s="142">
        <f t="shared" si="0"/>
        <v>360821</v>
      </c>
      <c r="N13" s="142">
        <f t="shared" si="0"/>
        <v>350123</v>
      </c>
      <c r="O13" s="142">
        <f t="shared" si="0"/>
        <v>330015</v>
      </c>
      <c r="P13" s="142">
        <f t="shared" si="0"/>
        <v>313011</v>
      </c>
      <c r="Q13" s="142">
        <f t="shared" si="0"/>
        <v>300123</v>
      </c>
      <c r="R13" s="142">
        <f t="shared" si="0"/>
        <v>338078.59200000006</v>
      </c>
      <c r="S13" s="142">
        <f t="shared" si="0"/>
        <v>342857.08799999993</v>
      </c>
      <c r="T13" s="142">
        <f t="shared" si="0"/>
        <v>347635.58399999997</v>
      </c>
      <c r="U13" s="153">
        <f>SUM(F13:Q13)</f>
        <v>3813996</v>
      </c>
    </row>
    <row r="14" spans="1:42" x14ac:dyDescent="0.3">
      <c r="A14" s="143"/>
      <c r="B14" s="143"/>
      <c r="C14" s="151" t="s">
        <v>116</v>
      </c>
      <c r="D14" s="143"/>
      <c r="E14" s="143"/>
      <c r="F14" s="152">
        <f>SUM(F15:F20)</f>
        <v>-10390</v>
      </c>
      <c r="G14" s="152">
        <f t="shared" ref="G14:T14" si="1">SUM(G15:G20)</f>
        <v>-10390</v>
      </c>
      <c r="H14" s="152">
        <f t="shared" si="1"/>
        <v>-10390</v>
      </c>
      <c r="I14" s="152">
        <f t="shared" si="1"/>
        <v>-10390</v>
      </c>
      <c r="J14" s="152">
        <f t="shared" si="1"/>
        <v>-10390</v>
      </c>
      <c r="K14" s="152">
        <f t="shared" si="1"/>
        <v>-10390</v>
      </c>
      <c r="L14" s="152">
        <f t="shared" si="1"/>
        <v>-10390</v>
      </c>
      <c r="M14" s="152">
        <f t="shared" si="1"/>
        <v>-10390</v>
      </c>
      <c r="N14" s="152">
        <f t="shared" si="1"/>
        <v>-10390</v>
      </c>
      <c r="O14" s="152">
        <f t="shared" si="1"/>
        <v>-10390</v>
      </c>
      <c r="P14" s="152">
        <f t="shared" si="1"/>
        <v>-10390</v>
      </c>
      <c r="Q14" s="152">
        <f t="shared" si="1"/>
        <v>-10390</v>
      </c>
      <c r="R14" s="152">
        <f t="shared" si="1"/>
        <v>-10390</v>
      </c>
      <c r="S14" s="152">
        <f t="shared" si="1"/>
        <v>-10390</v>
      </c>
      <c r="T14" s="152">
        <f t="shared" si="1"/>
        <v>-10390</v>
      </c>
      <c r="U14" s="147">
        <f t="shared" ref="U14:U61" si="2">SUM(F14:Q14)</f>
        <v>-124680</v>
      </c>
    </row>
    <row r="15" spans="1:42" x14ac:dyDescent="0.3">
      <c r="A15" s="9"/>
      <c r="B15" s="9"/>
      <c r="C15" s="136" t="s">
        <v>200</v>
      </c>
      <c r="D15" s="9"/>
      <c r="E15" s="9"/>
      <c r="F15" s="133">
        <v>-9500</v>
      </c>
      <c r="G15" s="133">
        <v>-9500</v>
      </c>
      <c r="H15" s="133">
        <v>-9500</v>
      </c>
      <c r="I15" s="133">
        <v>-9500</v>
      </c>
      <c r="J15" s="133">
        <v>-9500</v>
      </c>
      <c r="K15" s="133">
        <v>-9500</v>
      </c>
      <c r="L15" s="133">
        <v>-9500</v>
      </c>
      <c r="M15" s="133">
        <v>-9500</v>
      </c>
      <c r="N15" s="133">
        <v>-9500</v>
      </c>
      <c r="O15" s="133">
        <v>-9500</v>
      </c>
      <c r="P15" s="133">
        <v>-9500</v>
      </c>
      <c r="Q15" s="133">
        <v>-9500</v>
      </c>
      <c r="R15" s="133">
        <v>-9500</v>
      </c>
      <c r="S15" s="133">
        <v>-9500</v>
      </c>
      <c r="T15" s="133">
        <v>-9500</v>
      </c>
      <c r="U15" s="149">
        <f t="shared" si="2"/>
        <v>-114000</v>
      </c>
    </row>
    <row r="16" spans="1:42" x14ac:dyDescent="0.3">
      <c r="A16" s="9"/>
      <c r="B16" s="9"/>
      <c r="C16" s="136" t="s">
        <v>288</v>
      </c>
      <c r="D16" s="9"/>
      <c r="E16" s="9"/>
      <c r="F16" s="134">
        <v>-700</v>
      </c>
      <c r="G16" s="134">
        <v>-700</v>
      </c>
      <c r="H16" s="134">
        <v>-700</v>
      </c>
      <c r="I16" s="134">
        <v>-700</v>
      </c>
      <c r="J16" s="134">
        <v>-700</v>
      </c>
      <c r="K16" s="134">
        <v>-700</v>
      </c>
      <c r="L16" s="134">
        <v>-700</v>
      </c>
      <c r="M16" s="134">
        <v>-700</v>
      </c>
      <c r="N16" s="134">
        <v>-700</v>
      </c>
      <c r="O16" s="134">
        <v>-700</v>
      </c>
      <c r="P16" s="134">
        <v>-700</v>
      </c>
      <c r="Q16" s="134">
        <v>-700</v>
      </c>
      <c r="R16" s="134">
        <v>-700</v>
      </c>
      <c r="S16" s="134">
        <v>-700</v>
      </c>
      <c r="T16" s="134">
        <v>-700</v>
      </c>
      <c r="U16" s="149">
        <f t="shared" si="2"/>
        <v>-8400</v>
      </c>
    </row>
    <row r="17" spans="1:21" x14ac:dyDescent="0.3">
      <c r="A17" s="9"/>
      <c r="B17" s="9"/>
      <c r="C17" s="136" t="s">
        <v>290</v>
      </c>
      <c r="D17" s="9"/>
      <c r="E17" s="9"/>
      <c r="F17" s="134">
        <v>-125</v>
      </c>
      <c r="G17" s="134">
        <v>-125</v>
      </c>
      <c r="H17" s="134">
        <v>-125</v>
      </c>
      <c r="I17" s="134">
        <v>-125</v>
      </c>
      <c r="J17" s="134">
        <v>-125</v>
      </c>
      <c r="K17" s="134">
        <v>-125</v>
      </c>
      <c r="L17" s="134">
        <v>-125</v>
      </c>
      <c r="M17" s="134">
        <v>-125</v>
      </c>
      <c r="N17" s="134">
        <v>-125</v>
      </c>
      <c r="O17" s="134">
        <v>-125</v>
      </c>
      <c r="P17" s="134">
        <v>-125</v>
      </c>
      <c r="Q17" s="134">
        <v>-125</v>
      </c>
      <c r="R17" s="134">
        <v>-125</v>
      </c>
      <c r="S17" s="134">
        <v>-125</v>
      </c>
      <c r="T17" s="134">
        <v>-125</v>
      </c>
      <c r="U17" s="149">
        <f t="shared" si="2"/>
        <v>-1500</v>
      </c>
    </row>
    <row r="18" spans="1:21" x14ac:dyDescent="0.3">
      <c r="A18" s="9"/>
      <c r="B18" s="9"/>
      <c r="C18" s="136" t="s">
        <v>291</v>
      </c>
      <c r="D18" s="9"/>
      <c r="E18" s="9"/>
      <c r="F18" s="134">
        <v>-65</v>
      </c>
      <c r="G18" s="134">
        <v>-65</v>
      </c>
      <c r="H18" s="134">
        <v>-65</v>
      </c>
      <c r="I18" s="134">
        <v>-65</v>
      </c>
      <c r="J18" s="134">
        <v>-65</v>
      </c>
      <c r="K18" s="134">
        <v>-65</v>
      </c>
      <c r="L18" s="134">
        <v>-65</v>
      </c>
      <c r="M18" s="134">
        <v>-65</v>
      </c>
      <c r="N18" s="134">
        <v>-65</v>
      </c>
      <c r="O18" s="134">
        <v>-65</v>
      </c>
      <c r="P18" s="134">
        <v>-65</v>
      </c>
      <c r="Q18" s="134">
        <v>-65</v>
      </c>
      <c r="R18" s="134">
        <v>-65</v>
      </c>
      <c r="S18" s="134">
        <v>-65</v>
      </c>
      <c r="T18" s="134">
        <v>-65</v>
      </c>
      <c r="U18" s="149">
        <f t="shared" si="2"/>
        <v>-780</v>
      </c>
    </row>
    <row r="19" spans="1:21" x14ac:dyDescent="0.3">
      <c r="A19" s="9"/>
      <c r="B19" s="9"/>
      <c r="C19" s="136" t="s">
        <v>204</v>
      </c>
      <c r="D19" s="9"/>
      <c r="E19" s="9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1"/>
    </row>
    <row r="20" spans="1:21" x14ac:dyDescent="0.3">
      <c r="A20" s="9"/>
      <c r="B20" s="9"/>
      <c r="C20" s="136" t="s">
        <v>205</v>
      </c>
      <c r="D20" s="9"/>
      <c r="E20" s="9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1"/>
    </row>
    <row r="21" spans="1:21" x14ac:dyDescent="0.3">
      <c r="A21" s="9"/>
      <c r="B21" s="9"/>
      <c r="C21" s="134"/>
      <c r="D21" s="9"/>
      <c r="E21" s="9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1"/>
    </row>
    <row r="22" spans="1:21" x14ac:dyDescent="0.3">
      <c r="A22" s="154"/>
      <c r="B22" s="154"/>
      <c r="C22" s="155" t="s">
        <v>4</v>
      </c>
      <c r="D22" s="154"/>
      <c r="E22" s="154"/>
      <c r="F22" s="156">
        <f>SUM(F13+F14)</f>
        <v>269610</v>
      </c>
      <c r="G22" s="156">
        <f t="shared" ref="G22:T22" si="3">SUM(G13+G14)</f>
        <v>260165</v>
      </c>
      <c r="H22" s="156">
        <f t="shared" si="3"/>
        <v>276388</v>
      </c>
      <c r="I22" s="156">
        <f t="shared" si="3"/>
        <v>284722</v>
      </c>
      <c r="J22" s="156">
        <f t="shared" si="3"/>
        <v>310055</v>
      </c>
      <c r="K22" s="156">
        <f t="shared" si="3"/>
        <v>338625</v>
      </c>
      <c r="L22" s="156">
        <f t="shared" si="3"/>
        <v>347608</v>
      </c>
      <c r="M22" s="156">
        <f t="shared" si="3"/>
        <v>350431</v>
      </c>
      <c r="N22" s="156">
        <f t="shared" si="3"/>
        <v>339733</v>
      </c>
      <c r="O22" s="156">
        <f t="shared" si="3"/>
        <v>319625</v>
      </c>
      <c r="P22" s="156">
        <f t="shared" si="3"/>
        <v>302621</v>
      </c>
      <c r="Q22" s="156">
        <f t="shared" si="3"/>
        <v>289733</v>
      </c>
      <c r="R22" s="156">
        <f t="shared" si="3"/>
        <v>327688.59200000006</v>
      </c>
      <c r="S22" s="156">
        <f t="shared" si="3"/>
        <v>332467.08799999993</v>
      </c>
      <c r="T22" s="156">
        <f t="shared" si="3"/>
        <v>337245.58399999997</v>
      </c>
      <c r="U22" s="292">
        <f t="shared" si="2"/>
        <v>3689316</v>
      </c>
    </row>
    <row r="23" spans="1:21" ht="15" customHeight="1" x14ac:dyDescent="0.3">
      <c r="A23" s="9"/>
      <c r="B23" s="9"/>
      <c r="C23" s="134"/>
      <c r="D23" s="9"/>
      <c r="E23" s="9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1"/>
    </row>
    <row r="24" spans="1:21" ht="15" customHeight="1" x14ac:dyDescent="0.3">
      <c r="A24" s="9"/>
      <c r="B24" s="9"/>
      <c r="C24" s="135" t="s">
        <v>5</v>
      </c>
      <c r="D24" s="9"/>
      <c r="E24" s="9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1"/>
    </row>
    <row r="25" spans="1:21" ht="15" customHeight="1" x14ac:dyDescent="0.3">
      <c r="A25" s="9"/>
      <c r="B25" s="9"/>
      <c r="C25" s="136" t="s">
        <v>292</v>
      </c>
      <c r="D25" s="9"/>
      <c r="E25" s="9"/>
      <c r="F25" s="149">
        <v>-975</v>
      </c>
      <c r="G25" s="149">
        <v>-975</v>
      </c>
      <c r="H25" s="149">
        <v>-975</v>
      </c>
      <c r="I25" s="149">
        <v>-975</v>
      </c>
      <c r="J25" s="149">
        <v>-975</v>
      </c>
      <c r="K25" s="149">
        <v>-975</v>
      </c>
      <c r="L25" s="149">
        <v>-975</v>
      </c>
      <c r="M25" s="149">
        <v>-975</v>
      </c>
      <c r="N25" s="149">
        <v>-975</v>
      </c>
      <c r="O25" s="149">
        <v>-975</v>
      </c>
      <c r="P25" s="149">
        <v>-975</v>
      </c>
      <c r="Q25" s="149">
        <v>-975</v>
      </c>
      <c r="R25" s="149">
        <v>-975</v>
      </c>
      <c r="S25" s="149">
        <v>-975</v>
      </c>
      <c r="T25" s="149">
        <v>-975</v>
      </c>
      <c r="U25" s="149">
        <f t="shared" si="2"/>
        <v>-11700</v>
      </c>
    </row>
    <row r="26" spans="1:21" ht="15" customHeight="1" x14ac:dyDescent="0.3">
      <c r="A26" s="9"/>
      <c r="B26" s="9"/>
      <c r="C26" s="136" t="s">
        <v>293</v>
      </c>
      <c r="D26" s="9"/>
      <c r="E26" s="9"/>
      <c r="F26" s="149">
        <v>-300</v>
      </c>
      <c r="G26" s="149">
        <v>-300</v>
      </c>
      <c r="H26" s="149">
        <v>-300</v>
      </c>
      <c r="I26" s="149">
        <v>-300</v>
      </c>
      <c r="J26" s="149">
        <v>-300</v>
      </c>
      <c r="K26" s="149">
        <v>-300</v>
      </c>
      <c r="L26" s="149">
        <v>-300</v>
      </c>
      <c r="M26" s="149">
        <v>-300</v>
      </c>
      <c r="N26" s="149">
        <v>-300</v>
      </c>
      <c r="O26" s="149">
        <v>-300</v>
      </c>
      <c r="P26" s="149">
        <v>-300</v>
      </c>
      <c r="Q26" s="149">
        <v>-300</v>
      </c>
      <c r="R26" s="149">
        <v>-300</v>
      </c>
      <c r="S26" s="149">
        <v>-300</v>
      </c>
      <c r="T26" s="149">
        <v>-300</v>
      </c>
      <c r="U26" s="149">
        <f t="shared" si="2"/>
        <v>-3600</v>
      </c>
    </row>
    <row r="27" spans="1:21" ht="15" customHeight="1" x14ac:dyDescent="0.3">
      <c r="A27" s="9"/>
      <c r="B27" s="9"/>
      <c r="C27" s="136" t="s">
        <v>294</v>
      </c>
      <c r="D27" s="9"/>
      <c r="E27" s="9"/>
      <c r="F27" s="149">
        <v>-300</v>
      </c>
      <c r="G27" s="149">
        <v>-300</v>
      </c>
      <c r="H27" s="149">
        <v>-300</v>
      </c>
      <c r="I27" s="149">
        <v>-300</v>
      </c>
      <c r="J27" s="149">
        <v>-300</v>
      </c>
      <c r="K27" s="149">
        <v>-300</v>
      </c>
      <c r="L27" s="149">
        <v>-300</v>
      </c>
      <c r="M27" s="149">
        <v>-300</v>
      </c>
      <c r="N27" s="149">
        <v>-300</v>
      </c>
      <c r="O27" s="149">
        <v>-300</v>
      </c>
      <c r="P27" s="149">
        <v>-300</v>
      </c>
      <c r="Q27" s="149">
        <v>-300</v>
      </c>
      <c r="R27" s="149">
        <v>-300</v>
      </c>
      <c r="S27" s="149">
        <v>-300</v>
      </c>
      <c r="T27" s="149">
        <v>-300</v>
      </c>
      <c r="U27" s="149">
        <f t="shared" si="2"/>
        <v>-3600</v>
      </c>
    </row>
    <row r="28" spans="1:21" ht="15" customHeight="1" x14ac:dyDescent="0.3">
      <c r="A28" s="9"/>
      <c r="B28" s="9"/>
      <c r="C28" s="136" t="s">
        <v>295</v>
      </c>
      <c r="D28" s="9"/>
      <c r="E28" s="9"/>
      <c r="F28" s="331">
        <v>-710</v>
      </c>
      <c r="G28" s="331">
        <v>-710</v>
      </c>
      <c r="H28" s="331">
        <v>-710</v>
      </c>
      <c r="I28" s="331">
        <v>-710</v>
      </c>
      <c r="J28" s="331">
        <v>-710</v>
      </c>
      <c r="K28" s="331">
        <v>-710</v>
      </c>
      <c r="L28" s="331">
        <v>-710</v>
      </c>
      <c r="M28" s="331">
        <v>-710</v>
      </c>
      <c r="N28" s="331">
        <v>-710</v>
      </c>
      <c r="O28" s="331">
        <v>-710</v>
      </c>
      <c r="P28" s="331">
        <v>-710</v>
      </c>
      <c r="Q28" s="331">
        <v>-710</v>
      </c>
      <c r="R28" s="331">
        <v>-710</v>
      </c>
      <c r="S28" s="331">
        <v>-710</v>
      </c>
      <c r="T28" s="331">
        <v>-710</v>
      </c>
      <c r="U28" s="149">
        <f t="shared" si="2"/>
        <v>-8520</v>
      </c>
    </row>
    <row r="29" spans="1:21" ht="15" customHeight="1" x14ac:dyDescent="0.3">
      <c r="A29" s="9"/>
      <c r="B29" s="9"/>
      <c r="C29" s="136" t="s">
        <v>120</v>
      </c>
      <c r="D29" s="9"/>
      <c r="E29" s="9"/>
      <c r="F29" s="291" t="s">
        <v>142</v>
      </c>
      <c r="G29" s="291" t="s">
        <v>142</v>
      </c>
      <c r="H29" s="291" t="s">
        <v>142</v>
      </c>
      <c r="I29" s="291" t="s">
        <v>142</v>
      </c>
      <c r="J29" s="291" t="s">
        <v>142</v>
      </c>
      <c r="K29" s="291" t="s">
        <v>142</v>
      </c>
      <c r="L29" s="291" t="s">
        <v>142</v>
      </c>
      <c r="M29" s="291" t="s">
        <v>142</v>
      </c>
      <c r="N29" s="291" t="s">
        <v>142</v>
      </c>
      <c r="O29" s="291" t="s">
        <v>142</v>
      </c>
      <c r="P29" s="291" t="s">
        <v>142</v>
      </c>
      <c r="Q29" s="291" t="s">
        <v>142</v>
      </c>
      <c r="R29" s="291" t="s">
        <v>142</v>
      </c>
      <c r="S29" s="291" t="s">
        <v>142</v>
      </c>
      <c r="T29" s="291" t="s">
        <v>142</v>
      </c>
      <c r="U29" s="149">
        <f t="shared" si="2"/>
        <v>0</v>
      </c>
    </row>
    <row r="30" spans="1:21" ht="15" customHeight="1" x14ac:dyDescent="0.3">
      <c r="A30" s="9"/>
      <c r="B30" s="9"/>
      <c r="C30" s="136" t="s">
        <v>121</v>
      </c>
      <c r="D30" s="9"/>
      <c r="E30" s="9"/>
      <c r="F30" s="291" t="s">
        <v>142</v>
      </c>
      <c r="G30" s="291" t="s">
        <v>142</v>
      </c>
      <c r="H30" s="291" t="s">
        <v>142</v>
      </c>
      <c r="I30" s="291" t="s">
        <v>142</v>
      </c>
      <c r="J30" s="291" t="s">
        <v>142</v>
      </c>
      <c r="K30" s="291" t="s">
        <v>142</v>
      </c>
      <c r="L30" s="291" t="s">
        <v>142</v>
      </c>
      <c r="M30" s="291" t="s">
        <v>142</v>
      </c>
      <c r="N30" s="291" t="s">
        <v>142</v>
      </c>
      <c r="O30" s="291" t="s">
        <v>142</v>
      </c>
      <c r="P30" s="291" t="s">
        <v>142</v>
      </c>
      <c r="Q30" s="291" t="s">
        <v>142</v>
      </c>
      <c r="R30" s="291" t="s">
        <v>142</v>
      </c>
      <c r="S30" s="291" t="s">
        <v>142</v>
      </c>
      <c r="T30" s="291" t="s">
        <v>142</v>
      </c>
      <c r="U30" s="149">
        <f t="shared" si="2"/>
        <v>0</v>
      </c>
    </row>
    <row r="31" spans="1:21" ht="15" customHeight="1" x14ac:dyDescent="0.3">
      <c r="A31" s="9"/>
      <c r="B31" s="9"/>
      <c r="C31" s="136" t="s">
        <v>122</v>
      </c>
      <c r="D31" s="9"/>
      <c r="E31" s="9"/>
      <c r="F31" s="291" t="s">
        <v>142</v>
      </c>
      <c r="G31" s="291" t="s">
        <v>142</v>
      </c>
      <c r="H31" s="291" t="s">
        <v>142</v>
      </c>
      <c r="I31" s="291" t="s">
        <v>142</v>
      </c>
      <c r="J31" s="291" t="s">
        <v>142</v>
      </c>
      <c r="K31" s="291" t="s">
        <v>142</v>
      </c>
      <c r="L31" s="291" t="s">
        <v>142</v>
      </c>
      <c r="M31" s="291" t="s">
        <v>142</v>
      </c>
      <c r="N31" s="291" t="s">
        <v>142</v>
      </c>
      <c r="O31" s="291" t="s">
        <v>142</v>
      </c>
      <c r="P31" s="291" t="s">
        <v>142</v>
      </c>
      <c r="Q31" s="291" t="s">
        <v>142</v>
      </c>
      <c r="R31" s="291" t="s">
        <v>142</v>
      </c>
      <c r="S31" s="291" t="s">
        <v>142</v>
      </c>
      <c r="T31" s="291" t="s">
        <v>142</v>
      </c>
      <c r="U31" s="149">
        <f t="shared" si="2"/>
        <v>0</v>
      </c>
    </row>
    <row r="32" spans="1:21" ht="15" customHeight="1" x14ac:dyDescent="0.3">
      <c r="A32" s="9"/>
      <c r="B32" s="9"/>
      <c r="C32" s="136" t="s">
        <v>123</v>
      </c>
      <c r="D32" s="9"/>
      <c r="E32" s="9"/>
      <c r="F32" s="291" t="s">
        <v>142</v>
      </c>
      <c r="G32" s="291" t="s">
        <v>142</v>
      </c>
      <c r="H32" s="291" t="s">
        <v>142</v>
      </c>
      <c r="I32" s="291" t="s">
        <v>142</v>
      </c>
      <c r="J32" s="291" t="s">
        <v>142</v>
      </c>
      <c r="K32" s="291" t="s">
        <v>142</v>
      </c>
      <c r="L32" s="291" t="s">
        <v>142</v>
      </c>
      <c r="M32" s="291" t="s">
        <v>142</v>
      </c>
      <c r="N32" s="291" t="s">
        <v>142</v>
      </c>
      <c r="O32" s="291" t="s">
        <v>142</v>
      </c>
      <c r="P32" s="291" t="s">
        <v>142</v>
      </c>
      <c r="Q32" s="291" t="s">
        <v>142</v>
      </c>
      <c r="R32" s="291" t="s">
        <v>142</v>
      </c>
      <c r="S32" s="291" t="s">
        <v>142</v>
      </c>
      <c r="T32" s="291" t="s">
        <v>142</v>
      </c>
      <c r="U32" s="149">
        <f t="shared" si="2"/>
        <v>0</v>
      </c>
    </row>
    <row r="33" spans="1:21" ht="15" customHeight="1" x14ac:dyDescent="0.3">
      <c r="A33" s="9"/>
      <c r="B33" s="9"/>
      <c r="C33" s="136"/>
      <c r="D33" s="9"/>
      <c r="E33" s="9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31"/>
    </row>
    <row r="34" spans="1:21" x14ac:dyDescent="0.3">
      <c r="A34" s="145"/>
      <c r="B34" s="145"/>
      <c r="C34" s="172" t="s">
        <v>124</v>
      </c>
      <c r="D34" s="145"/>
      <c r="E34" s="145"/>
      <c r="F34" s="153">
        <f>SUM(F25:F32)</f>
        <v>-2285</v>
      </c>
      <c r="G34" s="153">
        <f t="shared" ref="G34:T34" si="4">SUM(G25:G32)</f>
        <v>-2285</v>
      </c>
      <c r="H34" s="153">
        <f t="shared" si="4"/>
        <v>-2285</v>
      </c>
      <c r="I34" s="153">
        <f t="shared" si="4"/>
        <v>-2285</v>
      </c>
      <c r="J34" s="153">
        <f t="shared" si="4"/>
        <v>-2285</v>
      </c>
      <c r="K34" s="153">
        <f t="shared" si="4"/>
        <v>-2285</v>
      </c>
      <c r="L34" s="153">
        <f t="shared" si="4"/>
        <v>-2285</v>
      </c>
      <c r="M34" s="153">
        <f t="shared" si="4"/>
        <v>-2285</v>
      </c>
      <c r="N34" s="153">
        <f t="shared" si="4"/>
        <v>-2285</v>
      </c>
      <c r="O34" s="153">
        <f t="shared" si="4"/>
        <v>-2285</v>
      </c>
      <c r="P34" s="153">
        <f t="shared" si="4"/>
        <v>-2285</v>
      </c>
      <c r="Q34" s="153">
        <f t="shared" si="4"/>
        <v>-2285</v>
      </c>
      <c r="R34" s="153">
        <f t="shared" si="4"/>
        <v>-2285</v>
      </c>
      <c r="S34" s="153">
        <f t="shared" si="4"/>
        <v>-2285</v>
      </c>
      <c r="T34" s="153">
        <f t="shared" si="4"/>
        <v>-2285</v>
      </c>
      <c r="U34" s="153">
        <f t="shared" si="2"/>
        <v>-27420</v>
      </c>
    </row>
    <row r="35" spans="1:21" x14ac:dyDescent="0.3">
      <c r="A35" s="146"/>
      <c r="B35" s="146"/>
      <c r="C35" s="183" t="s">
        <v>125</v>
      </c>
      <c r="D35" s="146"/>
      <c r="E35" s="146"/>
      <c r="F35" s="147">
        <v>-4063</v>
      </c>
      <c r="G35" s="147">
        <v>-4063</v>
      </c>
      <c r="H35" s="147">
        <v>-4063</v>
      </c>
      <c r="I35" s="147">
        <v>-4063</v>
      </c>
      <c r="J35" s="147">
        <v>-4063</v>
      </c>
      <c r="K35" s="147">
        <v>-4063</v>
      </c>
      <c r="L35" s="147">
        <v>-4063</v>
      </c>
      <c r="M35" s="147">
        <v>-4063</v>
      </c>
      <c r="N35" s="147">
        <v>-4063</v>
      </c>
      <c r="O35" s="147">
        <v>-4063</v>
      </c>
      <c r="P35" s="147">
        <v>-4063</v>
      </c>
      <c r="Q35" s="147">
        <v>-4063</v>
      </c>
      <c r="R35" s="147">
        <v>-4063</v>
      </c>
      <c r="S35" s="147">
        <v>-4063</v>
      </c>
      <c r="T35" s="147">
        <v>-4063</v>
      </c>
      <c r="U35" s="147">
        <f t="shared" si="2"/>
        <v>-48756</v>
      </c>
    </row>
    <row r="36" spans="1:21" x14ac:dyDescent="0.3">
      <c r="A36" s="9"/>
      <c r="B36" s="9"/>
      <c r="C36" s="134"/>
      <c r="D36" s="9"/>
      <c r="E36" s="9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1"/>
    </row>
    <row r="37" spans="1:21" x14ac:dyDescent="0.3">
      <c r="A37" s="9"/>
      <c r="B37" s="9"/>
      <c r="C37" s="135" t="s">
        <v>24</v>
      </c>
      <c r="D37" s="9"/>
      <c r="E37" s="9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1"/>
    </row>
    <row r="38" spans="1:21" x14ac:dyDescent="0.3">
      <c r="A38" s="9"/>
      <c r="B38" s="9"/>
      <c r="C38" s="134" t="s">
        <v>73</v>
      </c>
      <c r="D38" s="9"/>
      <c r="E38" s="9"/>
      <c r="F38" s="149">
        <v>-1750</v>
      </c>
      <c r="G38" s="149">
        <v>-1750</v>
      </c>
      <c r="H38" s="149">
        <v>-1750</v>
      </c>
      <c r="I38" s="149">
        <v>-1750</v>
      </c>
      <c r="J38" s="149">
        <v>-1750</v>
      </c>
      <c r="K38" s="149">
        <v>-1750</v>
      </c>
      <c r="L38" s="149">
        <v>-1750</v>
      </c>
      <c r="M38" s="149">
        <v>-1750</v>
      </c>
      <c r="N38" s="149">
        <v>-1750</v>
      </c>
      <c r="O38" s="149">
        <v>-1750</v>
      </c>
      <c r="P38" s="149">
        <v>-1750</v>
      </c>
      <c r="Q38" s="149">
        <v>-1750</v>
      </c>
      <c r="R38" s="149">
        <v>-1750</v>
      </c>
      <c r="S38" s="149">
        <v>-1750</v>
      </c>
      <c r="T38" s="149">
        <v>-1750</v>
      </c>
      <c r="U38" s="149">
        <f t="shared" si="2"/>
        <v>-21000</v>
      </c>
    </row>
    <row r="39" spans="1:21" x14ac:dyDescent="0.3">
      <c r="A39" s="9"/>
      <c r="B39" s="9"/>
      <c r="C39" s="134" t="s">
        <v>289</v>
      </c>
      <c r="D39" s="9"/>
      <c r="E39" s="9"/>
      <c r="F39" s="149">
        <v>-2550</v>
      </c>
      <c r="G39" s="149">
        <v>-2550</v>
      </c>
      <c r="H39" s="149">
        <v>-2550</v>
      </c>
      <c r="I39" s="149">
        <v>-2550</v>
      </c>
      <c r="J39" s="149">
        <v>-2550</v>
      </c>
      <c r="K39" s="149">
        <v>-2550</v>
      </c>
      <c r="L39" s="149">
        <v>-2550</v>
      </c>
      <c r="M39" s="149">
        <v>-2550</v>
      </c>
      <c r="N39" s="149">
        <v>-2550</v>
      </c>
      <c r="O39" s="149">
        <v>-2550</v>
      </c>
      <c r="P39" s="149">
        <v>-2550</v>
      </c>
      <c r="Q39" s="149">
        <v>-2550</v>
      </c>
      <c r="R39" s="149">
        <v>-2550</v>
      </c>
      <c r="S39" s="149">
        <v>-2550</v>
      </c>
      <c r="T39" s="149">
        <v>-2550</v>
      </c>
      <c r="U39" s="149">
        <f t="shared" si="2"/>
        <v>-30600</v>
      </c>
    </row>
    <row r="40" spans="1:21" x14ac:dyDescent="0.3">
      <c r="A40" s="9"/>
      <c r="B40" s="9"/>
      <c r="C40" s="134" t="s">
        <v>284</v>
      </c>
      <c r="D40" s="9"/>
      <c r="E40" s="9"/>
      <c r="F40" s="149">
        <v>-700</v>
      </c>
      <c r="G40" s="149">
        <v>-700</v>
      </c>
      <c r="H40" s="149">
        <v>-700</v>
      </c>
      <c r="I40" s="149">
        <v>-700</v>
      </c>
      <c r="J40" s="149">
        <v>-700</v>
      </c>
      <c r="K40" s="149">
        <v>-700</v>
      </c>
      <c r="L40" s="149">
        <v>-700</v>
      </c>
      <c r="M40" s="149">
        <v>-700</v>
      </c>
      <c r="N40" s="149">
        <v>-700</v>
      </c>
      <c r="O40" s="149">
        <v>-700</v>
      </c>
      <c r="P40" s="149">
        <v>-700</v>
      </c>
      <c r="Q40" s="149">
        <v>-700</v>
      </c>
      <c r="R40" s="149">
        <v>-700</v>
      </c>
      <c r="S40" s="149">
        <v>-700</v>
      </c>
      <c r="T40" s="149">
        <v>-700</v>
      </c>
      <c r="U40" s="149">
        <f t="shared" si="2"/>
        <v>-8400</v>
      </c>
    </row>
    <row r="41" spans="1:21" x14ac:dyDescent="0.3">
      <c r="A41" s="9"/>
      <c r="B41" s="9"/>
      <c r="C41" s="134" t="s">
        <v>223</v>
      </c>
      <c r="D41" s="9"/>
      <c r="E41" s="9"/>
      <c r="F41" s="149">
        <v>-1350</v>
      </c>
      <c r="G41" s="149">
        <v>-1350</v>
      </c>
      <c r="H41" s="149">
        <v>-1350</v>
      </c>
      <c r="I41" s="149">
        <v>-1350</v>
      </c>
      <c r="J41" s="149">
        <v>-1350</v>
      </c>
      <c r="K41" s="149">
        <v>-1350</v>
      </c>
      <c r="L41" s="149">
        <v>-1350</v>
      </c>
      <c r="M41" s="149">
        <v>-1350</v>
      </c>
      <c r="N41" s="149">
        <v>-1350</v>
      </c>
      <c r="O41" s="149">
        <v>-1350</v>
      </c>
      <c r="P41" s="149">
        <v>-1350</v>
      </c>
      <c r="Q41" s="149">
        <v>-1350</v>
      </c>
      <c r="R41" s="149">
        <v>-1350</v>
      </c>
      <c r="S41" s="149">
        <v>-1350</v>
      </c>
      <c r="T41" s="149">
        <v>-1350</v>
      </c>
      <c r="U41" s="149">
        <f t="shared" si="2"/>
        <v>-16200</v>
      </c>
    </row>
    <row r="42" spans="1:21" x14ac:dyDescent="0.3">
      <c r="A42" s="9"/>
      <c r="B42" s="9"/>
      <c r="C42" s="134" t="s">
        <v>262</v>
      </c>
      <c r="D42" s="9"/>
      <c r="E42" s="9"/>
      <c r="F42" s="149">
        <v>-1900</v>
      </c>
      <c r="G42" s="149">
        <v>-1900</v>
      </c>
      <c r="H42" s="149">
        <v>-1900</v>
      </c>
      <c r="I42" s="149">
        <v>-1900</v>
      </c>
      <c r="J42" s="149">
        <v>-1900</v>
      </c>
      <c r="K42" s="149">
        <v>-1900</v>
      </c>
      <c r="L42" s="149">
        <v>-1900</v>
      </c>
      <c r="M42" s="149">
        <v>-1900</v>
      </c>
      <c r="N42" s="149">
        <v>-1900</v>
      </c>
      <c r="O42" s="149">
        <v>-1900</v>
      </c>
      <c r="P42" s="149">
        <v>-1900</v>
      </c>
      <c r="Q42" s="149">
        <v>-1900</v>
      </c>
      <c r="R42" s="149">
        <v>-1900</v>
      </c>
      <c r="S42" s="149">
        <v>-1900</v>
      </c>
      <c r="T42" s="149">
        <v>-1900</v>
      </c>
      <c r="U42" s="149">
        <f t="shared" si="2"/>
        <v>-22800</v>
      </c>
    </row>
    <row r="43" spans="1:21" x14ac:dyDescent="0.3">
      <c r="A43" s="9"/>
      <c r="B43" s="9"/>
      <c r="C43" s="134" t="s">
        <v>127</v>
      </c>
      <c r="D43" s="9"/>
      <c r="E43" s="9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1"/>
    </row>
    <row r="44" spans="1:21" x14ac:dyDescent="0.3">
      <c r="A44" s="9"/>
      <c r="B44" s="9"/>
      <c r="C44" s="136" t="s">
        <v>128</v>
      </c>
      <c r="D44" s="9"/>
      <c r="E44" s="9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1"/>
    </row>
    <row r="45" spans="1:21" x14ac:dyDescent="0.3">
      <c r="A45" s="9"/>
      <c r="B45" s="9"/>
      <c r="C45" s="136" t="s">
        <v>129</v>
      </c>
      <c r="D45" s="9"/>
      <c r="E45" s="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1"/>
    </row>
    <row r="46" spans="1:21" x14ac:dyDescent="0.3">
      <c r="A46" s="9"/>
      <c r="B46" s="9"/>
      <c r="C46" s="136" t="s">
        <v>130</v>
      </c>
      <c r="D46" s="9"/>
      <c r="E46" s="9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1"/>
    </row>
    <row r="47" spans="1:21" x14ac:dyDescent="0.3">
      <c r="A47" s="9"/>
      <c r="B47" s="9"/>
      <c r="C47" s="136" t="s">
        <v>131</v>
      </c>
      <c r="D47" s="9"/>
      <c r="E47" s="9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1"/>
    </row>
    <row r="48" spans="1:21" x14ac:dyDescent="0.3">
      <c r="A48" s="9"/>
      <c r="B48" s="9"/>
      <c r="C48" s="136" t="s">
        <v>132</v>
      </c>
      <c r="D48" s="9"/>
      <c r="E48" s="9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1"/>
    </row>
    <row r="49" spans="1:21" x14ac:dyDescent="0.3">
      <c r="A49" s="9"/>
      <c r="B49" s="9"/>
      <c r="C49" s="136" t="s">
        <v>133</v>
      </c>
      <c r="D49" s="9"/>
      <c r="E49" s="9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1"/>
    </row>
    <row r="50" spans="1:21" x14ac:dyDescent="0.3">
      <c r="A50" s="9"/>
      <c r="B50" s="9"/>
      <c r="C50" s="136" t="s">
        <v>134</v>
      </c>
      <c r="D50" s="9"/>
      <c r="E50" s="9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1"/>
    </row>
    <row r="51" spans="1:21" x14ac:dyDescent="0.3">
      <c r="A51" s="9"/>
      <c r="B51" s="9"/>
      <c r="C51" s="136" t="s">
        <v>135</v>
      </c>
      <c r="D51" s="9"/>
      <c r="E51" s="9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1"/>
    </row>
    <row r="52" spans="1:21" x14ac:dyDescent="0.3">
      <c r="A52" s="9"/>
      <c r="B52" s="9"/>
      <c r="C52" s="136" t="s">
        <v>136</v>
      </c>
      <c r="D52" s="9"/>
      <c r="E52" s="9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1"/>
    </row>
    <row r="53" spans="1:21" x14ac:dyDescent="0.3">
      <c r="A53" s="9"/>
      <c r="B53" s="9"/>
      <c r="C53" s="136"/>
      <c r="D53" s="9"/>
      <c r="E53" s="9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1"/>
    </row>
    <row r="54" spans="1:21" s="110" customFormat="1" ht="14.4" customHeight="1" x14ac:dyDescent="0.3">
      <c r="A54" s="159"/>
      <c r="B54" s="159"/>
      <c r="C54" s="160" t="s">
        <v>137</v>
      </c>
      <c r="D54" s="159"/>
      <c r="E54" s="159"/>
      <c r="F54" s="161">
        <f>SUM(F38:F52)</f>
        <v>-8250</v>
      </c>
      <c r="G54" s="161">
        <f>SUM(G38:G52)</f>
        <v>-8250</v>
      </c>
      <c r="H54" s="161">
        <f t="shared" ref="H54:T54" si="5">SUM(H38:H52)</f>
        <v>-8250</v>
      </c>
      <c r="I54" s="161">
        <f t="shared" si="5"/>
        <v>-8250</v>
      </c>
      <c r="J54" s="161">
        <f t="shared" si="5"/>
        <v>-8250</v>
      </c>
      <c r="K54" s="161">
        <f t="shared" si="5"/>
        <v>-8250</v>
      </c>
      <c r="L54" s="161">
        <f t="shared" si="5"/>
        <v>-8250</v>
      </c>
      <c r="M54" s="161">
        <f t="shared" si="5"/>
        <v>-8250</v>
      </c>
      <c r="N54" s="161">
        <f t="shared" si="5"/>
        <v>-8250</v>
      </c>
      <c r="O54" s="161">
        <f t="shared" si="5"/>
        <v>-8250</v>
      </c>
      <c r="P54" s="161">
        <f t="shared" si="5"/>
        <v>-8250</v>
      </c>
      <c r="Q54" s="161">
        <f t="shared" si="5"/>
        <v>-8250</v>
      </c>
      <c r="R54" s="161">
        <f t="shared" si="5"/>
        <v>-8250</v>
      </c>
      <c r="S54" s="161">
        <f t="shared" si="5"/>
        <v>-8250</v>
      </c>
      <c r="T54" s="161">
        <f t="shared" si="5"/>
        <v>-8250</v>
      </c>
      <c r="U54" s="153">
        <f t="shared" si="2"/>
        <v>-99000</v>
      </c>
    </row>
    <row r="55" spans="1:21" s="110" customFormat="1" ht="14.4" customHeight="1" x14ac:dyDescent="0.3">
      <c r="A55" s="162"/>
      <c r="B55" s="162"/>
      <c r="C55" s="163" t="s">
        <v>6</v>
      </c>
      <c r="D55" s="162"/>
      <c r="E55" s="162"/>
      <c r="F55" s="164">
        <f>F13+F14+F34+F54</f>
        <v>259075</v>
      </c>
      <c r="G55" s="164">
        <f t="shared" ref="G55:L55" si="6">G13+G14+G34+G54</f>
        <v>249630</v>
      </c>
      <c r="H55" s="164">
        <f t="shared" si="6"/>
        <v>265853</v>
      </c>
      <c r="I55" s="164">
        <f t="shared" si="6"/>
        <v>274187</v>
      </c>
      <c r="J55" s="164">
        <f t="shared" si="6"/>
        <v>299520</v>
      </c>
      <c r="K55" s="164">
        <f t="shared" si="6"/>
        <v>328090</v>
      </c>
      <c r="L55" s="164">
        <f t="shared" si="6"/>
        <v>337073</v>
      </c>
      <c r="M55" s="164">
        <f>M13+M14+M34+M54</f>
        <v>339896</v>
      </c>
      <c r="N55" s="164">
        <f t="shared" ref="N55" si="7">N13+N14+N34+N54</f>
        <v>329198</v>
      </c>
      <c r="O55" s="164">
        <f>O13+O14+O34+O54</f>
        <v>309090</v>
      </c>
      <c r="P55" s="164">
        <f t="shared" ref="P55" si="8">P13+P14+P34+P54</f>
        <v>292086</v>
      </c>
      <c r="Q55" s="164">
        <f t="shared" ref="Q55" si="9">Q13+Q14+Q34+Q54</f>
        <v>279198</v>
      </c>
      <c r="R55" s="164">
        <f t="shared" ref="R55" si="10">R13+R14+R34+R54</f>
        <v>317153.59200000006</v>
      </c>
      <c r="S55" s="164">
        <f t="shared" ref="S55" si="11">S13+S14+S34+S54</f>
        <v>321932.08799999993</v>
      </c>
      <c r="T55" s="164">
        <f t="shared" ref="T55" si="12">T13+T14+T34+T54</f>
        <v>326710.58399999997</v>
      </c>
      <c r="U55" s="147">
        <f t="shared" si="2"/>
        <v>3562896</v>
      </c>
    </row>
    <row r="56" spans="1:21" s="110" customFormat="1" ht="14.4" customHeight="1" x14ac:dyDescent="0.3">
      <c r="A56" s="108"/>
      <c r="B56" s="108"/>
      <c r="C56" s="137" t="s">
        <v>138</v>
      </c>
      <c r="D56" s="108"/>
      <c r="E56" s="108"/>
      <c r="F56" s="332">
        <v>-1711</v>
      </c>
      <c r="G56" s="332">
        <v>-1711</v>
      </c>
      <c r="H56" s="332">
        <v>-1711</v>
      </c>
      <c r="I56" s="332">
        <v>-1711</v>
      </c>
      <c r="J56" s="332">
        <v>-1711</v>
      </c>
      <c r="K56" s="332">
        <v>-1711</v>
      </c>
      <c r="L56" s="332">
        <v>-1711</v>
      </c>
      <c r="M56" s="332">
        <v>-1711</v>
      </c>
      <c r="N56" s="332">
        <v>-1711</v>
      </c>
      <c r="O56" s="332">
        <v>-1711</v>
      </c>
      <c r="P56" s="332">
        <v>-1711</v>
      </c>
      <c r="Q56" s="332">
        <v>-1711</v>
      </c>
      <c r="R56" s="332">
        <v>-1450</v>
      </c>
      <c r="S56" s="332">
        <v>-1450</v>
      </c>
      <c r="T56" s="332">
        <v>-1450</v>
      </c>
      <c r="U56" s="333">
        <f t="shared" si="2"/>
        <v>-20532</v>
      </c>
    </row>
    <row r="57" spans="1:21" s="110" customFormat="1" ht="25.05" customHeight="1" x14ac:dyDescent="0.3">
      <c r="A57" s="108"/>
      <c r="B57" s="108"/>
      <c r="C57" s="137" t="s">
        <v>8</v>
      </c>
      <c r="D57" s="108"/>
      <c r="E57" s="108"/>
      <c r="F57" s="333">
        <f>F55+F56</f>
        <v>257364</v>
      </c>
      <c r="G57" s="333">
        <f t="shared" ref="G57:T57" si="13">G55+G56</f>
        <v>247919</v>
      </c>
      <c r="H57" s="333">
        <f t="shared" si="13"/>
        <v>264142</v>
      </c>
      <c r="I57" s="333">
        <f t="shared" si="13"/>
        <v>272476</v>
      </c>
      <c r="J57" s="333">
        <f t="shared" si="13"/>
        <v>297809</v>
      </c>
      <c r="K57" s="333">
        <f t="shared" si="13"/>
        <v>326379</v>
      </c>
      <c r="L57" s="333">
        <f t="shared" si="13"/>
        <v>335362</v>
      </c>
      <c r="M57" s="333">
        <f t="shared" si="13"/>
        <v>338185</v>
      </c>
      <c r="N57" s="333">
        <f t="shared" si="13"/>
        <v>327487</v>
      </c>
      <c r="O57" s="333">
        <f t="shared" si="13"/>
        <v>307379</v>
      </c>
      <c r="P57" s="333">
        <f t="shared" si="13"/>
        <v>290375</v>
      </c>
      <c r="Q57" s="333">
        <f t="shared" si="13"/>
        <v>277487</v>
      </c>
      <c r="R57" s="333">
        <f t="shared" si="13"/>
        <v>315703.59200000006</v>
      </c>
      <c r="S57" s="333">
        <f t="shared" si="13"/>
        <v>320482.08799999993</v>
      </c>
      <c r="T57" s="333">
        <f t="shared" si="13"/>
        <v>325260.58399999997</v>
      </c>
      <c r="U57" s="333">
        <f t="shared" si="2"/>
        <v>3542364</v>
      </c>
    </row>
    <row r="58" spans="1:21" s="110" customFormat="1" ht="25.05" customHeight="1" x14ac:dyDescent="0.3">
      <c r="A58" s="108"/>
      <c r="B58" s="108"/>
      <c r="C58" s="138" t="s">
        <v>139</v>
      </c>
      <c r="D58" s="139"/>
      <c r="E58" s="108"/>
      <c r="F58" s="333">
        <f>('BS 2023'!F27*0.2)</f>
        <v>-110000</v>
      </c>
      <c r="G58" s="333">
        <f>('BS 2023'!G27*0.2)</f>
        <v>-106636.40000000001</v>
      </c>
      <c r="H58" s="333">
        <f>('BS 2023'!H27*0.2)</f>
        <v>-103272.8</v>
      </c>
      <c r="I58" s="333">
        <f>('BS 2023'!I27*0.2)</f>
        <v>-99909.200000000012</v>
      </c>
      <c r="J58" s="333">
        <f>('BS 2023'!J27*0.2)</f>
        <v>-96545.600000000006</v>
      </c>
      <c r="K58" s="333">
        <f>('BS 2023'!K27*0.2)</f>
        <v>-93182</v>
      </c>
      <c r="L58" s="333">
        <f>('BS 2023'!L27*0.2)</f>
        <v>-89818.400000000009</v>
      </c>
      <c r="M58" s="333">
        <f>('BS 2023'!M27*0.2)</f>
        <v>-86454.8</v>
      </c>
      <c r="N58" s="333">
        <f>('BS 2023'!N27*0.2)</f>
        <v>-83091.200000000012</v>
      </c>
      <c r="O58" s="333">
        <f>('BS 2023'!O27*0.2)</f>
        <v>-79727.600000000006</v>
      </c>
      <c r="P58" s="333">
        <f>('BS 2023'!P27*0.2)</f>
        <v>-76364</v>
      </c>
      <c r="Q58" s="333">
        <f>('BS 2023'!Q27*0.2)</f>
        <v>-73000.400000000009</v>
      </c>
      <c r="R58" s="333">
        <f>('BS 2023'!R27*0.2)</f>
        <v>-69636.800000000003</v>
      </c>
      <c r="S58" s="333">
        <f>('BS 2023'!S27*0.2)</f>
        <v>-66273.2</v>
      </c>
      <c r="T58" s="333">
        <f>('BS 2023'!T27*0.2)</f>
        <v>-62909.600000000006</v>
      </c>
      <c r="U58" s="333">
        <f t="shared" si="2"/>
        <v>-1098002.4000000001</v>
      </c>
    </row>
    <row r="59" spans="1:21" s="110" customFormat="1" ht="25.05" customHeight="1" x14ac:dyDescent="0.3">
      <c r="A59" s="108"/>
      <c r="B59" s="108"/>
      <c r="C59" s="137" t="s">
        <v>10</v>
      </c>
      <c r="D59" s="108"/>
      <c r="E59" s="108"/>
      <c r="F59" s="333">
        <f>F13+F14+F34+F54</f>
        <v>259075</v>
      </c>
      <c r="G59" s="333">
        <f t="shared" ref="G59:T59" si="14">G13+G14+G34+G54</f>
        <v>249630</v>
      </c>
      <c r="H59" s="333">
        <f t="shared" si="14"/>
        <v>265853</v>
      </c>
      <c r="I59" s="333">
        <f t="shared" si="14"/>
        <v>274187</v>
      </c>
      <c r="J59" s="333">
        <f t="shared" si="14"/>
        <v>299520</v>
      </c>
      <c r="K59" s="333">
        <f t="shared" si="14"/>
        <v>328090</v>
      </c>
      <c r="L59" s="333">
        <f t="shared" si="14"/>
        <v>337073</v>
      </c>
      <c r="M59" s="333">
        <f t="shared" si="14"/>
        <v>339896</v>
      </c>
      <c r="N59" s="333">
        <f t="shared" si="14"/>
        <v>329198</v>
      </c>
      <c r="O59" s="333">
        <f t="shared" si="14"/>
        <v>309090</v>
      </c>
      <c r="P59" s="333">
        <f t="shared" si="14"/>
        <v>292086</v>
      </c>
      <c r="Q59" s="333">
        <f t="shared" si="14"/>
        <v>279198</v>
      </c>
      <c r="R59" s="333">
        <f t="shared" si="14"/>
        <v>317153.59200000006</v>
      </c>
      <c r="S59" s="333">
        <f t="shared" si="14"/>
        <v>321932.08799999993</v>
      </c>
      <c r="T59" s="333">
        <f t="shared" si="14"/>
        <v>326710.58399999997</v>
      </c>
      <c r="U59" s="333">
        <f t="shared" si="2"/>
        <v>3562896</v>
      </c>
    </row>
    <row r="60" spans="1:21" s="110" customFormat="1" ht="25.05" customHeight="1" x14ac:dyDescent="0.3">
      <c r="A60" s="108"/>
      <c r="B60" s="108"/>
      <c r="C60" s="138" t="s">
        <v>11</v>
      </c>
      <c r="D60" s="108"/>
      <c r="E60" s="108"/>
      <c r="F60" s="333">
        <f>(F59*0.2)*-1</f>
        <v>-51815</v>
      </c>
      <c r="G60" s="333">
        <f t="shared" ref="G60:T60" si="15">(G59*0.2)*-1</f>
        <v>-49926</v>
      </c>
      <c r="H60" s="333">
        <f t="shared" si="15"/>
        <v>-53170.600000000006</v>
      </c>
      <c r="I60" s="333">
        <f t="shared" si="15"/>
        <v>-54837.4</v>
      </c>
      <c r="J60" s="333">
        <f t="shared" si="15"/>
        <v>-59904</v>
      </c>
      <c r="K60" s="333">
        <f t="shared" si="15"/>
        <v>-65618</v>
      </c>
      <c r="L60" s="333">
        <f t="shared" si="15"/>
        <v>-67414.600000000006</v>
      </c>
      <c r="M60" s="333">
        <f t="shared" si="15"/>
        <v>-67979.199999999997</v>
      </c>
      <c r="N60" s="333">
        <f t="shared" si="15"/>
        <v>-65839.600000000006</v>
      </c>
      <c r="O60" s="333">
        <f t="shared" si="15"/>
        <v>-61818</v>
      </c>
      <c r="P60" s="333">
        <f t="shared" si="15"/>
        <v>-58417.200000000004</v>
      </c>
      <c r="Q60" s="333">
        <f t="shared" si="15"/>
        <v>-55839.600000000006</v>
      </c>
      <c r="R60" s="333">
        <f t="shared" si="15"/>
        <v>-63430.718400000012</v>
      </c>
      <c r="S60" s="333">
        <f t="shared" si="15"/>
        <v>-64386.417599999986</v>
      </c>
      <c r="T60" s="333">
        <f t="shared" si="15"/>
        <v>-65342.116799999996</v>
      </c>
      <c r="U60" s="333">
        <f t="shared" si="2"/>
        <v>-712579.2</v>
      </c>
    </row>
    <row r="61" spans="1:21" s="110" customFormat="1" ht="14.4" customHeight="1" x14ac:dyDescent="0.3">
      <c r="A61" s="165"/>
      <c r="B61" s="165"/>
      <c r="C61" s="166" t="s">
        <v>12</v>
      </c>
      <c r="D61" s="165"/>
      <c r="E61" s="165"/>
      <c r="F61" s="294">
        <f>F59+F60</f>
        <v>207260</v>
      </c>
      <c r="G61" s="294">
        <f>G59+G60</f>
        <v>199704</v>
      </c>
      <c r="H61" s="294">
        <f t="shared" ref="H61:T61" si="16">H59+H60</f>
        <v>212682.4</v>
      </c>
      <c r="I61" s="294">
        <f t="shared" si="16"/>
        <v>219349.6</v>
      </c>
      <c r="J61" s="294">
        <f t="shared" si="16"/>
        <v>239616</v>
      </c>
      <c r="K61" s="294">
        <f t="shared" si="16"/>
        <v>262472</v>
      </c>
      <c r="L61" s="294">
        <f t="shared" si="16"/>
        <v>269658.40000000002</v>
      </c>
      <c r="M61" s="294">
        <f t="shared" si="16"/>
        <v>271916.79999999999</v>
      </c>
      <c r="N61" s="294">
        <f t="shared" si="16"/>
        <v>263358.40000000002</v>
      </c>
      <c r="O61" s="294">
        <f t="shared" si="16"/>
        <v>247272</v>
      </c>
      <c r="P61" s="294">
        <f t="shared" si="16"/>
        <v>233668.8</v>
      </c>
      <c r="Q61" s="294">
        <f t="shared" si="16"/>
        <v>223358.4</v>
      </c>
      <c r="R61" s="294">
        <f t="shared" si="16"/>
        <v>253722.87360000005</v>
      </c>
      <c r="S61" s="294">
        <f t="shared" si="16"/>
        <v>257545.67039999994</v>
      </c>
      <c r="T61" s="294">
        <f t="shared" si="16"/>
        <v>261368.46719999998</v>
      </c>
      <c r="U61" s="295">
        <f t="shared" si="2"/>
        <v>2850316.8</v>
      </c>
    </row>
    <row r="62" spans="1:21" x14ac:dyDescent="0.3">
      <c r="F62"/>
    </row>
    <row r="63" spans="1:21" x14ac:dyDescent="0.3">
      <c r="F63"/>
    </row>
    <row r="64" spans="1:21" x14ac:dyDescent="0.3">
      <c r="F64"/>
    </row>
    <row r="65" spans="6:7" x14ac:dyDescent="0.3">
      <c r="F65"/>
    </row>
    <row r="66" spans="6:7" x14ac:dyDescent="0.3">
      <c r="F66"/>
    </row>
    <row r="67" spans="6:7" x14ac:dyDescent="0.3">
      <c r="F67"/>
    </row>
    <row r="68" spans="6:7" x14ac:dyDescent="0.3">
      <c r="F68"/>
    </row>
    <row r="69" spans="6:7" x14ac:dyDescent="0.3">
      <c r="F69"/>
    </row>
    <row r="70" spans="6:7" x14ac:dyDescent="0.3">
      <c r="F70"/>
    </row>
    <row r="71" spans="6:7" x14ac:dyDescent="0.3">
      <c r="F71"/>
    </row>
    <row r="72" spans="6:7" x14ac:dyDescent="0.3">
      <c r="F72"/>
    </row>
    <row r="73" spans="6:7" x14ac:dyDescent="0.3">
      <c r="F73"/>
    </row>
    <row r="74" spans="6:7" x14ac:dyDescent="0.3">
      <c r="F74"/>
    </row>
    <row r="75" spans="6:7" x14ac:dyDescent="0.3">
      <c r="F75"/>
      <c r="G75" s="1"/>
    </row>
    <row r="76" spans="6:7" x14ac:dyDescent="0.3">
      <c r="F76"/>
    </row>
    <row r="77" spans="6:7" x14ac:dyDescent="0.3">
      <c r="F77"/>
    </row>
    <row r="78" spans="6:7" x14ac:dyDescent="0.3">
      <c r="F78"/>
    </row>
    <row r="79" spans="6:7" x14ac:dyDescent="0.3">
      <c r="F79"/>
    </row>
  </sheetData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F80B-76C2-48FF-8553-F077D6928C71}">
  <sheetPr codeName="Sheet32"/>
  <dimension ref="A2:V57"/>
  <sheetViews>
    <sheetView showGridLines="0" topLeftCell="B1" workbookViewId="0">
      <selection activeCell="L24" sqref="L24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0" t="s">
        <v>143</v>
      </c>
      <c r="C2" s="129"/>
      <c r="D2" s="9"/>
    </row>
    <row r="3" spans="1:22" x14ac:dyDescent="0.3">
      <c r="A3" s="128" t="s">
        <v>144</v>
      </c>
      <c r="C3" s="14"/>
    </row>
    <row r="4" spans="1:22" x14ac:dyDescent="0.3">
      <c r="A4" s="128" t="s">
        <v>145</v>
      </c>
      <c r="C4" s="14"/>
    </row>
    <row r="6" spans="1:22" x14ac:dyDescent="0.3">
      <c r="B6" s="14" t="s">
        <v>191</v>
      </c>
    </row>
    <row r="7" spans="1:22" x14ac:dyDescent="0.3">
      <c r="A7" s="140"/>
      <c r="B7" s="172" t="s">
        <v>64</v>
      </c>
      <c r="C7" s="145"/>
      <c r="D7" s="145"/>
      <c r="E7" s="145"/>
      <c r="F7" s="145"/>
      <c r="G7" s="173">
        <v>45658</v>
      </c>
      <c r="H7" s="173">
        <v>45689</v>
      </c>
      <c r="I7" s="173">
        <v>45717</v>
      </c>
      <c r="J7" s="173">
        <v>45748</v>
      </c>
      <c r="K7" s="173">
        <v>45778</v>
      </c>
      <c r="L7" s="173">
        <v>45809</v>
      </c>
      <c r="M7" s="173">
        <v>45839</v>
      </c>
      <c r="N7" s="173">
        <v>45870</v>
      </c>
      <c r="O7" s="173">
        <v>45901</v>
      </c>
      <c r="P7" s="173">
        <v>45931</v>
      </c>
      <c r="Q7" s="173">
        <v>45962</v>
      </c>
      <c r="R7" s="173">
        <v>45992</v>
      </c>
      <c r="S7" s="173">
        <v>46023</v>
      </c>
      <c r="T7" s="173">
        <v>46054</v>
      </c>
      <c r="U7" s="173">
        <v>46082</v>
      </c>
      <c r="V7" s="174" t="s">
        <v>72</v>
      </c>
    </row>
    <row r="9" spans="1:22" x14ac:dyDescent="0.3">
      <c r="B9" s="14" t="s">
        <v>143</v>
      </c>
    </row>
    <row r="10" spans="1:22" x14ac:dyDescent="0.3">
      <c r="A10" s="145"/>
      <c r="B10" s="172" t="s">
        <v>146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</row>
    <row r="11" spans="1:22" x14ac:dyDescent="0.3">
      <c r="B11" s="307" t="s">
        <v>37</v>
      </c>
      <c r="C11" s="308"/>
      <c r="D11" s="308"/>
      <c r="E11" s="308"/>
      <c r="F11" s="308"/>
      <c r="G11" s="208">
        <f t="shared" ref="G11:R11" si="0">SUM(G12:G14)</f>
        <v>373290</v>
      </c>
      <c r="H11" s="208">
        <f t="shared" si="0"/>
        <v>377775</v>
      </c>
      <c r="I11" s="208">
        <f t="shared" si="0"/>
        <v>353280</v>
      </c>
      <c r="J11" s="208">
        <f t="shared" si="0"/>
        <v>695175</v>
      </c>
      <c r="K11" s="208">
        <f t="shared" si="0"/>
        <v>359835</v>
      </c>
      <c r="L11" s="208">
        <f t="shared" si="0"/>
        <v>362250</v>
      </c>
      <c r="M11" s="208">
        <f t="shared" si="0"/>
        <v>372945</v>
      </c>
      <c r="N11" s="208">
        <f t="shared" si="0"/>
        <v>367770</v>
      </c>
      <c r="O11" s="208">
        <f t="shared" si="0"/>
        <v>381570</v>
      </c>
      <c r="P11" s="208">
        <f t="shared" si="0"/>
        <v>383295</v>
      </c>
      <c r="Q11" s="208">
        <f t="shared" si="0"/>
        <v>394680</v>
      </c>
      <c r="R11" s="208">
        <f t="shared" si="0"/>
        <v>425730</v>
      </c>
      <c r="S11" s="208">
        <f>'CF 2026'!G11</f>
        <v>519820</v>
      </c>
      <c r="T11" s="208">
        <f>'CF 2026'!H11</f>
        <v>532510</v>
      </c>
      <c r="U11" s="208">
        <f>'CF 2026'!I11</f>
        <v>536270</v>
      </c>
      <c r="V11" s="208">
        <f>SUM(G11:R11)</f>
        <v>4847595</v>
      </c>
    </row>
    <row r="12" spans="1:22" x14ac:dyDescent="0.3">
      <c r="B12" s="136" t="s">
        <v>305</v>
      </c>
      <c r="C12" s="308"/>
      <c r="D12" s="308"/>
      <c r="E12" s="308"/>
      <c r="F12" s="308"/>
      <c r="G12" s="208">
        <f>'IS 2025'!F12</f>
        <v>373290</v>
      </c>
      <c r="H12" s="208">
        <f>'IS 2025'!G12</f>
        <v>377775</v>
      </c>
      <c r="I12" s="208">
        <f>'IS 2025'!H12</f>
        <v>353280</v>
      </c>
      <c r="J12" s="208">
        <f>'IS 2025'!I12</f>
        <v>695175</v>
      </c>
      <c r="K12" s="208">
        <f>'IS 2025'!J12</f>
        <v>359835</v>
      </c>
      <c r="L12" s="208">
        <f>'IS 2025'!K12</f>
        <v>362250</v>
      </c>
      <c r="M12" s="208">
        <f>'IS 2025'!L12</f>
        <v>372945</v>
      </c>
      <c r="N12" s="208">
        <f>'IS 2025'!M12</f>
        <v>367770</v>
      </c>
      <c r="O12" s="208">
        <f>'IS 2025'!N12</f>
        <v>381570</v>
      </c>
      <c r="P12" s="208">
        <f>'IS 2025'!O12</f>
        <v>383295</v>
      </c>
      <c r="Q12" s="208">
        <f>'IS 2025'!P12</f>
        <v>394680</v>
      </c>
      <c r="R12" s="208">
        <f>'IS 2025'!Q12</f>
        <v>425730</v>
      </c>
      <c r="S12" s="208">
        <f>'CF 2026'!G12</f>
        <v>519820</v>
      </c>
      <c r="T12" s="208">
        <f>'CF 2026'!H12</f>
        <v>532510</v>
      </c>
      <c r="U12" s="208">
        <f>'CF 2026'!I12</f>
        <v>536270</v>
      </c>
      <c r="V12" s="308"/>
    </row>
    <row r="13" spans="1:22" x14ac:dyDescent="0.3">
      <c r="B13" s="311" t="s">
        <v>121</v>
      </c>
      <c r="C13" s="308"/>
      <c r="D13" s="308"/>
      <c r="E13" s="308"/>
      <c r="F13" s="308"/>
      <c r="G13" s="208"/>
      <c r="H13" s="208"/>
      <c r="I13" s="208"/>
      <c r="J13" s="208"/>
      <c r="K13" s="208"/>
      <c r="L13" s="208"/>
      <c r="M13" s="208"/>
      <c r="N13" s="208"/>
      <c r="O13" s="208"/>
      <c r="P13" s="308"/>
      <c r="Q13" s="208"/>
      <c r="R13" s="208"/>
      <c r="S13" s="208"/>
      <c r="T13" s="208"/>
      <c r="U13" s="208"/>
      <c r="V13" s="308"/>
    </row>
    <row r="14" spans="1:22" x14ac:dyDescent="0.3">
      <c r="B14" s="311"/>
      <c r="C14" s="308"/>
      <c r="D14" s="308"/>
      <c r="E14" s="308"/>
      <c r="F14" s="308"/>
      <c r="G14" s="208"/>
      <c r="H14" s="208"/>
      <c r="I14" s="208"/>
      <c r="J14" s="208"/>
      <c r="K14" s="208"/>
      <c r="L14" s="208"/>
      <c r="M14" s="208"/>
      <c r="N14" s="208"/>
      <c r="O14" s="208"/>
      <c r="P14" s="308"/>
      <c r="Q14" s="208"/>
      <c r="R14" s="208"/>
      <c r="S14" s="208"/>
      <c r="T14" s="208"/>
      <c r="U14" s="208"/>
      <c r="V14" s="308"/>
    </row>
    <row r="15" spans="1:22" x14ac:dyDescent="0.3">
      <c r="B15" s="307" t="s">
        <v>38</v>
      </c>
      <c r="C15" s="308"/>
      <c r="D15" s="308"/>
      <c r="E15" s="308"/>
      <c r="F15" s="308"/>
      <c r="G15" s="208">
        <f>'CF 2024'!S15</f>
        <v>-625</v>
      </c>
      <c r="H15" s="208">
        <f>'CF 2024'!T15</f>
        <v>-625</v>
      </c>
      <c r="I15" s="208">
        <f>'CF 2024'!U15</f>
        <v>-625</v>
      </c>
      <c r="J15" s="208">
        <v>-625</v>
      </c>
      <c r="K15" s="208">
        <v>-625</v>
      </c>
      <c r="L15" s="208">
        <v>-625</v>
      </c>
      <c r="M15" s="208">
        <v>-625</v>
      </c>
      <c r="N15" s="208">
        <v>-625</v>
      </c>
      <c r="O15" s="208">
        <v>-625</v>
      </c>
      <c r="P15" s="208">
        <v>-625</v>
      </c>
      <c r="Q15" s="208">
        <v>-625</v>
      </c>
      <c r="R15" s="208">
        <v>-625</v>
      </c>
      <c r="S15" s="208">
        <v>-625</v>
      </c>
      <c r="T15" s="208">
        <v>-625</v>
      </c>
      <c r="U15" s="208">
        <v>-625</v>
      </c>
      <c r="V15" s="208">
        <f>SUM(G15:R15)</f>
        <v>-7500</v>
      </c>
    </row>
    <row r="16" spans="1:22" x14ac:dyDescent="0.3">
      <c r="B16" s="307" t="s">
        <v>147</v>
      </c>
      <c r="C16" s="308"/>
      <c r="D16" s="308"/>
      <c r="E16" s="308"/>
      <c r="F16" s="308"/>
      <c r="G16" s="208">
        <f>'IS 2025'!F58</f>
        <v>-28216.800000000003</v>
      </c>
      <c r="H16" s="208">
        <f>'IS 2025'!G58</f>
        <v>-23796.400000000001</v>
      </c>
      <c r="I16" s="208">
        <f>'IS 2025'!H58</f>
        <v>-19376</v>
      </c>
      <c r="J16" s="208">
        <f>'IS 2025'!I58</f>
        <v>-14955.6</v>
      </c>
      <c r="K16" s="208">
        <f>'IS 2025'!J58</f>
        <v>-10535.2</v>
      </c>
      <c r="L16" s="208">
        <f>'IS 2025'!K58</f>
        <v>-6114.8</v>
      </c>
      <c r="M16" s="208">
        <f>'IS 2025'!L58</f>
        <v>-1694.4</v>
      </c>
      <c r="N16" s="208">
        <f>'IS 2025'!M58</f>
        <v>0</v>
      </c>
      <c r="O16" s="208">
        <f>'IS 2025'!N58</f>
        <v>0</v>
      </c>
      <c r="P16" s="208">
        <f>'IS 2025'!O58</f>
        <v>0</v>
      </c>
      <c r="Q16" s="208">
        <f>'IS 2025'!P58</f>
        <v>0</v>
      </c>
      <c r="R16" s="208">
        <f>'IS 2025'!Q58</f>
        <v>0</v>
      </c>
      <c r="S16" s="208">
        <f>'IS 2025'!R58</f>
        <v>0</v>
      </c>
      <c r="T16" s="208">
        <f>'IS 2025'!S58</f>
        <v>0</v>
      </c>
      <c r="U16" s="208">
        <f>'IS 2025'!T58</f>
        <v>0</v>
      </c>
      <c r="V16" s="308"/>
    </row>
    <row r="17" spans="1:22" x14ac:dyDescent="0.3">
      <c r="B17" s="307" t="s">
        <v>148</v>
      </c>
      <c r="C17" s="308"/>
      <c r="D17" s="308"/>
      <c r="E17" s="308"/>
      <c r="F17" s="308"/>
      <c r="G17" s="208">
        <f>'IS 2025'!F60</f>
        <v>-74273</v>
      </c>
      <c r="H17" s="208">
        <f>'IS 2025'!G60</f>
        <v>-75170</v>
      </c>
      <c r="I17" s="208">
        <f>'IS 2025'!H60</f>
        <v>-70271</v>
      </c>
      <c r="J17" s="208">
        <f>'IS 2025'!I60</f>
        <v>-138650</v>
      </c>
      <c r="K17" s="208">
        <f>'IS 2025'!J60</f>
        <v>-71582</v>
      </c>
      <c r="L17" s="208">
        <f>'IS 2025'!K60</f>
        <v>-72065</v>
      </c>
      <c r="M17" s="208">
        <f>'IS 2025'!L60</f>
        <v>-74204</v>
      </c>
      <c r="N17" s="208">
        <f>'IS 2025'!M60</f>
        <v>-73169</v>
      </c>
      <c r="O17" s="208">
        <f>'IS 2025'!N60</f>
        <v>-75929</v>
      </c>
      <c r="P17" s="208">
        <f>'IS 2025'!O60</f>
        <v>-76274</v>
      </c>
      <c r="Q17" s="208">
        <f>'IS 2025'!P60</f>
        <v>-78551</v>
      </c>
      <c r="R17" s="208">
        <f>'IS 2025'!Q60</f>
        <v>-84761</v>
      </c>
      <c r="S17" s="208">
        <f>'IS 2025'!R60</f>
        <v>-103579</v>
      </c>
      <c r="T17" s="208">
        <f>'IS 2025'!S60</f>
        <v>-106117</v>
      </c>
      <c r="U17" s="208">
        <f>'IS 2025'!T60</f>
        <v>-106869</v>
      </c>
      <c r="V17" s="308"/>
    </row>
    <row r="18" spans="1:22" x14ac:dyDescent="0.3">
      <c r="A18" s="145"/>
      <c r="B18" s="175" t="s">
        <v>149</v>
      </c>
      <c r="C18" s="145"/>
      <c r="D18" s="145"/>
      <c r="E18" s="145"/>
      <c r="F18" s="145"/>
      <c r="G18" s="153">
        <f t="shared" ref="G18:U18" si="1">G11</f>
        <v>373290</v>
      </c>
      <c r="H18" s="153">
        <f t="shared" si="1"/>
        <v>377775</v>
      </c>
      <c r="I18" s="153">
        <f t="shared" si="1"/>
        <v>353280</v>
      </c>
      <c r="J18" s="153">
        <f t="shared" si="1"/>
        <v>695175</v>
      </c>
      <c r="K18" s="153">
        <f t="shared" si="1"/>
        <v>359835</v>
      </c>
      <c r="L18" s="153">
        <f t="shared" si="1"/>
        <v>362250</v>
      </c>
      <c r="M18" s="153">
        <f t="shared" si="1"/>
        <v>372945</v>
      </c>
      <c r="N18" s="153">
        <f t="shared" si="1"/>
        <v>367770</v>
      </c>
      <c r="O18" s="153">
        <f t="shared" si="1"/>
        <v>381570</v>
      </c>
      <c r="P18" s="153">
        <f t="shared" si="1"/>
        <v>383295</v>
      </c>
      <c r="Q18" s="153">
        <f t="shared" si="1"/>
        <v>394680</v>
      </c>
      <c r="R18" s="153">
        <f t="shared" si="1"/>
        <v>425730</v>
      </c>
      <c r="S18" s="153">
        <f t="shared" si="1"/>
        <v>519820</v>
      </c>
      <c r="T18" s="153">
        <f t="shared" si="1"/>
        <v>532510</v>
      </c>
      <c r="U18" s="153">
        <f t="shared" si="1"/>
        <v>536270</v>
      </c>
      <c r="V18" s="153">
        <f>SUM(G18:R18)</f>
        <v>4847595</v>
      </c>
    </row>
    <row r="19" spans="1:22" x14ac:dyDescent="0.3">
      <c r="A19" s="146"/>
      <c r="B19" s="196" t="s">
        <v>150</v>
      </c>
      <c r="C19" s="146"/>
      <c r="D19" s="146"/>
      <c r="E19" s="146"/>
      <c r="F19" s="146"/>
      <c r="G19" s="147">
        <f>SUM(G15:G17)</f>
        <v>-103114.8</v>
      </c>
      <c r="H19" s="147">
        <f t="shared" ref="H19:U19" si="2">SUM(H15:H17)</f>
        <v>-99591.4</v>
      </c>
      <c r="I19" s="147">
        <f t="shared" si="2"/>
        <v>-90272</v>
      </c>
      <c r="J19" s="147">
        <f t="shared" si="2"/>
        <v>-154230.6</v>
      </c>
      <c r="K19" s="147">
        <f t="shared" si="2"/>
        <v>-82742.2</v>
      </c>
      <c r="L19" s="147">
        <f t="shared" si="2"/>
        <v>-78804.800000000003</v>
      </c>
      <c r="M19" s="147">
        <f t="shared" si="2"/>
        <v>-76523.399999999994</v>
      </c>
      <c r="N19" s="147">
        <f t="shared" si="2"/>
        <v>-73794</v>
      </c>
      <c r="O19" s="147">
        <f t="shared" si="2"/>
        <v>-76554</v>
      </c>
      <c r="P19" s="147">
        <f t="shared" si="2"/>
        <v>-76899</v>
      </c>
      <c r="Q19" s="147">
        <f t="shared" si="2"/>
        <v>-79176</v>
      </c>
      <c r="R19" s="147">
        <f t="shared" si="2"/>
        <v>-85386</v>
      </c>
      <c r="S19" s="147">
        <f t="shared" si="2"/>
        <v>-104204</v>
      </c>
      <c r="T19" s="147">
        <f t="shared" si="2"/>
        <v>-106742</v>
      </c>
      <c r="U19" s="147">
        <f t="shared" si="2"/>
        <v>-107494</v>
      </c>
      <c r="V19" s="147">
        <f>SUM(G19:R19)</f>
        <v>-1077088.2000000002</v>
      </c>
    </row>
    <row r="20" spans="1:22" x14ac:dyDescent="0.3">
      <c r="B20" s="148" t="s">
        <v>151</v>
      </c>
      <c r="C20" s="148"/>
      <c r="D20" s="148"/>
      <c r="E20" s="148"/>
      <c r="F20" s="148"/>
      <c r="G20" s="149">
        <f>SUM(G18:G19)</f>
        <v>270175.2</v>
      </c>
      <c r="H20" s="149">
        <f t="shared" ref="H20:R20" si="3">SUM(H18:H19)</f>
        <v>278183.59999999998</v>
      </c>
      <c r="I20" s="149">
        <f t="shared" si="3"/>
        <v>263008</v>
      </c>
      <c r="J20" s="149">
        <f t="shared" si="3"/>
        <v>540944.4</v>
      </c>
      <c r="K20" s="149">
        <f t="shared" si="3"/>
        <v>277092.8</v>
      </c>
      <c r="L20" s="149">
        <f t="shared" si="3"/>
        <v>283445.2</v>
      </c>
      <c r="M20" s="149">
        <f t="shared" si="3"/>
        <v>296421.59999999998</v>
      </c>
      <c r="N20" s="149">
        <f t="shared" si="3"/>
        <v>293976</v>
      </c>
      <c r="O20" s="149">
        <f t="shared" si="3"/>
        <v>305016</v>
      </c>
      <c r="P20" s="149">
        <f t="shared" si="3"/>
        <v>306396</v>
      </c>
      <c r="Q20" s="149">
        <f t="shared" si="3"/>
        <v>315504</v>
      </c>
      <c r="R20" s="149">
        <f t="shared" si="3"/>
        <v>340344</v>
      </c>
      <c r="S20" s="149">
        <f>'CF 2026'!G20</f>
        <v>429132.4</v>
      </c>
      <c r="T20" s="149">
        <f>'CF 2026'!H20</f>
        <v>439284.4</v>
      </c>
      <c r="U20" s="149">
        <f>'CF 2026'!I20</f>
        <v>442292.4</v>
      </c>
      <c r="V20" s="149">
        <f>SUM(G20:R20)</f>
        <v>3770506.8000000003</v>
      </c>
    </row>
    <row r="21" spans="1:22" ht="15" customHeight="1" x14ac:dyDescent="0.3">
      <c r="B21" s="148" t="s">
        <v>193</v>
      </c>
      <c r="C21" s="148"/>
      <c r="D21" s="148"/>
      <c r="E21" s="148"/>
      <c r="F21" s="148"/>
      <c r="G21" s="149">
        <f>'IS 2025'!F56+G20</f>
        <v>268325.2</v>
      </c>
      <c r="H21" s="149">
        <f>'IS 2024'!G57-H20</f>
        <v>-279633.59999999998</v>
      </c>
      <c r="I21" s="149">
        <f>'IS 2024'!H57+I20</f>
        <v>261558</v>
      </c>
      <c r="J21" s="149">
        <f>'IS 2024'!I57+J20</f>
        <v>539494.40000000002</v>
      </c>
      <c r="K21" s="149">
        <f>'IS 2024'!J57+K20</f>
        <v>275642.8</v>
      </c>
      <c r="L21" s="149">
        <f>'IS 2024'!K57+L20</f>
        <v>281995.2</v>
      </c>
      <c r="M21" s="149">
        <f>'IS 2024'!L57+M20</f>
        <v>294971.59999999998</v>
      </c>
      <c r="N21" s="149">
        <f>'IS 2024'!M57+N20</f>
        <v>292526</v>
      </c>
      <c r="O21" s="149">
        <f>'IS 2024'!N57+O20</f>
        <v>303566</v>
      </c>
      <c r="P21" s="149">
        <f>'IS 2024'!O57+P20</f>
        <v>304946</v>
      </c>
      <c r="Q21" s="149">
        <f>'IS 2024'!P57+Q20</f>
        <v>314054</v>
      </c>
      <c r="R21" s="149">
        <f>'IS 2024'!Q57+R20</f>
        <v>338494</v>
      </c>
      <c r="S21" s="149">
        <f>'CF 2026'!G21</f>
        <v>427282.4</v>
      </c>
      <c r="T21" s="149">
        <f>'CF 2026'!H21</f>
        <v>437834.4</v>
      </c>
      <c r="U21" s="149">
        <f>'CF 2026'!I21</f>
        <v>440842.4</v>
      </c>
      <c r="V21" s="149"/>
    </row>
    <row r="22" spans="1:22" ht="15" customHeight="1" x14ac:dyDescent="0.3">
      <c r="B22" s="313" t="s">
        <v>152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9">
        <f>'CF 2026'!G22</f>
        <v>0</v>
      </c>
      <c r="T22" s="149">
        <f>'CF 2026'!H22</f>
        <v>0</v>
      </c>
      <c r="U22" s="149">
        <f>'CF 2026'!I22</f>
        <v>0</v>
      </c>
      <c r="V22" s="308"/>
    </row>
    <row r="23" spans="1:22" ht="15" customHeight="1" x14ac:dyDescent="0.3">
      <c r="B23" s="315" t="s">
        <v>153</v>
      </c>
      <c r="C23" s="148"/>
      <c r="D23" s="148"/>
      <c r="E23" s="148"/>
      <c r="F23" s="148"/>
      <c r="G23" s="149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9">
        <f>'CF 2026'!G23</f>
        <v>0</v>
      </c>
      <c r="T23" s="149">
        <f>'CF 2026'!H23</f>
        <v>0</v>
      </c>
      <c r="U23" s="149">
        <f>'CF 2026'!I23</f>
        <v>0</v>
      </c>
      <c r="V23" s="308"/>
    </row>
    <row r="24" spans="1:22" ht="15" customHeight="1" x14ac:dyDescent="0.3">
      <c r="B24" s="316" t="s">
        <v>117</v>
      </c>
      <c r="C24" s="148"/>
      <c r="D24" s="148"/>
      <c r="E24" s="148"/>
      <c r="F24" s="148"/>
      <c r="G24" s="149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324">
        <f>'CF 2026'!G24</f>
        <v>0</v>
      </c>
      <c r="T24" s="149">
        <f>'CF 2026'!H24</f>
        <v>0</v>
      </c>
      <c r="U24" s="149">
        <f>'CF 2026'!I24</f>
        <v>0</v>
      </c>
      <c r="V24" s="308"/>
    </row>
    <row r="25" spans="1:22" ht="15" customHeight="1" x14ac:dyDescent="0.3">
      <c r="B25" s="315" t="s">
        <v>154</v>
      </c>
      <c r="C25" s="148"/>
      <c r="D25" s="148"/>
      <c r="E25" s="148"/>
      <c r="F25" s="148"/>
      <c r="G25" s="149">
        <f>SUM(G23:G24)</f>
        <v>0</v>
      </c>
      <c r="H25" s="149">
        <f t="shared" ref="H25:R25" si="4">SUM(H23:H24)</f>
        <v>0</v>
      </c>
      <c r="I25" s="149">
        <f t="shared" si="4"/>
        <v>0</v>
      </c>
      <c r="J25" s="149">
        <f t="shared" si="4"/>
        <v>0</v>
      </c>
      <c r="K25" s="149">
        <f t="shared" si="4"/>
        <v>0</v>
      </c>
      <c r="L25" s="149">
        <f t="shared" si="4"/>
        <v>0</v>
      </c>
      <c r="M25" s="149">
        <f t="shared" si="4"/>
        <v>0</v>
      </c>
      <c r="N25" s="149">
        <f t="shared" si="4"/>
        <v>0</v>
      </c>
      <c r="O25" s="149">
        <f t="shared" si="4"/>
        <v>0</v>
      </c>
      <c r="P25" s="149">
        <f t="shared" si="4"/>
        <v>0</v>
      </c>
      <c r="Q25" s="149">
        <f t="shared" si="4"/>
        <v>0</v>
      </c>
      <c r="R25" s="149">
        <f t="shared" si="4"/>
        <v>0</v>
      </c>
      <c r="S25" s="149">
        <f>'CF 2026'!G25</f>
        <v>0</v>
      </c>
      <c r="T25" s="149">
        <f>'CF 2026'!H25</f>
        <v>0</v>
      </c>
      <c r="U25" s="149">
        <f>'CF 2026'!I25</f>
        <v>0</v>
      </c>
      <c r="V25" s="308"/>
    </row>
    <row r="26" spans="1:22" ht="15" customHeight="1" x14ac:dyDescent="0.3">
      <c r="B26" s="317" t="s">
        <v>155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9">
        <f>'CF 2026'!G26</f>
        <v>0</v>
      </c>
      <c r="T26" s="149">
        <f>'CF 2026'!H26</f>
        <v>0</v>
      </c>
      <c r="U26" s="149">
        <f>'CF 2026'!I26</f>
        <v>0</v>
      </c>
      <c r="V26" s="308"/>
    </row>
    <row r="27" spans="1:22" ht="15" customHeight="1" x14ac:dyDescent="0.3">
      <c r="B27" s="307" t="s">
        <v>156</v>
      </c>
      <c r="C27" s="308"/>
      <c r="D27" s="308"/>
      <c r="E27" s="308"/>
      <c r="F27" s="308"/>
      <c r="G27" s="2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208">
        <f>'CF 2026'!G27</f>
        <v>0</v>
      </c>
      <c r="T27" s="208">
        <f>'CF 2026'!H27</f>
        <v>0</v>
      </c>
      <c r="U27" s="208">
        <f>'CF 2026'!I27</f>
        <v>0</v>
      </c>
      <c r="V27" s="308"/>
    </row>
    <row r="28" spans="1:22" ht="15" customHeight="1" x14ac:dyDescent="0.3">
      <c r="B28" s="311" t="s">
        <v>117</v>
      </c>
      <c r="C28" s="308"/>
      <c r="D28" s="308"/>
      <c r="E28" s="308"/>
      <c r="F28" s="308"/>
      <c r="G28" s="2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208">
        <f>'CF 2026'!G28</f>
        <v>0</v>
      </c>
      <c r="T28" s="208">
        <f>'CF 2026'!H28</f>
        <v>0</v>
      </c>
      <c r="U28" s="208">
        <f>'CF 2026'!I28</f>
        <v>0</v>
      </c>
      <c r="V28" s="308"/>
    </row>
    <row r="29" spans="1:22" ht="15" customHeight="1" x14ac:dyDescent="0.3">
      <c r="B29" s="311" t="s">
        <v>118</v>
      </c>
      <c r="C29" s="308"/>
      <c r="D29" s="308"/>
      <c r="E29" s="308"/>
      <c r="F29" s="308"/>
      <c r="G29" s="2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208">
        <f>'CF 2026'!G29</f>
        <v>0</v>
      </c>
      <c r="T29" s="208">
        <f>'CF 2026'!H29</f>
        <v>0</v>
      </c>
      <c r="U29" s="208">
        <f>'CF 2026'!I29</f>
        <v>0</v>
      </c>
      <c r="V29" s="308"/>
    </row>
    <row r="30" spans="1:22" ht="15" customHeight="1" x14ac:dyDescent="0.3">
      <c r="B30" s="311" t="s">
        <v>119</v>
      </c>
      <c r="C30" s="308"/>
      <c r="D30" s="308"/>
      <c r="E30" s="308"/>
      <c r="F30" s="308"/>
      <c r="G30" s="2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208">
        <f>'CF 2026'!G30</f>
        <v>0</v>
      </c>
      <c r="T30" s="208">
        <f>'CF 2026'!H30</f>
        <v>0</v>
      </c>
      <c r="U30" s="208">
        <f>'CF 2026'!I30</f>
        <v>0</v>
      </c>
      <c r="V30" s="308"/>
    </row>
    <row r="31" spans="1:22" ht="15" customHeight="1" x14ac:dyDescent="0.3">
      <c r="B31" s="307" t="s">
        <v>157</v>
      </c>
      <c r="C31" s="308"/>
      <c r="D31" s="308"/>
      <c r="E31" s="308"/>
      <c r="F31" s="308"/>
      <c r="G31" s="308">
        <v>-22102</v>
      </c>
      <c r="H31" s="308">
        <v>-22102</v>
      </c>
      <c r="I31" s="308">
        <v>-22102</v>
      </c>
      <c r="J31" s="308">
        <v>-22102</v>
      </c>
      <c r="K31" s="308">
        <v>-22102</v>
      </c>
      <c r="L31" s="308">
        <v>-22102</v>
      </c>
      <c r="M31" s="308">
        <v>-22102</v>
      </c>
      <c r="N31" s="308">
        <v>-8472</v>
      </c>
      <c r="O31" s="308"/>
      <c r="P31" s="308"/>
      <c r="Q31" s="308"/>
      <c r="R31" s="308"/>
      <c r="S31" s="208"/>
      <c r="T31" s="208"/>
      <c r="U31" s="208"/>
      <c r="V31" s="208">
        <f>SUM(G31:R31)</f>
        <v>-163186</v>
      </c>
    </row>
    <row r="32" spans="1:22" ht="15" customHeight="1" x14ac:dyDescent="0.3">
      <c r="B32" s="311" t="s">
        <v>117</v>
      </c>
      <c r="C32" s="308"/>
      <c r="D32" s="308"/>
      <c r="E32" s="308"/>
      <c r="F32" s="308"/>
      <c r="G32" s="3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>
        <f>'CF 2026'!G32</f>
        <v>0</v>
      </c>
      <c r="T32" s="208">
        <f>'CF 2026'!H32</f>
        <v>0</v>
      </c>
      <c r="U32" s="208">
        <f>'CF 2026'!I32</f>
        <v>0</v>
      </c>
      <c r="V32" s="308"/>
    </row>
    <row r="33" spans="1:22" ht="15" customHeight="1" x14ac:dyDescent="0.3">
      <c r="B33" s="307" t="s">
        <v>158</v>
      </c>
      <c r="C33" s="308"/>
      <c r="D33" s="308"/>
      <c r="E33" s="308"/>
      <c r="F33" s="308"/>
      <c r="G33" s="2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208">
        <f>'CF 2026'!G33</f>
        <v>0</v>
      </c>
      <c r="T33" s="208">
        <f>'CF 2026'!H33</f>
        <v>0</v>
      </c>
      <c r="U33" s="208">
        <f>'CF 2026'!I33</f>
        <v>0</v>
      </c>
      <c r="V33" s="308"/>
    </row>
    <row r="34" spans="1:22" ht="15" customHeight="1" x14ac:dyDescent="0.3">
      <c r="B34" s="311" t="s">
        <v>117</v>
      </c>
      <c r="C34" s="308"/>
      <c r="D34" s="308"/>
      <c r="E34" s="308"/>
      <c r="F34" s="308"/>
      <c r="G34" s="2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208">
        <f>'CF 2026'!G34</f>
        <v>0</v>
      </c>
      <c r="T34" s="208">
        <f>'CF 2026'!H34</f>
        <v>0</v>
      </c>
      <c r="U34" s="208">
        <f>'CF 2026'!I34</f>
        <v>0</v>
      </c>
      <c r="V34" s="308"/>
    </row>
    <row r="35" spans="1:22" ht="15" customHeight="1" x14ac:dyDescent="0.3">
      <c r="B35" s="307" t="s">
        <v>159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208">
        <f>'CF 2026'!G35</f>
        <v>0</v>
      </c>
      <c r="T35" s="208">
        <f>'CF 2026'!H35</f>
        <v>0</v>
      </c>
      <c r="U35" s="208">
        <f>'CF 2026'!I35</f>
        <v>0</v>
      </c>
      <c r="V35" s="308"/>
    </row>
    <row r="36" spans="1:22" ht="15" customHeight="1" x14ac:dyDescent="0.3">
      <c r="B36" s="311" t="s">
        <v>117</v>
      </c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208">
        <f>'CF 2026'!G36</f>
        <v>0</v>
      </c>
      <c r="T36" s="208">
        <f>'CF 2026'!H36</f>
        <v>0</v>
      </c>
      <c r="U36" s="208">
        <f>'CF 2026'!I36</f>
        <v>0</v>
      </c>
      <c r="V36" s="308"/>
    </row>
    <row r="37" spans="1:22" ht="15" customHeight="1" x14ac:dyDescent="0.3">
      <c r="B37" s="307" t="s">
        <v>160</v>
      </c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208">
        <f>'CF 2026'!G37</f>
        <v>0</v>
      </c>
      <c r="T37" s="208">
        <f>'CF 2026'!H37</f>
        <v>0</v>
      </c>
      <c r="U37" s="208">
        <f>'CF 2026'!I37</f>
        <v>0</v>
      </c>
      <c r="V37" s="308"/>
    </row>
    <row r="38" spans="1:22" ht="15" customHeight="1" x14ac:dyDescent="0.3">
      <c r="B38" s="311" t="s">
        <v>117</v>
      </c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208">
        <f>'CF 2026'!G38</f>
        <v>0</v>
      </c>
      <c r="T38" s="208">
        <f>'CF 2026'!H38</f>
        <v>0</v>
      </c>
      <c r="U38" s="208">
        <f>'CF 2026'!I38</f>
        <v>0</v>
      </c>
      <c r="V38" s="308"/>
    </row>
    <row r="39" spans="1:22" ht="15" customHeight="1" x14ac:dyDescent="0.3">
      <c r="B39" s="307" t="s">
        <v>45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208">
        <f>'CF 2026'!G39</f>
        <v>0</v>
      </c>
      <c r="T39" s="208">
        <f>'CF 2026'!H39</f>
        <v>0</v>
      </c>
      <c r="U39" s="208">
        <f>'CF 2026'!I39</f>
        <v>0</v>
      </c>
      <c r="V39" s="308"/>
    </row>
    <row r="40" spans="1:22" ht="15" customHeight="1" x14ac:dyDescent="0.3">
      <c r="B40" s="307" t="s">
        <v>161</v>
      </c>
      <c r="C40" s="308"/>
      <c r="D40" s="308"/>
      <c r="E40" s="308"/>
      <c r="F40" s="308"/>
      <c r="G40" s="208">
        <f>SUM(G27:G39)</f>
        <v>-22102</v>
      </c>
      <c r="H40" s="208">
        <f t="shared" ref="H40:R40" si="5">SUM(H27:H39)</f>
        <v>-22102</v>
      </c>
      <c r="I40" s="208">
        <f t="shared" si="5"/>
        <v>-22102</v>
      </c>
      <c r="J40" s="208">
        <f t="shared" si="5"/>
        <v>-22102</v>
      </c>
      <c r="K40" s="208">
        <f t="shared" si="5"/>
        <v>-22102</v>
      </c>
      <c r="L40" s="208">
        <f t="shared" si="5"/>
        <v>-22102</v>
      </c>
      <c r="M40" s="208">
        <f t="shared" si="5"/>
        <v>-22102</v>
      </c>
      <c r="N40" s="208">
        <f t="shared" si="5"/>
        <v>-8472</v>
      </c>
      <c r="O40" s="208">
        <f t="shared" si="5"/>
        <v>0</v>
      </c>
      <c r="P40" s="208">
        <f t="shared" si="5"/>
        <v>0</v>
      </c>
      <c r="Q40" s="208">
        <f t="shared" si="5"/>
        <v>0</v>
      </c>
      <c r="R40" s="208">
        <f t="shared" si="5"/>
        <v>0</v>
      </c>
      <c r="S40" s="208">
        <f>'CF 2026'!G40</f>
        <v>0</v>
      </c>
      <c r="T40" s="208">
        <f>'CF 2026'!H40</f>
        <v>0</v>
      </c>
      <c r="U40" s="208">
        <f>'CF 2026'!I40</f>
        <v>0</v>
      </c>
      <c r="V40" s="308"/>
    </row>
    <row r="41" spans="1:22" ht="15" customHeight="1" x14ac:dyDescent="0.3">
      <c r="B41" s="318" t="s">
        <v>162</v>
      </c>
      <c r="C41" s="319"/>
      <c r="D41" s="319"/>
      <c r="E41" s="319"/>
      <c r="F41" s="319"/>
      <c r="G41" s="325">
        <f>G50</f>
        <v>248073.2</v>
      </c>
      <c r="H41" s="325">
        <f>H20+H40</f>
        <v>256081.59999999998</v>
      </c>
      <c r="I41" s="325">
        <f>I20+I40</f>
        <v>240906</v>
      </c>
      <c r="J41" s="325">
        <f>J20+J40</f>
        <v>518842.4</v>
      </c>
      <c r="K41" s="325">
        <f t="shared" ref="K41:U41" si="6">K20+K40</f>
        <v>254990.8</v>
      </c>
      <c r="L41" s="325">
        <f t="shared" si="6"/>
        <v>261343.2</v>
      </c>
      <c r="M41" s="325">
        <f t="shared" si="6"/>
        <v>274319.59999999998</v>
      </c>
      <c r="N41" s="325">
        <f t="shared" si="6"/>
        <v>285504</v>
      </c>
      <c r="O41" s="325">
        <f t="shared" si="6"/>
        <v>305016</v>
      </c>
      <c r="P41" s="325">
        <f t="shared" si="6"/>
        <v>306396</v>
      </c>
      <c r="Q41" s="325">
        <f t="shared" si="6"/>
        <v>315504</v>
      </c>
      <c r="R41" s="325">
        <f t="shared" si="6"/>
        <v>340344</v>
      </c>
      <c r="S41" s="327">
        <f t="shared" si="6"/>
        <v>429132.4</v>
      </c>
      <c r="T41" s="327">
        <f t="shared" si="6"/>
        <v>439284.4</v>
      </c>
      <c r="U41" s="327">
        <f t="shared" si="6"/>
        <v>442292.4</v>
      </c>
      <c r="V41" s="325">
        <f>SUM(G41:R41)</f>
        <v>3607320.8000000003</v>
      </c>
    </row>
    <row r="42" spans="1:22" x14ac:dyDescent="0.3">
      <c r="A42" s="145"/>
      <c r="B42" s="172" t="s">
        <v>163</v>
      </c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</row>
    <row r="43" spans="1:22" x14ac:dyDescent="0.3">
      <c r="B43" s="321" t="s">
        <v>154</v>
      </c>
      <c r="C43" s="321"/>
      <c r="D43" s="321"/>
      <c r="E43" s="321"/>
      <c r="F43" s="321"/>
      <c r="G43" s="326">
        <f>G25</f>
        <v>0</v>
      </c>
      <c r="H43" s="326">
        <f t="shared" ref="H43:U43" si="7">H25</f>
        <v>0</v>
      </c>
      <c r="I43" s="326">
        <f t="shared" si="7"/>
        <v>0</v>
      </c>
      <c r="J43" s="326">
        <f t="shared" si="7"/>
        <v>0</v>
      </c>
      <c r="K43" s="326">
        <f t="shared" si="7"/>
        <v>0</v>
      </c>
      <c r="L43" s="326">
        <f t="shared" si="7"/>
        <v>0</v>
      </c>
      <c r="M43" s="326">
        <f t="shared" si="7"/>
        <v>0</v>
      </c>
      <c r="N43" s="326">
        <f t="shared" si="7"/>
        <v>0</v>
      </c>
      <c r="O43" s="326">
        <f t="shared" si="7"/>
        <v>0</v>
      </c>
      <c r="P43" s="326">
        <f t="shared" si="7"/>
        <v>0</v>
      </c>
      <c r="Q43" s="326">
        <f t="shared" si="7"/>
        <v>0</v>
      </c>
      <c r="R43" s="326">
        <f t="shared" si="7"/>
        <v>0</v>
      </c>
      <c r="S43" s="326">
        <f t="shared" si="7"/>
        <v>0</v>
      </c>
      <c r="T43" s="326">
        <f t="shared" si="7"/>
        <v>0</v>
      </c>
      <c r="U43" s="326">
        <f t="shared" si="7"/>
        <v>0</v>
      </c>
    </row>
    <row r="44" spans="1:22" x14ac:dyDescent="0.3">
      <c r="B44" s="148" t="s">
        <v>161</v>
      </c>
      <c r="C44" s="148"/>
      <c r="D44" s="148"/>
      <c r="E44" s="148"/>
      <c r="F44" s="148"/>
      <c r="G44" s="149">
        <f>G40</f>
        <v>-22102</v>
      </c>
      <c r="H44" s="149">
        <f t="shared" ref="H44:U44" si="8">H40</f>
        <v>-22102</v>
      </c>
      <c r="I44" s="149">
        <f t="shared" si="8"/>
        <v>-22102</v>
      </c>
      <c r="J44" s="149">
        <f t="shared" si="8"/>
        <v>-22102</v>
      </c>
      <c r="K44" s="149">
        <f t="shared" si="8"/>
        <v>-22102</v>
      </c>
      <c r="L44" s="149">
        <f t="shared" si="8"/>
        <v>-22102</v>
      </c>
      <c r="M44" s="149">
        <f t="shared" si="8"/>
        <v>-22102</v>
      </c>
      <c r="N44" s="149">
        <f t="shared" si="8"/>
        <v>-8472</v>
      </c>
      <c r="O44" s="149">
        <f t="shared" si="8"/>
        <v>0</v>
      </c>
      <c r="P44" s="149">
        <f t="shared" si="8"/>
        <v>0</v>
      </c>
      <c r="Q44" s="149">
        <f t="shared" si="8"/>
        <v>0</v>
      </c>
      <c r="R44" s="149">
        <f t="shared" si="8"/>
        <v>0</v>
      </c>
      <c r="S44" s="149">
        <f t="shared" si="8"/>
        <v>0</v>
      </c>
      <c r="T44" s="149">
        <f t="shared" si="8"/>
        <v>0</v>
      </c>
      <c r="U44" s="149">
        <f t="shared" si="8"/>
        <v>0</v>
      </c>
    </row>
    <row r="45" spans="1:22" x14ac:dyDescent="0.3">
      <c r="B45" s="148" t="s">
        <v>37</v>
      </c>
      <c r="C45" s="148"/>
      <c r="D45" s="148"/>
      <c r="E45" s="148"/>
      <c r="F45" s="148"/>
      <c r="G45" s="149">
        <f t="shared" ref="G45:U45" si="9">G11</f>
        <v>373290</v>
      </c>
      <c r="H45" s="149">
        <f t="shared" si="9"/>
        <v>377775</v>
      </c>
      <c r="I45" s="149">
        <f t="shared" si="9"/>
        <v>353280</v>
      </c>
      <c r="J45" s="149">
        <f t="shared" si="9"/>
        <v>695175</v>
      </c>
      <c r="K45" s="149">
        <f t="shared" si="9"/>
        <v>359835</v>
      </c>
      <c r="L45" s="149">
        <f t="shared" si="9"/>
        <v>362250</v>
      </c>
      <c r="M45" s="149">
        <f t="shared" si="9"/>
        <v>372945</v>
      </c>
      <c r="N45" s="149">
        <f t="shared" si="9"/>
        <v>367770</v>
      </c>
      <c r="O45" s="149">
        <f t="shared" si="9"/>
        <v>381570</v>
      </c>
      <c r="P45" s="149">
        <f t="shared" si="9"/>
        <v>383295</v>
      </c>
      <c r="Q45" s="149">
        <f t="shared" si="9"/>
        <v>394680</v>
      </c>
      <c r="R45" s="149">
        <f t="shared" si="9"/>
        <v>425730</v>
      </c>
      <c r="S45" s="149">
        <f t="shared" si="9"/>
        <v>519820</v>
      </c>
      <c r="T45" s="149">
        <f t="shared" si="9"/>
        <v>532510</v>
      </c>
      <c r="U45" s="149">
        <f t="shared" si="9"/>
        <v>536270</v>
      </c>
    </row>
    <row r="46" spans="1:22" x14ac:dyDescent="0.3">
      <c r="B46" s="148" t="s">
        <v>38</v>
      </c>
      <c r="C46" s="148"/>
      <c r="D46" s="148"/>
      <c r="E46" s="148"/>
      <c r="F46" s="148"/>
      <c r="G46" s="149">
        <f>G15</f>
        <v>-625</v>
      </c>
      <c r="H46" s="149">
        <f t="shared" ref="H46:U46" si="10">H15</f>
        <v>-625</v>
      </c>
      <c r="I46" s="149">
        <f t="shared" si="10"/>
        <v>-625</v>
      </c>
      <c r="J46" s="149">
        <f t="shared" si="10"/>
        <v>-625</v>
      </c>
      <c r="K46" s="149">
        <f t="shared" si="10"/>
        <v>-625</v>
      </c>
      <c r="L46" s="149">
        <f t="shared" si="10"/>
        <v>-625</v>
      </c>
      <c r="M46" s="149">
        <f t="shared" si="10"/>
        <v>-625</v>
      </c>
      <c r="N46" s="149">
        <f t="shared" si="10"/>
        <v>-625</v>
      </c>
      <c r="O46" s="149">
        <f t="shared" si="10"/>
        <v>-625</v>
      </c>
      <c r="P46" s="149">
        <f t="shared" si="10"/>
        <v>-625</v>
      </c>
      <c r="Q46" s="149">
        <f t="shared" si="10"/>
        <v>-625</v>
      </c>
      <c r="R46" s="149">
        <f t="shared" si="10"/>
        <v>-625</v>
      </c>
      <c r="S46" s="149">
        <f t="shared" si="10"/>
        <v>-625</v>
      </c>
      <c r="T46" s="149">
        <f t="shared" si="10"/>
        <v>-625</v>
      </c>
      <c r="U46" s="149">
        <f t="shared" si="10"/>
        <v>-625</v>
      </c>
    </row>
    <row r="47" spans="1:22" x14ac:dyDescent="0.3">
      <c r="B47" s="148" t="s">
        <v>164</v>
      </c>
      <c r="C47" s="148"/>
      <c r="D47" s="148"/>
      <c r="E47" s="148"/>
      <c r="F47" s="148"/>
      <c r="G47" s="149">
        <f>SUM(G43:G46)</f>
        <v>350563</v>
      </c>
      <c r="H47" s="149">
        <f t="shared" ref="H47:U47" si="11">SUM(H43:H46)</f>
        <v>355048</v>
      </c>
      <c r="I47" s="149">
        <f t="shared" si="11"/>
        <v>330553</v>
      </c>
      <c r="J47" s="149">
        <f t="shared" si="11"/>
        <v>672448</v>
      </c>
      <c r="K47" s="149">
        <f t="shared" si="11"/>
        <v>337108</v>
      </c>
      <c r="L47" s="149">
        <f t="shared" si="11"/>
        <v>339523</v>
      </c>
      <c r="M47" s="149">
        <f t="shared" si="11"/>
        <v>350218</v>
      </c>
      <c r="N47" s="149">
        <f t="shared" si="11"/>
        <v>358673</v>
      </c>
      <c r="O47" s="149">
        <f t="shared" si="11"/>
        <v>380945</v>
      </c>
      <c r="P47" s="149">
        <f t="shared" si="11"/>
        <v>382670</v>
      </c>
      <c r="Q47" s="149">
        <f t="shared" si="11"/>
        <v>394055</v>
      </c>
      <c r="R47" s="149">
        <f t="shared" si="11"/>
        <v>425105</v>
      </c>
      <c r="S47" s="149">
        <f t="shared" si="11"/>
        <v>519195</v>
      </c>
      <c r="T47" s="149">
        <f t="shared" si="11"/>
        <v>531885</v>
      </c>
      <c r="U47" s="149">
        <f t="shared" si="11"/>
        <v>535645</v>
      </c>
    </row>
    <row r="48" spans="1:22" x14ac:dyDescent="0.3">
      <c r="B48" s="148" t="s">
        <v>147</v>
      </c>
      <c r="C48" s="148"/>
      <c r="D48" s="148"/>
      <c r="E48" s="148"/>
      <c r="F48" s="148"/>
      <c r="G48" s="149">
        <f>G16</f>
        <v>-28216.800000000003</v>
      </c>
      <c r="H48" s="149">
        <f t="shared" ref="H48:U48" si="12">H16</f>
        <v>-23796.400000000001</v>
      </c>
      <c r="I48" s="149">
        <f t="shared" si="12"/>
        <v>-19376</v>
      </c>
      <c r="J48" s="149">
        <f t="shared" si="12"/>
        <v>-14955.6</v>
      </c>
      <c r="K48" s="149">
        <f t="shared" si="12"/>
        <v>-10535.2</v>
      </c>
      <c r="L48" s="149">
        <f t="shared" si="12"/>
        <v>-6114.8</v>
      </c>
      <c r="M48" s="149">
        <f t="shared" si="12"/>
        <v>-1694.4</v>
      </c>
      <c r="N48" s="149">
        <f t="shared" si="12"/>
        <v>0</v>
      </c>
      <c r="O48" s="149">
        <f t="shared" si="12"/>
        <v>0</v>
      </c>
      <c r="P48" s="149">
        <f t="shared" si="12"/>
        <v>0</v>
      </c>
      <c r="Q48" s="149">
        <f t="shared" si="12"/>
        <v>0</v>
      </c>
      <c r="R48" s="149">
        <f t="shared" si="12"/>
        <v>0</v>
      </c>
      <c r="S48" s="149">
        <f t="shared" si="12"/>
        <v>0</v>
      </c>
      <c r="T48" s="149">
        <f t="shared" si="12"/>
        <v>0</v>
      </c>
      <c r="U48" s="149">
        <f t="shared" si="12"/>
        <v>0</v>
      </c>
    </row>
    <row r="49" spans="1:22" x14ac:dyDescent="0.3">
      <c r="B49" s="148" t="s">
        <v>148</v>
      </c>
      <c r="C49" s="148"/>
      <c r="D49" s="148"/>
      <c r="E49" s="148"/>
      <c r="F49" s="148"/>
      <c r="G49" s="328">
        <f>G17</f>
        <v>-74273</v>
      </c>
      <c r="H49" s="328">
        <f t="shared" ref="H49:U49" si="13">H17</f>
        <v>-75170</v>
      </c>
      <c r="I49" s="328">
        <f t="shared" si="13"/>
        <v>-70271</v>
      </c>
      <c r="J49" s="328">
        <f t="shared" si="13"/>
        <v>-138650</v>
      </c>
      <c r="K49" s="328">
        <f t="shared" si="13"/>
        <v>-71582</v>
      </c>
      <c r="L49" s="328">
        <f t="shared" si="13"/>
        <v>-72065</v>
      </c>
      <c r="M49" s="328">
        <f t="shared" si="13"/>
        <v>-74204</v>
      </c>
      <c r="N49" s="328">
        <f t="shared" si="13"/>
        <v>-73169</v>
      </c>
      <c r="O49" s="328">
        <f t="shared" si="13"/>
        <v>-75929</v>
      </c>
      <c r="P49" s="328">
        <f t="shared" si="13"/>
        <v>-76274</v>
      </c>
      <c r="Q49" s="328">
        <f t="shared" si="13"/>
        <v>-78551</v>
      </c>
      <c r="R49" s="328">
        <f t="shared" si="13"/>
        <v>-84761</v>
      </c>
      <c r="S49" s="328">
        <f t="shared" si="13"/>
        <v>-103579</v>
      </c>
      <c r="T49" s="328">
        <f t="shared" si="13"/>
        <v>-106117</v>
      </c>
      <c r="U49" s="328">
        <f t="shared" si="13"/>
        <v>-106869</v>
      </c>
    </row>
    <row r="50" spans="1:22" x14ac:dyDescent="0.3">
      <c r="B50" s="148" t="s">
        <v>162</v>
      </c>
      <c r="C50" s="148"/>
      <c r="D50" s="148"/>
      <c r="E50" s="148"/>
      <c r="F50" s="148"/>
      <c r="G50" s="149">
        <f>SUM(G47:G49)</f>
        <v>248073.2</v>
      </c>
      <c r="H50" s="149">
        <f>SUM(H47:H49)</f>
        <v>256081.59999999998</v>
      </c>
      <c r="I50" s="149">
        <f t="shared" ref="I50:U50" si="14">SUM(I47:I49)</f>
        <v>240906</v>
      </c>
      <c r="J50" s="149">
        <f t="shared" si="14"/>
        <v>518842.4</v>
      </c>
      <c r="K50" s="149">
        <f t="shared" si="14"/>
        <v>254990.8</v>
      </c>
      <c r="L50" s="149">
        <f t="shared" si="14"/>
        <v>261343.2</v>
      </c>
      <c r="M50" s="149">
        <f t="shared" si="14"/>
        <v>274319.59999999998</v>
      </c>
      <c r="N50" s="149">
        <f t="shared" si="14"/>
        <v>285504</v>
      </c>
      <c r="O50" s="149">
        <f t="shared" si="14"/>
        <v>305016</v>
      </c>
      <c r="P50" s="149">
        <f t="shared" si="14"/>
        <v>306396</v>
      </c>
      <c r="Q50" s="149">
        <f t="shared" si="14"/>
        <v>315504</v>
      </c>
      <c r="R50" s="149">
        <f t="shared" si="14"/>
        <v>340344</v>
      </c>
      <c r="S50" s="149">
        <f t="shared" si="14"/>
        <v>415616</v>
      </c>
      <c r="T50" s="149">
        <f t="shared" si="14"/>
        <v>425768</v>
      </c>
      <c r="U50" s="149">
        <f t="shared" si="14"/>
        <v>428776</v>
      </c>
    </row>
    <row r="51" spans="1:22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2" x14ac:dyDescent="0.3">
      <c r="A52" s="145"/>
      <c r="B52" s="172" t="s">
        <v>165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</row>
    <row r="53" spans="1:22" x14ac:dyDescent="0.3">
      <c r="B53" s="308" t="s">
        <v>166</v>
      </c>
      <c r="C53" s="308"/>
      <c r="D53" s="308"/>
      <c r="E53" s="308"/>
      <c r="F53" s="308"/>
      <c r="G53" s="208">
        <f>SUM(G20+G25)</f>
        <v>270175.2</v>
      </c>
      <c r="H53" s="208">
        <f t="shared" ref="H53:U53" si="15">SUM(H20+H25)</f>
        <v>278183.59999999998</v>
      </c>
      <c r="I53" s="208">
        <f t="shared" si="15"/>
        <v>263008</v>
      </c>
      <c r="J53" s="208">
        <f t="shared" si="15"/>
        <v>540944.4</v>
      </c>
      <c r="K53" s="208">
        <f t="shared" si="15"/>
        <v>277092.8</v>
      </c>
      <c r="L53" s="208">
        <f t="shared" si="15"/>
        <v>283445.2</v>
      </c>
      <c r="M53" s="208">
        <f t="shared" si="15"/>
        <v>296421.59999999998</v>
      </c>
      <c r="N53" s="208">
        <f t="shared" si="15"/>
        <v>293976</v>
      </c>
      <c r="O53" s="208">
        <f t="shared" si="15"/>
        <v>305016</v>
      </c>
      <c r="P53" s="208">
        <f t="shared" si="15"/>
        <v>306396</v>
      </c>
      <c r="Q53" s="208">
        <f t="shared" si="15"/>
        <v>315504</v>
      </c>
      <c r="R53" s="208">
        <f t="shared" si="15"/>
        <v>340344</v>
      </c>
      <c r="S53" s="208">
        <f t="shared" si="15"/>
        <v>429132.4</v>
      </c>
      <c r="T53" s="208">
        <f t="shared" si="15"/>
        <v>439284.4</v>
      </c>
      <c r="U53" s="208">
        <f t="shared" si="15"/>
        <v>442292.4</v>
      </c>
    </row>
    <row r="54" spans="1:22" x14ac:dyDescent="0.3">
      <c r="B54" s="308" t="s">
        <v>167</v>
      </c>
      <c r="C54" s="308"/>
      <c r="D54" s="308"/>
      <c r="E54" s="308"/>
      <c r="F54" s="308"/>
      <c r="G54" s="208">
        <f>G50</f>
        <v>248073.2</v>
      </c>
      <c r="H54" s="208">
        <f t="shared" ref="H54:U54" si="16">H50</f>
        <v>256081.59999999998</v>
      </c>
      <c r="I54" s="208">
        <f t="shared" si="16"/>
        <v>240906</v>
      </c>
      <c r="J54" s="208">
        <f t="shared" si="16"/>
        <v>518842.4</v>
      </c>
      <c r="K54" s="208">
        <f t="shared" si="16"/>
        <v>254990.8</v>
      </c>
      <c r="L54" s="208">
        <f t="shared" si="16"/>
        <v>261343.2</v>
      </c>
      <c r="M54" s="208">
        <f t="shared" si="16"/>
        <v>274319.59999999998</v>
      </c>
      <c r="N54" s="208">
        <f t="shared" si="16"/>
        <v>285504</v>
      </c>
      <c r="O54" s="208">
        <f t="shared" si="16"/>
        <v>305016</v>
      </c>
      <c r="P54" s="208">
        <f t="shared" si="16"/>
        <v>306396</v>
      </c>
      <c r="Q54" s="208">
        <f t="shared" si="16"/>
        <v>315504</v>
      </c>
      <c r="R54" s="208">
        <f t="shared" si="16"/>
        <v>340344</v>
      </c>
      <c r="S54" s="208">
        <f t="shared" si="16"/>
        <v>415616</v>
      </c>
      <c r="T54" s="208">
        <f t="shared" si="16"/>
        <v>425768</v>
      </c>
      <c r="U54" s="208">
        <f t="shared" si="16"/>
        <v>428776</v>
      </c>
    </row>
    <row r="55" spans="1:22" x14ac:dyDescent="0.3">
      <c r="B55" s="308" t="s">
        <v>168</v>
      </c>
      <c r="C55" s="308"/>
      <c r="D55" s="308"/>
      <c r="E55" s="308"/>
      <c r="F55" s="308"/>
      <c r="G55" s="208">
        <f>G50</f>
        <v>248073.2</v>
      </c>
      <c r="H55" s="208">
        <f t="shared" ref="H55:T55" si="17">H50</f>
        <v>256081.59999999998</v>
      </c>
      <c r="I55" s="208">
        <f t="shared" si="17"/>
        <v>240906</v>
      </c>
      <c r="J55" s="208">
        <f t="shared" si="17"/>
        <v>518842.4</v>
      </c>
      <c r="K55" s="208">
        <f t="shared" si="17"/>
        <v>254990.8</v>
      </c>
      <c r="L55" s="208">
        <f t="shared" si="17"/>
        <v>261343.2</v>
      </c>
      <c r="M55" s="208">
        <f t="shared" si="17"/>
        <v>274319.59999999998</v>
      </c>
      <c r="N55" s="208">
        <f t="shared" si="17"/>
        <v>285504</v>
      </c>
      <c r="O55" s="208">
        <f t="shared" si="17"/>
        <v>305016</v>
      </c>
      <c r="P55" s="208">
        <f t="shared" si="17"/>
        <v>306396</v>
      </c>
      <c r="Q55" s="208">
        <f t="shared" si="17"/>
        <v>315504</v>
      </c>
      <c r="R55" s="208">
        <f t="shared" si="17"/>
        <v>340344</v>
      </c>
      <c r="S55" s="208">
        <f t="shared" si="17"/>
        <v>415616</v>
      </c>
      <c r="T55" s="208">
        <f t="shared" si="17"/>
        <v>425768</v>
      </c>
      <c r="U55" s="208">
        <f>U50</f>
        <v>428776</v>
      </c>
    </row>
    <row r="56" spans="1:22" x14ac:dyDescent="0.3">
      <c r="B56" s="308" t="s">
        <v>160</v>
      </c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</row>
    <row r="57" spans="1:22" x14ac:dyDescent="0.3">
      <c r="B57" s="308" t="s">
        <v>162</v>
      </c>
      <c r="C57" s="308"/>
      <c r="D57" s="308"/>
      <c r="E57" s="308"/>
      <c r="F57" s="308"/>
      <c r="G57" s="208">
        <f>G50</f>
        <v>248073.2</v>
      </c>
      <c r="H57" s="208">
        <f t="shared" ref="H57:U57" si="18">H50</f>
        <v>256081.59999999998</v>
      </c>
      <c r="I57" s="208">
        <f t="shared" si="18"/>
        <v>240906</v>
      </c>
      <c r="J57" s="208">
        <f t="shared" si="18"/>
        <v>518842.4</v>
      </c>
      <c r="K57" s="208">
        <f t="shared" si="18"/>
        <v>254990.8</v>
      </c>
      <c r="L57" s="208">
        <f t="shared" si="18"/>
        <v>261343.2</v>
      </c>
      <c r="M57" s="208">
        <f t="shared" si="18"/>
        <v>274319.59999999998</v>
      </c>
      <c r="N57" s="208">
        <f t="shared" si="18"/>
        <v>285504</v>
      </c>
      <c r="O57" s="208">
        <f t="shared" si="18"/>
        <v>305016</v>
      </c>
      <c r="P57" s="208">
        <f t="shared" si="18"/>
        <v>306396</v>
      </c>
      <c r="Q57" s="208">
        <f t="shared" si="18"/>
        <v>315504</v>
      </c>
      <c r="R57" s="208">
        <f t="shared" si="18"/>
        <v>340344</v>
      </c>
      <c r="S57" s="208">
        <f t="shared" si="18"/>
        <v>415616</v>
      </c>
      <c r="T57" s="208">
        <f t="shared" si="18"/>
        <v>425768</v>
      </c>
      <c r="U57" s="208">
        <f t="shared" si="18"/>
        <v>428776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06A4-FE60-4CEF-8D7C-51890E14B25E}">
  <sheetPr codeName="Sheet30"/>
  <dimension ref="A1:Y470"/>
  <sheetViews>
    <sheetView showGridLines="0" topLeftCell="A4" workbookViewId="0">
      <selection activeCell="F24" sqref="F24:T24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27" bestFit="1" customWidth="1"/>
    <col min="7" max="7" width="9.88671875" bestFit="1" customWidth="1"/>
    <col min="8" max="8" width="10.33203125" customWidth="1"/>
    <col min="9" max="9" width="10.44140625" customWidth="1"/>
    <col min="10" max="10" width="9.6640625" customWidth="1"/>
    <col min="11" max="11" width="10.109375" customWidth="1"/>
    <col min="12" max="13" width="9.77734375" customWidth="1"/>
    <col min="14" max="14" width="10.5546875" customWidth="1"/>
    <col min="15" max="15" width="9.88671875" customWidth="1"/>
    <col min="16" max="16" width="9.77734375" customWidth="1"/>
    <col min="17" max="17" width="10.33203125" customWidth="1"/>
    <col min="18" max="18" width="9.88671875" bestFit="1" customWidth="1"/>
    <col min="19" max="19" width="10" customWidth="1"/>
    <col min="20" max="20" width="10.109375" customWidth="1"/>
    <col min="21" max="21" width="11.3320312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4" t="s">
        <v>169</v>
      </c>
      <c r="F2"/>
    </row>
    <row r="3" spans="1:25" x14ac:dyDescent="0.3">
      <c r="B3" t="s">
        <v>141</v>
      </c>
      <c r="F3"/>
    </row>
    <row r="4" spans="1:25" x14ac:dyDescent="0.3">
      <c r="F4"/>
    </row>
    <row r="5" spans="1:25" x14ac:dyDescent="0.3">
      <c r="A5" s="145"/>
      <c r="B5" s="172" t="s">
        <v>170</v>
      </c>
      <c r="C5" s="145"/>
      <c r="D5" s="145"/>
      <c r="E5" s="145"/>
      <c r="F5" s="199">
        <v>2025</v>
      </c>
      <c r="G5" s="199">
        <v>2025</v>
      </c>
      <c r="H5" s="199">
        <v>2025</v>
      </c>
      <c r="I5" s="199">
        <v>2025</v>
      </c>
      <c r="J5" s="199">
        <v>2025</v>
      </c>
      <c r="K5" s="199">
        <v>2025</v>
      </c>
      <c r="L5" s="199">
        <v>2025</v>
      </c>
      <c r="M5" s="199">
        <v>2025</v>
      </c>
      <c r="N5" s="199">
        <v>2025</v>
      </c>
      <c r="O5" s="199">
        <v>2025</v>
      </c>
      <c r="P5" s="199">
        <v>2025</v>
      </c>
      <c r="Q5" s="199">
        <v>2025</v>
      </c>
      <c r="R5" s="199">
        <v>2026</v>
      </c>
      <c r="S5" s="199">
        <v>2026</v>
      </c>
      <c r="T5" s="199">
        <v>2026</v>
      </c>
      <c r="U5" s="145"/>
    </row>
    <row r="6" spans="1:25" ht="15" thickBot="1" x14ac:dyDescent="0.35">
      <c r="A6" s="157"/>
      <c r="B6" s="158" t="s">
        <v>64</v>
      </c>
      <c r="C6" s="146"/>
      <c r="D6" s="146"/>
      <c r="E6" s="146"/>
      <c r="F6" s="198" t="s">
        <v>25</v>
      </c>
      <c r="G6" s="198" t="s">
        <v>26</v>
      </c>
      <c r="H6" s="198" t="s">
        <v>27</v>
      </c>
      <c r="I6" s="198" t="s">
        <v>28</v>
      </c>
      <c r="J6" s="198" t="s">
        <v>29</v>
      </c>
      <c r="K6" s="198" t="s">
        <v>30</v>
      </c>
      <c r="L6" s="198" t="s">
        <v>31</v>
      </c>
      <c r="M6" s="198" t="s">
        <v>32</v>
      </c>
      <c r="N6" s="198" t="s">
        <v>33</v>
      </c>
      <c r="O6" s="198" t="s">
        <v>34</v>
      </c>
      <c r="P6" s="198" t="s">
        <v>35</v>
      </c>
      <c r="Q6" s="198" t="s">
        <v>36</v>
      </c>
      <c r="R6" s="198" t="s">
        <v>25</v>
      </c>
      <c r="S6" s="198" t="s">
        <v>26</v>
      </c>
      <c r="T6" s="198" t="s">
        <v>27</v>
      </c>
      <c r="U6" s="195" t="s">
        <v>72</v>
      </c>
    </row>
    <row r="7" spans="1:25" s="126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67" t="s">
        <v>282</v>
      </c>
      <c r="F8"/>
    </row>
    <row r="9" spans="1:25" x14ac:dyDescent="0.3">
      <c r="C9" s="168"/>
      <c r="F9"/>
    </row>
    <row r="10" spans="1:25" x14ac:dyDescent="0.3">
      <c r="C10" s="167" t="s">
        <v>48</v>
      </c>
      <c r="F10"/>
      <c r="G10" s="169"/>
      <c r="H10" s="169"/>
      <c r="I10" s="169"/>
      <c r="J10" s="169"/>
      <c r="K10" s="169"/>
      <c r="L10" s="168"/>
      <c r="M10" s="169"/>
      <c r="N10" s="169"/>
      <c r="O10" s="169"/>
      <c r="P10" s="169"/>
      <c r="Q10" s="169"/>
      <c r="R10" s="169"/>
      <c r="S10" s="169"/>
      <c r="T10" s="169"/>
      <c r="V10" s="1"/>
    </row>
    <row r="11" spans="1:25" x14ac:dyDescent="0.3">
      <c r="C11" s="168" t="s">
        <v>171</v>
      </c>
      <c r="F11" s="169">
        <f>'BS 2024'!Q14+'CF 2025'!G50</f>
        <v>4713864.7807999998</v>
      </c>
      <c r="G11" s="169">
        <f>F14+'CF 2025'!H50</f>
        <v>4969946.3807999995</v>
      </c>
      <c r="H11" s="169">
        <f>G14+'CF 2025'!I50</f>
        <v>5210852.3807999995</v>
      </c>
      <c r="I11" s="169">
        <f>H14+'CF 2025'!J50</f>
        <v>5729694.7807999998</v>
      </c>
      <c r="J11" s="169">
        <f>I14+'CF 2025'!K50</f>
        <v>5984685.5807999996</v>
      </c>
      <c r="K11" s="169">
        <f>J14+'CF 2025'!L50</f>
        <v>6246028.7807999998</v>
      </c>
      <c r="L11" s="169">
        <f>K14+'CF 2025'!M50</f>
        <v>6520348.3807999995</v>
      </c>
      <c r="M11" s="169">
        <f>L14+'CF 2025'!N50</f>
        <v>6805852.3807999995</v>
      </c>
      <c r="N11" s="169">
        <f>M14+'CF 2025'!O50</f>
        <v>7110868.3807999995</v>
      </c>
      <c r="O11" s="169">
        <f>N14+'CF 2025'!P50</f>
        <v>7417264.3807999995</v>
      </c>
      <c r="P11" s="169">
        <f>O14+'CF 2025'!Q50</f>
        <v>7732768.3807999995</v>
      </c>
      <c r="Q11" s="169">
        <f>P14+'CF 2025'!R50</f>
        <v>8073112.3807999995</v>
      </c>
      <c r="R11" s="169">
        <f>'BS 2026'!F11</f>
        <v>8502244.7807999998</v>
      </c>
      <c r="S11" s="169">
        <f>'BS 2026'!G11</f>
        <v>8941529.1808000002</v>
      </c>
      <c r="T11" s="169">
        <f>'BS 2026'!H11</f>
        <v>9383821.5808000006</v>
      </c>
      <c r="V11" s="1"/>
    </row>
    <row r="12" spans="1:25" x14ac:dyDescent="0.3">
      <c r="C12" s="168" t="s">
        <v>172</v>
      </c>
      <c r="F12" s="169"/>
      <c r="G12" s="168"/>
      <c r="H12" s="168"/>
      <c r="I12" s="168" t="s">
        <v>189</v>
      </c>
      <c r="J12" s="168"/>
      <c r="K12" s="168" t="s">
        <v>189</v>
      </c>
      <c r="L12" s="168"/>
      <c r="M12" s="168"/>
      <c r="N12" s="168"/>
      <c r="O12" s="168"/>
      <c r="P12" s="168"/>
      <c r="Q12" s="168"/>
      <c r="R12" s="168"/>
      <c r="S12" s="168" t="s">
        <v>189</v>
      </c>
      <c r="T12" s="168" t="s">
        <v>189</v>
      </c>
      <c r="V12" s="1"/>
    </row>
    <row r="13" spans="1:25" x14ac:dyDescent="0.3">
      <c r="C13" s="168" t="s">
        <v>173</v>
      </c>
      <c r="F13"/>
      <c r="I13" s="169"/>
      <c r="K13" s="169"/>
      <c r="S13" s="169"/>
      <c r="T13" s="169"/>
      <c r="V13" s="1"/>
    </row>
    <row r="14" spans="1:25" x14ac:dyDescent="0.3">
      <c r="C14" s="168" t="s">
        <v>174</v>
      </c>
      <c r="F14" s="169">
        <f>SUM(F11:F13)</f>
        <v>4713864.7807999998</v>
      </c>
      <c r="G14" s="169">
        <f t="shared" ref="G14:Q14" si="0">SUM(G11:G13)</f>
        <v>4969946.3807999995</v>
      </c>
      <c r="H14" s="169">
        <f t="shared" si="0"/>
        <v>5210852.3807999995</v>
      </c>
      <c r="I14" s="169">
        <f t="shared" si="0"/>
        <v>5729694.7807999998</v>
      </c>
      <c r="J14" s="169">
        <f t="shared" si="0"/>
        <v>5984685.5807999996</v>
      </c>
      <c r="K14" s="169">
        <f t="shared" si="0"/>
        <v>6246028.7807999998</v>
      </c>
      <c r="L14" s="169">
        <f t="shared" si="0"/>
        <v>6520348.3807999995</v>
      </c>
      <c r="M14" s="169">
        <f t="shared" si="0"/>
        <v>6805852.3807999995</v>
      </c>
      <c r="N14" s="169">
        <f t="shared" si="0"/>
        <v>7110868.3807999995</v>
      </c>
      <c r="O14" s="169">
        <f t="shared" si="0"/>
        <v>7417264.3807999995</v>
      </c>
      <c r="P14" s="169">
        <f t="shared" si="0"/>
        <v>7732768.3807999995</v>
      </c>
      <c r="Q14" s="169">
        <f t="shared" si="0"/>
        <v>8073112.3807999995</v>
      </c>
      <c r="R14" s="169">
        <f t="shared" ref="R14" si="1">SUM(R11:R13)</f>
        <v>8502244.7807999998</v>
      </c>
      <c r="S14" s="169">
        <f t="shared" ref="S14" si="2">SUM(S11:S13)</f>
        <v>8941529.1808000002</v>
      </c>
      <c r="T14" s="169">
        <f t="shared" ref="T14" si="3">SUM(T11:T13)</f>
        <v>9383821.5808000006</v>
      </c>
      <c r="U14" s="208">
        <f>SUM(F14:Q14)</f>
        <v>76515286.969599992</v>
      </c>
      <c r="V14" s="1"/>
    </row>
    <row r="15" spans="1:25" x14ac:dyDescent="0.3">
      <c r="C15" s="167" t="s">
        <v>49</v>
      </c>
      <c r="F15"/>
      <c r="G15" s="168"/>
      <c r="H15" s="168"/>
      <c r="I15" s="168"/>
      <c r="J15" s="171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V15" s="1"/>
    </row>
    <row r="16" spans="1:25" x14ac:dyDescent="0.3">
      <c r="C16" s="170" t="s">
        <v>175</v>
      </c>
      <c r="F16" s="169">
        <f>'BS 2024'!Q16-'IS 2025'!F56</f>
        <v>490182</v>
      </c>
      <c r="G16" s="169">
        <f>F16-'IS 2025'!G56</f>
        <v>492032</v>
      </c>
      <c r="H16" s="169">
        <f>G16-'IS 2025'!H56</f>
        <v>493882</v>
      </c>
      <c r="I16" s="169">
        <f>H16-'IS 2025'!I56</f>
        <v>495593</v>
      </c>
      <c r="J16" s="169">
        <f>I16-'IS 2025'!J56</f>
        <v>497304</v>
      </c>
      <c r="K16" s="169">
        <f>J16-'IS 2025'!K56</f>
        <v>499015</v>
      </c>
      <c r="L16" s="169">
        <f>K16-'IS 2025'!L56</f>
        <v>500726</v>
      </c>
      <c r="M16" s="169">
        <f>L16-'IS 2025'!M56</f>
        <v>502437</v>
      </c>
      <c r="N16" s="169">
        <f>M16-'IS 2025'!N56</f>
        <v>504148</v>
      </c>
      <c r="O16" s="169">
        <f>N16-'IS 2025'!O56</f>
        <v>505859</v>
      </c>
      <c r="P16" s="169">
        <f>O16-'IS 2025'!P56</f>
        <v>507570</v>
      </c>
      <c r="Q16" s="169">
        <f>P16-'IS 2025'!Q56</f>
        <v>509481</v>
      </c>
      <c r="R16" s="169">
        <f>'BS 2026'!F16</f>
        <v>511392</v>
      </c>
      <c r="S16" s="176">
        <f>R16-'IS 2025'!G56</f>
        <v>513242</v>
      </c>
      <c r="T16" s="176">
        <f>S16-'IS 2025'!H56</f>
        <v>515092</v>
      </c>
      <c r="V16" s="1"/>
    </row>
    <row r="17" spans="1:22" x14ac:dyDescent="0.3">
      <c r="C17" s="170" t="s">
        <v>176</v>
      </c>
      <c r="F17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V17" s="1"/>
    </row>
    <row r="18" spans="1:22" x14ac:dyDescent="0.3">
      <c r="C18" s="170" t="s">
        <v>177</v>
      </c>
      <c r="F18" s="176">
        <f>SUM(F16:F17)</f>
        <v>490182</v>
      </c>
      <c r="G18" s="176">
        <f t="shared" ref="G18:T19" si="4">SUM(G16:G17)</f>
        <v>492032</v>
      </c>
      <c r="H18" s="176">
        <f t="shared" si="4"/>
        <v>493882</v>
      </c>
      <c r="I18" s="176">
        <f t="shared" si="4"/>
        <v>495593</v>
      </c>
      <c r="J18" s="176">
        <f t="shared" si="4"/>
        <v>497304</v>
      </c>
      <c r="K18" s="176">
        <f t="shared" si="4"/>
        <v>499015</v>
      </c>
      <c r="L18" s="176">
        <f t="shared" si="4"/>
        <v>500726</v>
      </c>
      <c r="M18" s="176">
        <f t="shared" si="4"/>
        <v>502437</v>
      </c>
      <c r="N18" s="176">
        <f t="shared" si="4"/>
        <v>504148</v>
      </c>
      <c r="O18" s="176">
        <f t="shared" si="4"/>
        <v>505859</v>
      </c>
      <c r="P18" s="176">
        <f t="shared" si="4"/>
        <v>507570</v>
      </c>
      <c r="Q18" s="176">
        <f t="shared" si="4"/>
        <v>509481</v>
      </c>
      <c r="R18" s="176">
        <f t="shared" si="4"/>
        <v>511392</v>
      </c>
      <c r="S18" s="176">
        <f t="shared" si="4"/>
        <v>513242</v>
      </c>
      <c r="T18" s="176">
        <f t="shared" si="4"/>
        <v>515092</v>
      </c>
      <c r="V18" s="1"/>
    </row>
    <row r="19" spans="1:22" x14ac:dyDescent="0.3">
      <c r="A19" s="140"/>
      <c r="B19" s="145"/>
      <c r="C19" s="179" t="s">
        <v>178</v>
      </c>
      <c r="D19" s="145"/>
      <c r="E19" s="145"/>
      <c r="F19" s="180">
        <f>SUM(F17:F18)</f>
        <v>490182</v>
      </c>
      <c r="G19" s="180">
        <f t="shared" si="4"/>
        <v>492032</v>
      </c>
      <c r="H19" s="180">
        <f t="shared" si="4"/>
        <v>493882</v>
      </c>
      <c r="I19" s="180">
        <f t="shared" si="4"/>
        <v>495593</v>
      </c>
      <c r="J19" s="180">
        <f t="shared" si="4"/>
        <v>497304</v>
      </c>
      <c r="K19" s="180">
        <f t="shared" si="4"/>
        <v>499015</v>
      </c>
      <c r="L19" s="180">
        <f t="shared" si="4"/>
        <v>500726</v>
      </c>
      <c r="M19" s="180">
        <f t="shared" si="4"/>
        <v>502437</v>
      </c>
      <c r="N19" s="180">
        <f t="shared" si="4"/>
        <v>504148</v>
      </c>
      <c r="O19" s="180">
        <f t="shared" si="4"/>
        <v>505859</v>
      </c>
      <c r="P19" s="180">
        <f t="shared" si="4"/>
        <v>507570</v>
      </c>
      <c r="Q19" s="180">
        <f t="shared" si="4"/>
        <v>509481</v>
      </c>
      <c r="R19" s="180">
        <f t="shared" si="4"/>
        <v>511392</v>
      </c>
      <c r="S19" s="180">
        <f t="shared" si="4"/>
        <v>513242</v>
      </c>
      <c r="T19" s="180">
        <f t="shared" si="4"/>
        <v>515092</v>
      </c>
      <c r="U19" s="153">
        <f>SUM(F19:Q19)</f>
        <v>5998229</v>
      </c>
      <c r="V19" s="1"/>
    </row>
    <row r="20" spans="1:22" x14ac:dyDescent="0.3">
      <c r="A20" s="157"/>
      <c r="B20" s="146"/>
      <c r="C20" s="181" t="s">
        <v>50</v>
      </c>
      <c r="D20" s="146"/>
      <c r="E20" s="146"/>
      <c r="F20" s="182">
        <f>F14+F19</f>
        <v>5204046.7807999998</v>
      </c>
      <c r="G20" s="182">
        <f>G14+G19</f>
        <v>5461978.3807999995</v>
      </c>
      <c r="H20" s="182">
        <f t="shared" ref="H20:T20" si="5">H14+H19</f>
        <v>5704734.3807999995</v>
      </c>
      <c r="I20" s="182">
        <f t="shared" si="5"/>
        <v>6225287.7807999998</v>
      </c>
      <c r="J20" s="182">
        <f t="shared" si="5"/>
        <v>6481989.5807999996</v>
      </c>
      <c r="K20" s="182">
        <f t="shared" si="5"/>
        <v>6745043.7807999998</v>
      </c>
      <c r="L20" s="182">
        <f t="shared" si="5"/>
        <v>7021074.3807999995</v>
      </c>
      <c r="M20" s="182">
        <f t="shared" si="5"/>
        <v>7308289.3807999995</v>
      </c>
      <c r="N20" s="182">
        <f t="shared" si="5"/>
        <v>7615016.3807999995</v>
      </c>
      <c r="O20" s="182">
        <f t="shared" si="5"/>
        <v>7923123.3807999995</v>
      </c>
      <c r="P20" s="182">
        <f t="shared" si="5"/>
        <v>8240338.3807999995</v>
      </c>
      <c r="Q20" s="182">
        <f t="shared" si="5"/>
        <v>8582593.3807999995</v>
      </c>
      <c r="R20" s="182">
        <f t="shared" si="5"/>
        <v>9013636.7807999998</v>
      </c>
      <c r="S20" s="182">
        <f t="shared" si="5"/>
        <v>9454771.1808000002</v>
      </c>
      <c r="T20" s="182">
        <f t="shared" si="5"/>
        <v>9898913.5808000006</v>
      </c>
      <c r="U20" s="147">
        <f>SUM(F20:Q20)</f>
        <v>82513515.969599992</v>
      </c>
      <c r="V20" s="1"/>
    </row>
    <row r="21" spans="1:22" x14ac:dyDescent="0.3">
      <c r="C21" s="178" t="s">
        <v>51</v>
      </c>
      <c r="F21"/>
      <c r="I21" s="171"/>
      <c r="K21" s="171"/>
      <c r="S21" s="171"/>
      <c r="T21" s="171"/>
      <c r="V21" s="1"/>
    </row>
    <row r="22" spans="1:22" x14ac:dyDescent="0.3">
      <c r="C22" s="170" t="s">
        <v>179</v>
      </c>
      <c r="F22" s="171"/>
      <c r="G22" s="171"/>
      <c r="Q22" s="171"/>
      <c r="V22" s="1"/>
    </row>
    <row r="23" spans="1:22" x14ac:dyDescent="0.3">
      <c r="C23" s="170" t="s">
        <v>180</v>
      </c>
      <c r="F23"/>
      <c r="H23" s="171"/>
      <c r="J23" s="171"/>
      <c r="V23" s="1"/>
    </row>
    <row r="24" spans="1:22" x14ac:dyDescent="0.3">
      <c r="C24" s="168" t="s">
        <v>181</v>
      </c>
      <c r="F24" s="169">
        <f>'CF 2025'!G49</f>
        <v>-74273</v>
      </c>
      <c r="G24" s="169">
        <f>'CF 2025'!H49</f>
        <v>-75170</v>
      </c>
      <c r="H24" s="169">
        <f>'CF 2025'!I49</f>
        <v>-70271</v>
      </c>
      <c r="I24" s="169">
        <f>'CF 2025'!J49</f>
        <v>-138650</v>
      </c>
      <c r="J24" s="169">
        <f>'CF 2025'!K49</f>
        <v>-71582</v>
      </c>
      <c r="K24" s="169">
        <f>'CF 2025'!L49</f>
        <v>-72065</v>
      </c>
      <c r="L24" s="169">
        <f>'CF 2025'!M49</f>
        <v>-74204</v>
      </c>
      <c r="M24" s="169">
        <f>'CF 2025'!N49</f>
        <v>-73169</v>
      </c>
      <c r="N24" s="169">
        <f>'CF 2025'!O49</f>
        <v>-75929</v>
      </c>
      <c r="O24" s="169">
        <f>'CF 2025'!P49</f>
        <v>-76274</v>
      </c>
      <c r="P24" s="169">
        <f>'CF 2025'!Q49</f>
        <v>-78551</v>
      </c>
      <c r="Q24" s="169">
        <f>'CF 2025'!R49</f>
        <v>-84761</v>
      </c>
      <c r="R24" s="169">
        <f>'CF 2025'!S49</f>
        <v>-103579</v>
      </c>
      <c r="S24" s="169">
        <f>'CF 2025'!T49</f>
        <v>-106117</v>
      </c>
      <c r="T24" s="169">
        <f>'CF 2025'!U49</f>
        <v>-106869</v>
      </c>
      <c r="V24" s="1"/>
    </row>
    <row r="25" spans="1:22" x14ac:dyDescent="0.3">
      <c r="A25" s="145"/>
      <c r="B25" s="145"/>
      <c r="C25" s="172" t="s">
        <v>182</v>
      </c>
      <c r="D25" s="145"/>
      <c r="E25" s="145"/>
      <c r="F25" s="153">
        <f>SUM(F22:F24)</f>
        <v>-74273</v>
      </c>
      <c r="G25" s="153">
        <f t="shared" ref="G25:T25" si="6">SUM(G22:G24)</f>
        <v>-75170</v>
      </c>
      <c r="H25" s="153">
        <f t="shared" si="6"/>
        <v>-70271</v>
      </c>
      <c r="I25" s="153">
        <f t="shared" si="6"/>
        <v>-138650</v>
      </c>
      <c r="J25" s="153">
        <f t="shared" si="6"/>
        <v>-71582</v>
      </c>
      <c r="K25" s="153">
        <f t="shared" si="6"/>
        <v>-72065</v>
      </c>
      <c r="L25" s="153">
        <f t="shared" si="6"/>
        <v>-74204</v>
      </c>
      <c r="M25" s="153">
        <f t="shared" si="6"/>
        <v>-73169</v>
      </c>
      <c r="N25" s="153">
        <f t="shared" si="6"/>
        <v>-75929</v>
      </c>
      <c r="O25" s="153">
        <f t="shared" si="6"/>
        <v>-76274</v>
      </c>
      <c r="P25" s="153">
        <f t="shared" si="6"/>
        <v>-78551</v>
      </c>
      <c r="Q25" s="153">
        <f t="shared" si="6"/>
        <v>-84761</v>
      </c>
      <c r="R25" s="153">
        <f t="shared" si="6"/>
        <v>-103579</v>
      </c>
      <c r="S25" s="153">
        <f t="shared" si="6"/>
        <v>-106117</v>
      </c>
      <c r="T25" s="153">
        <f t="shared" si="6"/>
        <v>-106869</v>
      </c>
      <c r="U25" s="153">
        <f>SUM(F25:Q25)</f>
        <v>-964899</v>
      </c>
      <c r="V25" s="1"/>
    </row>
    <row r="26" spans="1:22" x14ac:dyDescent="0.3">
      <c r="A26" s="146"/>
      <c r="B26" s="146"/>
      <c r="C26" s="183" t="s">
        <v>52</v>
      </c>
      <c r="D26" s="146"/>
      <c r="E26" s="146"/>
      <c r="F26" s="147"/>
      <c r="G26" s="146"/>
      <c r="H26" s="146"/>
      <c r="I26" s="147"/>
      <c r="J26" s="146"/>
      <c r="K26" s="147"/>
      <c r="L26" s="184"/>
      <c r="M26" s="184"/>
      <c r="N26" s="184"/>
      <c r="O26" s="184"/>
      <c r="P26" s="184"/>
      <c r="Q26" s="146"/>
      <c r="R26" s="184"/>
      <c r="S26" s="147"/>
      <c r="T26" s="147"/>
      <c r="U26" s="146"/>
      <c r="V26" s="1"/>
    </row>
    <row r="27" spans="1:22" x14ac:dyDescent="0.3">
      <c r="C27" s="167" t="s">
        <v>183</v>
      </c>
      <c r="F27" s="176">
        <f>'BS 2024'!Q27-'CF 2025'!G31</f>
        <v>-141084</v>
      </c>
      <c r="G27" s="176">
        <f>F27-'CF 2025'!H31</f>
        <v>-118982</v>
      </c>
      <c r="H27" s="176">
        <f>G27-'CF 2025'!I31</f>
        <v>-96880</v>
      </c>
      <c r="I27" s="176">
        <f>H27-'CF 2025'!J31</f>
        <v>-74778</v>
      </c>
      <c r="J27" s="176">
        <f>I27-'CF 2025'!K31</f>
        <v>-52676</v>
      </c>
      <c r="K27" s="176">
        <f>J27-'CF 2025'!L31</f>
        <v>-30574</v>
      </c>
      <c r="L27" s="176">
        <f>K27-'CF 2025'!M31</f>
        <v>-8472</v>
      </c>
      <c r="M27" s="176">
        <f>L27-'CF 2025'!N31</f>
        <v>0</v>
      </c>
      <c r="N27" s="176"/>
      <c r="O27" s="176"/>
      <c r="P27" s="176"/>
      <c r="Q27" s="176"/>
      <c r="R27" s="176"/>
      <c r="S27" s="176"/>
      <c r="T27" s="176"/>
      <c r="U27" s="208">
        <f>SUM(F27:Q27)</f>
        <v>-523446</v>
      </c>
      <c r="V27" s="1"/>
    </row>
    <row r="28" spans="1:22" ht="12.6" customHeight="1" x14ac:dyDescent="0.3">
      <c r="C28" s="168"/>
      <c r="F28"/>
      <c r="J28" s="169" t="s">
        <v>189</v>
      </c>
      <c r="U28" s="308"/>
      <c r="V28" s="1"/>
    </row>
    <row r="29" spans="1:22" x14ac:dyDescent="0.3">
      <c r="C29" s="167" t="s">
        <v>184</v>
      </c>
      <c r="F29" s="169"/>
      <c r="G29" s="169"/>
      <c r="H29" s="169"/>
      <c r="Q29" s="169"/>
      <c r="U29" s="308"/>
      <c r="V29" s="1"/>
    </row>
    <row r="30" spans="1:22" x14ac:dyDescent="0.3">
      <c r="C30" s="170" t="s">
        <v>192</v>
      </c>
      <c r="F30" s="169"/>
      <c r="G30" s="169"/>
      <c r="H30" s="169"/>
      <c r="Q30" s="169"/>
      <c r="U30" s="308"/>
      <c r="V30" s="1"/>
    </row>
    <row r="31" spans="1:22" x14ac:dyDescent="0.3">
      <c r="C31" s="167" t="s">
        <v>185</v>
      </c>
      <c r="F31" s="176">
        <f>SUM(F27:F29)</f>
        <v>-141084</v>
      </c>
      <c r="G31" s="176">
        <f t="shared" ref="G31:T31" si="7">SUM(G27:G29)</f>
        <v>-118982</v>
      </c>
      <c r="H31" s="176">
        <f t="shared" si="7"/>
        <v>-96880</v>
      </c>
      <c r="I31" s="176">
        <f t="shared" si="7"/>
        <v>-74778</v>
      </c>
      <c r="J31" s="176">
        <f t="shared" si="7"/>
        <v>-52676</v>
      </c>
      <c r="K31" s="176">
        <f t="shared" si="7"/>
        <v>-30574</v>
      </c>
      <c r="L31" s="176">
        <f t="shared" si="7"/>
        <v>-8472</v>
      </c>
      <c r="M31" s="176">
        <f t="shared" si="7"/>
        <v>0</v>
      </c>
      <c r="N31" s="176">
        <f t="shared" si="7"/>
        <v>0</v>
      </c>
      <c r="O31" s="176">
        <f t="shared" si="7"/>
        <v>0</v>
      </c>
      <c r="P31" s="176">
        <f t="shared" si="7"/>
        <v>0</v>
      </c>
      <c r="Q31" s="176">
        <f t="shared" si="7"/>
        <v>0</v>
      </c>
      <c r="R31" s="176">
        <f t="shared" si="7"/>
        <v>0</v>
      </c>
      <c r="S31" s="176">
        <f t="shared" si="7"/>
        <v>0</v>
      </c>
      <c r="T31" s="176">
        <f t="shared" si="7"/>
        <v>0</v>
      </c>
      <c r="U31" s="308"/>
      <c r="V31" s="1"/>
    </row>
    <row r="32" spans="1:22" x14ac:dyDescent="0.3">
      <c r="C32" s="167" t="s">
        <v>53</v>
      </c>
      <c r="F32" s="176">
        <f>F31+F25</f>
        <v>-215357</v>
      </c>
      <c r="G32" s="176">
        <f t="shared" ref="G32:T32" si="8">G31+G24</f>
        <v>-194152</v>
      </c>
      <c r="H32" s="176">
        <f t="shared" si="8"/>
        <v>-167151</v>
      </c>
      <c r="I32" s="176">
        <f t="shared" si="8"/>
        <v>-213428</v>
      </c>
      <c r="J32" s="176">
        <f t="shared" si="8"/>
        <v>-124258</v>
      </c>
      <c r="K32" s="176">
        <f t="shared" si="8"/>
        <v>-102639</v>
      </c>
      <c r="L32" s="176">
        <f t="shared" si="8"/>
        <v>-82676</v>
      </c>
      <c r="M32" s="176">
        <f t="shared" si="8"/>
        <v>-73169</v>
      </c>
      <c r="N32" s="176">
        <f t="shared" si="8"/>
        <v>-75929</v>
      </c>
      <c r="O32" s="176">
        <f t="shared" si="8"/>
        <v>-76274</v>
      </c>
      <c r="P32" s="176">
        <f t="shared" si="8"/>
        <v>-78551</v>
      </c>
      <c r="Q32" s="176">
        <f t="shared" si="8"/>
        <v>-84761</v>
      </c>
      <c r="R32" s="176">
        <f t="shared" si="8"/>
        <v>-103579</v>
      </c>
      <c r="S32" s="176">
        <f t="shared" si="8"/>
        <v>-106117</v>
      </c>
      <c r="T32" s="176">
        <f t="shared" si="8"/>
        <v>-106869</v>
      </c>
      <c r="U32" s="308"/>
      <c r="V32" s="1"/>
    </row>
    <row r="33" spans="3:22" x14ac:dyDescent="0.3">
      <c r="C33" s="167" t="s">
        <v>54</v>
      </c>
      <c r="F33" s="207">
        <f>F20+F27+F32</f>
        <v>4847605.7807999998</v>
      </c>
      <c r="G33" s="207">
        <f>G20+G27+G32</f>
        <v>5148844.3807999995</v>
      </c>
      <c r="H33" s="207">
        <f t="shared" ref="H33:T33" si="9">H20+H27+H32</f>
        <v>5440703.3807999995</v>
      </c>
      <c r="I33" s="207">
        <f t="shared" si="9"/>
        <v>5937081.7807999998</v>
      </c>
      <c r="J33" s="207">
        <f t="shared" si="9"/>
        <v>6305055.5807999996</v>
      </c>
      <c r="K33" s="207">
        <f t="shared" si="9"/>
        <v>6611830.7807999998</v>
      </c>
      <c r="L33" s="207">
        <f t="shared" si="9"/>
        <v>6929926.3807999995</v>
      </c>
      <c r="M33" s="207">
        <f t="shared" si="9"/>
        <v>7235120.3807999995</v>
      </c>
      <c r="N33" s="207">
        <f t="shared" si="9"/>
        <v>7539087.3807999995</v>
      </c>
      <c r="O33" s="207">
        <f t="shared" si="9"/>
        <v>7846849.3807999995</v>
      </c>
      <c r="P33" s="207">
        <f t="shared" si="9"/>
        <v>8161787.3807999995</v>
      </c>
      <c r="Q33" s="207">
        <f t="shared" si="9"/>
        <v>8497832.3807999995</v>
      </c>
      <c r="R33" s="207">
        <f t="shared" si="9"/>
        <v>8910057.7807999998</v>
      </c>
      <c r="S33" s="207">
        <f t="shared" si="9"/>
        <v>9348654.1808000002</v>
      </c>
      <c r="T33" s="207">
        <f t="shared" si="9"/>
        <v>9792044.5808000006</v>
      </c>
      <c r="U33" s="330">
        <f>SUM(F33:Q33)</f>
        <v>80501724.969599992</v>
      </c>
      <c r="V33" s="1"/>
    </row>
    <row r="34" spans="3:22" x14ac:dyDescent="0.3">
      <c r="C34" s="170" t="s">
        <v>56</v>
      </c>
      <c r="F34" s="168"/>
      <c r="G34" s="168"/>
      <c r="H34" s="168"/>
      <c r="I34" s="168"/>
      <c r="J34" s="169"/>
      <c r="K34" s="169"/>
      <c r="L34" s="169"/>
      <c r="M34" s="169"/>
      <c r="N34" s="169"/>
      <c r="O34" s="169"/>
      <c r="P34" s="169"/>
      <c r="Q34" s="168"/>
      <c r="R34" s="169"/>
      <c r="S34" s="169"/>
      <c r="T34" s="169"/>
      <c r="V34" s="1"/>
    </row>
    <row r="35" spans="3:22" x14ac:dyDescent="0.3">
      <c r="C35" s="170" t="s">
        <v>58</v>
      </c>
      <c r="F35" s="169">
        <f>SUM(F33:F34)</f>
        <v>4847605.7807999998</v>
      </c>
      <c r="G35" s="169">
        <f t="shared" ref="G35:T35" si="10">SUM(G33:G34)</f>
        <v>5148844.3807999995</v>
      </c>
      <c r="H35" s="169">
        <f t="shared" si="10"/>
        <v>5440703.3807999995</v>
      </c>
      <c r="I35" s="169">
        <f t="shared" si="10"/>
        <v>5937081.7807999998</v>
      </c>
      <c r="J35" s="169">
        <f t="shared" si="10"/>
        <v>6305055.5807999996</v>
      </c>
      <c r="K35" s="169">
        <f t="shared" si="10"/>
        <v>6611830.7807999998</v>
      </c>
      <c r="L35" s="169">
        <f t="shared" si="10"/>
        <v>6929926.3807999995</v>
      </c>
      <c r="M35" s="169">
        <f t="shared" si="10"/>
        <v>7235120.3807999995</v>
      </c>
      <c r="N35" s="169">
        <f t="shared" si="10"/>
        <v>7539087.3807999995</v>
      </c>
      <c r="O35" s="169">
        <f t="shared" si="10"/>
        <v>7846849.3807999995</v>
      </c>
      <c r="P35" s="169">
        <f t="shared" si="10"/>
        <v>8161787.3807999995</v>
      </c>
      <c r="Q35" s="169">
        <f t="shared" si="10"/>
        <v>8497832.3807999995</v>
      </c>
      <c r="R35" s="169">
        <f t="shared" si="10"/>
        <v>8910057.7807999998</v>
      </c>
      <c r="S35" s="169">
        <f t="shared" si="10"/>
        <v>9348654.1808000002</v>
      </c>
      <c r="T35" s="169">
        <f t="shared" si="10"/>
        <v>9792044.5808000006</v>
      </c>
      <c r="V35" s="1"/>
    </row>
    <row r="36" spans="3:22" x14ac:dyDescent="0.3">
      <c r="C36" s="177" t="s">
        <v>59</v>
      </c>
      <c r="F36" s="169">
        <f>F34+F35</f>
        <v>4847605.7807999998</v>
      </c>
      <c r="G36" s="169">
        <f t="shared" ref="G36:T36" si="11">G34+G35</f>
        <v>5148844.3807999995</v>
      </c>
      <c r="H36" s="169">
        <f t="shared" si="11"/>
        <v>5440703.3807999995</v>
      </c>
      <c r="I36" s="169">
        <f t="shared" si="11"/>
        <v>5937081.7807999998</v>
      </c>
      <c r="J36" s="169">
        <f t="shared" si="11"/>
        <v>6305055.5807999996</v>
      </c>
      <c r="K36" s="169">
        <f t="shared" si="11"/>
        <v>6611830.7807999998</v>
      </c>
      <c r="L36" s="169">
        <f t="shared" si="11"/>
        <v>6929926.3807999995</v>
      </c>
      <c r="M36" s="169">
        <f t="shared" si="11"/>
        <v>7235120.3807999995</v>
      </c>
      <c r="N36" s="169">
        <f t="shared" si="11"/>
        <v>7539087.3807999995</v>
      </c>
      <c r="O36" s="169">
        <f t="shared" si="11"/>
        <v>7846849.3807999995</v>
      </c>
      <c r="P36" s="169">
        <f t="shared" si="11"/>
        <v>8161787.3807999995</v>
      </c>
      <c r="Q36" s="169">
        <f t="shared" si="11"/>
        <v>8497832.3807999995</v>
      </c>
      <c r="R36" s="169">
        <f t="shared" si="11"/>
        <v>8910057.7807999998</v>
      </c>
      <c r="S36" s="169">
        <f t="shared" si="11"/>
        <v>9348654.1808000002</v>
      </c>
      <c r="T36" s="169">
        <f t="shared" si="11"/>
        <v>9792044.5808000006</v>
      </c>
      <c r="V36" s="1"/>
    </row>
    <row r="37" spans="3:22" x14ac:dyDescent="0.3">
      <c r="C37" s="170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V37" s="1"/>
    </row>
    <row r="38" spans="3:22" x14ac:dyDescent="0.3">
      <c r="C38" s="170" t="s">
        <v>186</v>
      </c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V38" s="1"/>
    </row>
    <row r="39" spans="3:22" x14ac:dyDescent="0.3">
      <c r="C39" s="170" t="s">
        <v>187</v>
      </c>
      <c r="F39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V39" s="1"/>
    </row>
    <row r="40" spans="3:22" x14ac:dyDescent="0.3">
      <c r="C40" s="170" t="s">
        <v>188</v>
      </c>
      <c r="F40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V40" s="1"/>
    </row>
    <row r="41" spans="3:22" x14ac:dyDescent="0.3">
      <c r="C41" s="170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D3E6-C11A-48DF-A19E-6AAEA800A5EA}">
  <sheetPr codeName="Sheet36"/>
  <dimension ref="B2:V101"/>
  <sheetViews>
    <sheetView showGridLines="0" topLeftCell="B42" zoomScale="97" zoomScaleNormal="97" workbookViewId="0">
      <selection activeCell="J99" sqref="J99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664062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72" t="s">
        <v>224</v>
      </c>
      <c r="C2" s="172"/>
      <c r="D2" s="172"/>
      <c r="E2" s="172"/>
      <c r="F2" s="145"/>
      <c r="G2" s="145"/>
      <c r="H2" s="145"/>
      <c r="I2" s="145"/>
      <c r="J2" s="145"/>
      <c r="K2" s="334" t="s">
        <v>229</v>
      </c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4" spans="2:22" x14ac:dyDescent="0.3">
      <c r="B4" s="185" t="s">
        <v>20</v>
      </c>
      <c r="C4" s="185"/>
      <c r="D4" s="185"/>
      <c r="E4" s="186">
        <v>2023</v>
      </c>
      <c r="F4" s="186">
        <v>2024</v>
      </c>
      <c r="G4" s="186">
        <v>2025</v>
      </c>
      <c r="H4" s="186">
        <v>2026</v>
      </c>
      <c r="I4" s="186">
        <v>2027</v>
      </c>
      <c r="J4" s="185"/>
      <c r="K4" s="186" t="s">
        <v>25</v>
      </c>
      <c r="L4" s="186" t="s">
        <v>26</v>
      </c>
      <c r="M4" s="186" t="s">
        <v>27</v>
      </c>
      <c r="N4" s="186" t="s">
        <v>28</v>
      </c>
      <c r="O4" s="186" t="s">
        <v>29</v>
      </c>
      <c r="P4" s="186" t="s">
        <v>30</v>
      </c>
      <c r="Q4" s="186" t="s">
        <v>31</v>
      </c>
      <c r="R4" s="186" t="s">
        <v>32</v>
      </c>
      <c r="S4" s="186" t="s">
        <v>33</v>
      </c>
      <c r="T4" s="186" t="s">
        <v>34</v>
      </c>
      <c r="U4" s="186" t="s">
        <v>35</v>
      </c>
      <c r="V4" s="186" t="s">
        <v>36</v>
      </c>
    </row>
    <row r="5" spans="2:22" x14ac:dyDescent="0.3">
      <c r="B5" t="s">
        <v>37</v>
      </c>
      <c r="E5" s="197">
        <f>'Statements Summary 2023'!V5</f>
        <v>300123</v>
      </c>
      <c r="F5" s="197">
        <f>'Statements Summary 2024'!V5</f>
        <v>366450.91200000001</v>
      </c>
      <c r="G5" s="197">
        <f t="shared" ref="G5:G17" si="0">V5</f>
        <v>425730</v>
      </c>
      <c r="H5" s="197">
        <f>'Statements Summary 2026'!V5</f>
        <v>585620</v>
      </c>
      <c r="I5" s="197">
        <f>'Statements Summary 2027'!V5</f>
        <v>656590</v>
      </c>
      <c r="K5" s="197">
        <f>'CF 2025'!G11</f>
        <v>373290</v>
      </c>
      <c r="L5" s="197">
        <f>'CF 2025'!H11</f>
        <v>377775</v>
      </c>
      <c r="M5" s="197">
        <f>'CF 2025'!I11</f>
        <v>353280</v>
      </c>
      <c r="N5" s="197">
        <f>'CF 2025'!J11</f>
        <v>695175</v>
      </c>
      <c r="O5" s="197">
        <f>'CF 2025'!K11</f>
        <v>359835</v>
      </c>
      <c r="P5" s="197">
        <f>'CF 2025'!L11</f>
        <v>362250</v>
      </c>
      <c r="Q5" s="197">
        <f>'CF 2025'!M11</f>
        <v>372945</v>
      </c>
      <c r="R5" s="197">
        <f>'CF 2025'!N11</f>
        <v>367770</v>
      </c>
      <c r="S5" s="197">
        <f>'CF 2025'!O11</f>
        <v>381570</v>
      </c>
      <c r="T5" s="197">
        <f>'CF 2025'!P11</f>
        <v>383295</v>
      </c>
      <c r="U5" s="197">
        <f>'CF 2025'!Q11</f>
        <v>394680</v>
      </c>
      <c r="V5" s="197">
        <f>'CF 2025'!R11</f>
        <v>425730</v>
      </c>
    </row>
    <row r="6" spans="2:22" x14ac:dyDescent="0.3">
      <c r="B6" t="s">
        <v>38</v>
      </c>
      <c r="E6" s="197">
        <f>'Statements Summary 2023'!V6</f>
        <v>-625</v>
      </c>
      <c r="F6" s="197">
        <f>'Statements Summary 2024'!V6</f>
        <v>-625</v>
      </c>
      <c r="G6" s="197">
        <f t="shared" si="0"/>
        <v>-625</v>
      </c>
      <c r="H6" s="197">
        <f>'Statements Summary 2026'!V6</f>
        <v>-625</v>
      </c>
      <c r="I6" s="197">
        <f>'Statements Summary 2027'!V6</f>
        <v>-625</v>
      </c>
      <c r="K6" s="197">
        <f>'CF 2025'!G15</f>
        <v>-625</v>
      </c>
      <c r="L6" s="197">
        <f>'CF 2025'!H15</f>
        <v>-625</v>
      </c>
      <c r="M6" s="197">
        <f>'CF 2025'!I15</f>
        <v>-625</v>
      </c>
      <c r="N6" s="197">
        <f>'CF 2025'!J15</f>
        <v>-625</v>
      </c>
      <c r="O6" s="197">
        <f>'CF 2025'!K15</f>
        <v>-625</v>
      </c>
      <c r="P6" s="197">
        <f>'CF 2025'!L15</f>
        <v>-625</v>
      </c>
      <c r="Q6" s="197">
        <f>'CF 2025'!M15</f>
        <v>-625</v>
      </c>
      <c r="R6" s="197">
        <f>'CF 2025'!N15</f>
        <v>-625</v>
      </c>
      <c r="S6" s="197">
        <f>'CF 2025'!O15</f>
        <v>-625</v>
      </c>
      <c r="T6" s="197">
        <f>'CF 2025'!P15</f>
        <v>-625</v>
      </c>
      <c r="U6" s="197">
        <f>'CF 2025'!Q15</f>
        <v>-625</v>
      </c>
      <c r="V6" s="197">
        <f>'CF 2025'!R15</f>
        <v>-625</v>
      </c>
    </row>
    <row r="7" spans="2:22" x14ac:dyDescent="0.3">
      <c r="B7" t="s">
        <v>39</v>
      </c>
      <c r="E7" s="197">
        <f>'Statements Summary 2023'!V7</f>
        <v>-16818</v>
      </c>
      <c r="F7" s="197">
        <f>'Statements Summary 2024'!V7</f>
        <v>-16818</v>
      </c>
      <c r="G7" s="197">
        <f t="shared" si="0"/>
        <v>0</v>
      </c>
      <c r="H7" s="197">
        <f>'Statements Summary 2026'!V7</f>
        <v>0</v>
      </c>
      <c r="I7" s="197">
        <f>'Statements Summary 2027'!V7</f>
        <v>0</v>
      </c>
      <c r="K7" s="197" t="s">
        <v>189</v>
      </c>
      <c r="L7" s="197">
        <f>'CF 2025'!H31</f>
        <v>-22102</v>
      </c>
      <c r="M7" s="197">
        <f>'CF 2025'!I31</f>
        <v>-22102</v>
      </c>
      <c r="N7" s="197">
        <f>'CF 2025'!J31</f>
        <v>-22102</v>
      </c>
      <c r="O7" s="197">
        <f>'CF 2025'!K31</f>
        <v>-22102</v>
      </c>
      <c r="P7" s="197">
        <f>'CF 2025'!L31</f>
        <v>-22102</v>
      </c>
      <c r="Q7" s="197">
        <f>'CF 2025'!M31</f>
        <v>-22102</v>
      </c>
      <c r="R7" s="197">
        <f>'CF 2025'!N31</f>
        <v>-8472</v>
      </c>
      <c r="S7" s="197">
        <f>'CF 2025'!O31</f>
        <v>0</v>
      </c>
      <c r="T7" s="197">
        <f>'CF 2025'!P31</f>
        <v>0</v>
      </c>
      <c r="U7" s="197">
        <f>'CF 2025'!Q31</f>
        <v>0</v>
      </c>
      <c r="V7" s="197">
        <f>'CF 2025'!R31</f>
        <v>0</v>
      </c>
    </row>
    <row r="8" spans="2:22" x14ac:dyDescent="0.3">
      <c r="B8" t="s">
        <v>14</v>
      </c>
      <c r="E8" s="197">
        <f>'Statements Summary 2023'!V8</f>
        <v>170658</v>
      </c>
      <c r="F8" s="197">
        <f>'Statements Summary 2024'!V8</f>
        <v>264083.52960000001</v>
      </c>
      <c r="G8" s="197">
        <f t="shared" si="0"/>
        <v>340344</v>
      </c>
      <c r="H8" s="197">
        <f>'Statements Summary 2026'!V8</f>
        <v>479525.6</v>
      </c>
      <c r="I8" s="197">
        <f>'Statements Summary 2027'!V8</f>
        <v>537481.6</v>
      </c>
      <c r="K8" s="197">
        <f>'CF 2025'!G20</f>
        <v>270175.2</v>
      </c>
      <c r="L8" s="197">
        <f>'CF 2025'!H20</f>
        <v>278183.59999999998</v>
      </c>
      <c r="M8" s="197">
        <f>'CF 2025'!I20</f>
        <v>263008</v>
      </c>
      <c r="N8" s="197">
        <f>'CF 2025'!J20</f>
        <v>540944.4</v>
      </c>
      <c r="O8" s="197">
        <f>'CF 2025'!K20</f>
        <v>277092.8</v>
      </c>
      <c r="P8" s="197">
        <f>'CF 2025'!L20</f>
        <v>283445.2</v>
      </c>
      <c r="Q8" s="197">
        <f>'CF 2025'!M20</f>
        <v>296421.59999999998</v>
      </c>
      <c r="R8" s="197">
        <f>'CF 2025'!N20</f>
        <v>293976</v>
      </c>
      <c r="S8" s="197">
        <f>'CF 2025'!O20</f>
        <v>305016</v>
      </c>
      <c r="T8" s="197">
        <f>'CF 2025'!P20</f>
        <v>306396</v>
      </c>
      <c r="U8" s="197">
        <f>'CF 2025'!Q20</f>
        <v>315504</v>
      </c>
      <c r="V8" s="197">
        <f>'CF 2025'!R20</f>
        <v>340344</v>
      </c>
    </row>
    <row r="9" spans="2:22" x14ac:dyDescent="0.3">
      <c r="B9" t="s">
        <v>40</v>
      </c>
      <c r="E9" s="197" t="str">
        <f>'Statements Summary 2023'!V9</f>
        <v>-</v>
      </c>
      <c r="F9" s="197" t="str">
        <f>'Statements Summary 2024'!V9</f>
        <v>-</v>
      </c>
      <c r="G9" s="197">
        <f t="shared" si="0"/>
        <v>0</v>
      </c>
      <c r="H9" s="197">
        <f>'Statements Summary 2026'!V9</f>
        <v>0</v>
      </c>
      <c r="I9" s="197">
        <f>'Statements Summary 2027'!V9</f>
        <v>0</v>
      </c>
      <c r="K9" s="197">
        <f>'CF 2025'!G25</f>
        <v>0</v>
      </c>
      <c r="L9" s="197">
        <f>'CF 2025'!H25</f>
        <v>0</v>
      </c>
      <c r="M9" s="197">
        <f>'CF 2025'!I25</f>
        <v>0</v>
      </c>
      <c r="N9" s="197">
        <f>'CF 2025'!J25</f>
        <v>0</v>
      </c>
      <c r="O9" s="197">
        <f>'CF 2025'!K25</f>
        <v>0</v>
      </c>
      <c r="P9" s="197">
        <f>'CF 2025'!L25</f>
        <v>0</v>
      </c>
      <c r="Q9" s="197">
        <f>'CF 2025'!M25</f>
        <v>0</v>
      </c>
      <c r="R9" s="197">
        <f>'CF 2025'!N25</f>
        <v>0</v>
      </c>
      <c r="S9" s="197">
        <f>'CF 2025'!O25</f>
        <v>0</v>
      </c>
      <c r="T9" s="197">
        <f>'CF 2025'!P25</f>
        <v>0</v>
      </c>
      <c r="U9" s="197">
        <f>'CF 2025'!Q25</f>
        <v>0</v>
      </c>
      <c r="V9" s="197">
        <f>'CF 2025'!R25</f>
        <v>0</v>
      </c>
    </row>
    <row r="10" spans="2:22" x14ac:dyDescent="0.3">
      <c r="B10" t="s">
        <v>41</v>
      </c>
      <c r="E10" s="197" t="str">
        <f>'Statements Summary 2023'!V10</f>
        <v>-</v>
      </c>
      <c r="F10" s="197" t="str">
        <f>'Statements Summary 2024'!V10</f>
        <v>-</v>
      </c>
      <c r="G10" s="197" t="str">
        <f t="shared" si="0"/>
        <v>-</v>
      </c>
      <c r="H10" s="197" t="str">
        <f>'Statements Summary 2026'!V10</f>
        <v>-</v>
      </c>
      <c r="I10" s="197" t="str">
        <f>'Statements Summary 2027'!V10</f>
        <v>-</v>
      </c>
      <c r="K10" s="197" t="s">
        <v>189</v>
      </c>
      <c r="L10" s="197" t="s">
        <v>189</v>
      </c>
      <c r="M10" s="197" t="s">
        <v>189</v>
      </c>
      <c r="N10" s="197" t="s">
        <v>189</v>
      </c>
      <c r="O10" s="197" t="s">
        <v>189</v>
      </c>
      <c r="P10" s="197" t="s">
        <v>189</v>
      </c>
      <c r="Q10" s="197" t="s">
        <v>189</v>
      </c>
      <c r="R10" s="197" t="s">
        <v>189</v>
      </c>
      <c r="S10" s="197" t="s">
        <v>189</v>
      </c>
      <c r="T10" s="197" t="s">
        <v>189</v>
      </c>
      <c r="U10" s="197" t="s">
        <v>189</v>
      </c>
      <c r="V10" s="197" t="s">
        <v>189</v>
      </c>
    </row>
    <row r="11" spans="2:22" x14ac:dyDescent="0.3">
      <c r="B11" t="s">
        <v>42</v>
      </c>
      <c r="E11" s="197" t="str">
        <f>'Statements Summary 2023'!V11</f>
        <v>-</v>
      </c>
      <c r="F11" s="197" t="str">
        <f>'Statements Summary 2024'!V11</f>
        <v>-</v>
      </c>
      <c r="G11" s="197" t="str">
        <f t="shared" si="0"/>
        <v>-</v>
      </c>
      <c r="H11" s="197" t="str">
        <f>'Statements Summary 2026'!V11</f>
        <v>-</v>
      </c>
      <c r="I11" s="197" t="str">
        <f>'Statements Summary 2027'!V11</f>
        <v>-</v>
      </c>
      <c r="K11" s="197">
        <f>'CF 2025'!G25</f>
        <v>0</v>
      </c>
      <c r="L11" s="197" t="s">
        <v>189</v>
      </c>
      <c r="M11" s="197" t="s">
        <v>189</v>
      </c>
      <c r="N11" s="197" t="s">
        <v>189</v>
      </c>
      <c r="O11" s="197" t="s">
        <v>189</v>
      </c>
      <c r="P11" s="197" t="s">
        <v>189</v>
      </c>
      <c r="Q11" s="197" t="s">
        <v>189</v>
      </c>
      <c r="R11" s="197" t="s">
        <v>189</v>
      </c>
      <c r="S11" s="197" t="s">
        <v>189</v>
      </c>
      <c r="T11" s="197" t="s">
        <v>189</v>
      </c>
      <c r="U11" s="197" t="s">
        <v>189</v>
      </c>
      <c r="V11" s="197" t="s">
        <v>189</v>
      </c>
    </row>
    <row r="12" spans="2:22" x14ac:dyDescent="0.3">
      <c r="B12" t="s">
        <v>43</v>
      </c>
      <c r="E12" s="197">
        <f>'Statements Summary 2023'!V12</f>
        <v>-16818</v>
      </c>
      <c r="F12" s="197">
        <f>'Statements Summary 2024'!V12</f>
        <v>-16818</v>
      </c>
      <c r="G12" s="197">
        <f t="shared" si="0"/>
        <v>0</v>
      </c>
      <c r="H12" s="197">
        <f>'Statements Summary 2026'!V12</f>
        <v>0</v>
      </c>
      <c r="I12" s="197">
        <f>'Statements Summary 2027'!V12</f>
        <v>0</v>
      </c>
      <c r="K12" s="197" t="s">
        <v>189</v>
      </c>
      <c r="L12" s="197">
        <f>'CF 2025'!H31</f>
        <v>-22102</v>
      </c>
      <c r="M12" s="197">
        <f>'CF 2025'!I31</f>
        <v>-22102</v>
      </c>
      <c r="N12" s="197">
        <f>'CF 2025'!J31</f>
        <v>-22102</v>
      </c>
      <c r="O12" s="197">
        <f>'CF 2025'!K31</f>
        <v>-22102</v>
      </c>
      <c r="P12" s="197">
        <f>'CF 2025'!L31</f>
        <v>-22102</v>
      </c>
      <c r="Q12" s="197">
        <f>'CF 2025'!M31</f>
        <v>-22102</v>
      </c>
      <c r="R12" s="197">
        <f>'CF 2025'!N31</f>
        <v>-8472</v>
      </c>
      <c r="S12" s="197">
        <f>'CF 2025'!O31</f>
        <v>0</v>
      </c>
      <c r="T12" s="197">
        <f>'CF 2025'!P31</f>
        <v>0</v>
      </c>
      <c r="U12" s="197">
        <f>'CF 2025'!Q31</f>
        <v>0</v>
      </c>
      <c r="V12" s="197">
        <f>'CF 2025'!R31</f>
        <v>0</v>
      </c>
    </row>
    <row r="13" spans="2:22" x14ac:dyDescent="0.3">
      <c r="B13" t="s">
        <v>44</v>
      </c>
      <c r="E13" s="197" t="str">
        <f>'Statements Summary 2023'!V13</f>
        <v>-</v>
      </c>
      <c r="F13" s="197" t="str">
        <f>'Statements Summary 2024'!V13</f>
        <v>-</v>
      </c>
      <c r="G13" s="197" t="str">
        <f t="shared" si="0"/>
        <v>-</v>
      </c>
      <c r="H13" s="197" t="str">
        <f>'Statements Summary 2026'!V13</f>
        <v>-</v>
      </c>
      <c r="I13" s="197" t="str">
        <f>'Statements Summary 2027'!V13</f>
        <v>-</v>
      </c>
      <c r="K13" s="197" t="s">
        <v>189</v>
      </c>
      <c r="L13" s="197" t="s">
        <v>189</v>
      </c>
      <c r="M13" s="197" t="s">
        <v>189</v>
      </c>
      <c r="N13" s="197" t="s">
        <v>189</v>
      </c>
      <c r="O13" s="197" t="s">
        <v>189</v>
      </c>
      <c r="P13" s="197" t="s">
        <v>189</v>
      </c>
      <c r="Q13" s="197" t="s">
        <v>189</v>
      </c>
      <c r="R13" s="197" t="s">
        <v>189</v>
      </c>
      <c r="S13" s="197" t="s">
        <v>189</v>
      </c>
      <c r="T13" s="197" t="s">
        <v>189</v>
      </c>
      <c r="U13" s="197" t="s">
        <v>189</v>
      </c>
      <c r="V13" s="197" t="s">
        <v>189</v>
      </c>
    </row>
    <row r="14" spans="2:22" x14ac:dyDescent="0.3">
      <c r="B14" t="s">
        <v>45</v>
      </c>
      <c r="E14" s="197" t="str">
        <f>'Statements Summary 2023'!V14</f>
        <v>-</v>
      </c>
      <c r="F14" s="197" t="str">
        <f>'Statements Summary 2024'!V14</f>
        <v>-</v>
      </c>
      <c r="G14" s="197" t="str">
        <f t="shared" si="0"/>
        <v>-</v>
      </c>
      <c r="H14" s="197" t="str">
        <f>'Statements Summary 2026'!V14</f>
        <v>-</v>
      </c>
      <c r="I14" s="197" t="str">
        <f>'Statements Summary 2027'!V14</f>
        <v>-</v>
      </c>
      <c r="K14" s="197" t="s">
        <v>189</v>
      </c>
      <c r="L14" s="197" t="s">
        <v>189</v>
      </c>
      <c r="M14" s="197" t="s">
        <v>189</v>
      </c>
      <c r="N14" s="197" t="s">
        <v>189</v>
      </c>
      <c r="O14" s="197" t="s">
        <v>189</v>
      </c>
      <c r="P14" s="197" t="s">
        <v>189</v>
      </c>
      <c r="Q14" s="197" t="s">
        <v>189</v>
      </c>
      <c r="R14" s="197" t="s">
        <v>189</v>
      </c>
      <c r="S14" s="197" t="s">
        <v>189</v>
      </c>
      <c r="T14" s="197" t="s">
        <v>189</v>
      </c>
      <c r="U14" s="197" t="s">
        <v>189</v>
      </c>
      <c r="V14" s="197" t="s">
        <v>189</v>
      </c>
    </row>
    <row r="15" spans="2:22" x14ac:dyDescent="0.3">
      <c r="B15" t="s">
        <v>46</v>
      </c>
      <c r="E15" s="197">
        <f>'Statements Summary 2023'!V15</f>
        <v>-16818</v>
      </c>
      <c r="F15" s="197">
        <f>'Statements Summary 2024'!V15</f>
        <v>-16818</v>
      </c>
      <c r="G15" s="197">
        <f t="shared" si="0"/>
        <v>0</v>
      </c>
      <c r="H15" s="197">
        <f>'Statements Summary 2026'!V15</f>
        <v>0</v>
      </c>
      <c r="I15" s="197">
        <f>'Statements Summary 2027'!V15</f>
        <v>0</v>
      </c>
      <c r="K15" s="197" t="s">
        <v>189</v>
      </c>
      <c r="L15" s="197">
        <f>'CF 2025'!H31</f>
        <v>-22102</v>
      </c>
      <c r="M15" s="197">
        <f>'CF 2025'!I31</f>
        <v>-22102</v>
      </c>
      <c r="N15" s="197">
        <f>'CF 2025'!J31</f>
        <v>-22102</v>
      </c>
      <c r="O15" s="197">
        <f>'CF 2025'!K31</f>
        <v>-22102</v>
      </c>
      <c r="P15" s="197">
        <f>'CF 2025'!L31</f>
        <v>-22102</v>
      </c>
      <c r="Q15" s="197">
        <f>'CF 2025'!M31</f>
        <v>-22102</v>
      </c>
      <c r="R15" s="197">
        <f>'CF 2025'!N31</f>
        <v>-8472</v>
      </c>
      <c r="S15" s="197">
        <f>'CF 2025'!O31</f>
        <v>0</v>
      </c>
      <c r="T15" s="197">
        <f>'CF 2025'!P31</f>
        <v>0</v>
      </c>
      <c r="U15" s="197">
        <f>'CF 2025'!Q31</f>
        <v>0</v>
      </c>
      <c r="V15" s="197">
        <f>'CF 2025'!R31</f>
        <v>0</v>
      </c>
    </row>
    <row r="16" spans="2:22" x14ac:dyDescent="0.3">
      <c r="B16" t="s">
        <v>194</v>
      </c>
      <c r="E16" s="197">
        <f>'Statements Summary 2023'!V16</f>
        <v>170658</v>
      </c>
      <c r="F16" s="197">
        <f>'Statements Summary 2024'!V16</f>
        <v>264083.52960000001</v>
      </c>
      <c r="G16" s="197">
        <f t="shared" si="0"/>
        <v>340344</v>
      </c>
      <c r="H16" s="197">
        <f>'Statements Summary 2026'!V16</f>
        <v>479525.6</v>
      </c>
      <c r="I16" s="197">
        <f>'Statements Summary 2027'!V16</f>
        <v>537481.6</v>
      </c>
      <c r="K16" s="197">
        <f>'CF 2025'!G20</f>
        <v>270175.2</v>
      </c>
      <c r="L16" s="197">
        <f>'CF 2025'!H20</f>
        <v>278183.59999999998</v>
      </c>
      <c r="M16" s="197">
        <f>'CF 2025'!I20</f>
        <v>263008</v>
      </c>
      <c r="N16" s="197">
        <f>'CF 2025'!J20</f>
        <v>540944.4</v>
      </c>
      <c r="O16" s="197">
        <f>'CF 2025'!K20</f>
        <v>277092.8</v>
      </c>
      <c r="P16" s="197">
        <f>'CF 2025'!L20</f>
        <v>283445.2</v>
      </c>
      <c r="Q16" s="197">
        <f>'CF 2025'!M20</f>
        <v>296421.59999999998</v>
      </c>
      <c r="R16" s="197">
        <f>'CF 2025'!N20</f>
        <v>293976</v>
      </c>
      <c r="S16" s="197">
        <f>'CF 2025'!O20</f>
        <v>305016</v>
      </c>
      <c r="T16" s="197">
        <f>'CF 2025'!P20</f>
        <v>306396</v>
      </c>
      <c r="U16" s="197">
        <f>'CF 2025'!Q20</f>
        <v>315504</v>
      </c>
      <c r="V16" s="197">
        <f>'CF 2025'!R20</f>
        <v>340344</v>
      </c>
    </row>
    <row r="17" spans="2:22" x14ac:dyDescent="0.3">
      <c r="B17" t="s">
        <v>47</v>
      </c>
      <c r="E17" s="197">
        <f>'Statements Summary 2023'!V17</f>
        <v>324498</v>
      </c>
      <c r="F17" s="197">
        <f>'Statements Summary 2024'!V17</f>
        <v>511349.05920000002</v>
      </c>
      <c r="G17" s="197">
        <f t="shared" si="0"/>
        <v>680688</v>
      </c>
      <c r="H17" s="197">
        <f>'Statements Summary 2026'!V17</f>
        <v>959051.20000000007</v>
      </c>
      <c r="I17" s="197">
        <f>'Statements Summary 2027'!V17</f>
        <v>1074963.2000000002</v>
      </c>
      <c r="K17" s="197">
        <f>'CF 2025'!G41+'CF 2025'!G18+'CF 2025'!G19</f>
        <v>518248.39999999997</v>
      </c>
      <c r="L17" s="197">
        <f>'CF 2025'!H41+'CF 2025'!H18+'CF 2025'!H19</f>
        <v>534265.19999999995</v>
      </c>
      <c r="M17" s="197">
        <f>'CF 2025'!I41+'CF 2025'!I18+'CF 2025'!I19</f>
        <v>503914</v>
      </c>
      <c r="N17" s="197">
        <f>'CF 2025'!J41+'CF 2025'!J18+'CF 2025'!J19</f>
        <v>1059786.7999999998</v>
      </c>
      <c r="O17" s="197">
        <f>'CF 2025'!K41+'CF 2025'!K18+'CF 2025'!K19</f>
        <v>532083.60000000009</v>
      </c>
      <c r="P17" s="197">
        <f>'CF 2025'!L41+'CF 2025'!L18+'CF 2025'!L19</f>
        <v>544788.39999999991</v>
      </c>
      <c r="Q17" s="197">
        <f>'CF 2025'!M41+'CF 2025'!M18+'CF 2025'!M19</f>
        <v>570741.19999999995</v>
      </c>
      <c r="R17" s="197">
        <f>'CF 2025'!N41+'CF 2025'!N18+'CF 2025'!N19</f>
        <v>579480</v>
      </c>
      <c r="S17" s="197">
        <f>'CF 2025'!O41+'CF 2025'!O18+'CF 2025'!O19</f>
        <v>610032</v>
      </c>
      <c r="T17" s="197">
        <f>'CF 2025'!P41+'CF 2025'!P18+'CF 2025'!P19</f>
        <v>612792</v>
      </c>
      <c r="U17" s="197">
        <f>'CF 2025'!Q41+'CF 2025'!Q18+'CF 2025'!Q19</f>
        <v>631008</v>
      </c>
      <c r="V17" s="197">
        <f>'CF 2025'!R41+'CF 2025'!R18+'CF 2025'!R19</f>
        <v>680688</v>
      </c>
    </row>
    <row r="19" spans="2:22" x14ac:dyDescent="0.3">
      <c r="B19" s="172" t="s">
        <v>224</v>
      </c>
      <c r="C19" s="145"/>
      <c r="D19" s="145"/>
      <c r="E19" s="145"/>
      <c r="F19" s="145"/>
      <c r="G19" s="145"/>
      <c r="H19" s="145"/>
      <c r="I19" s="145"/>
      <c r="K19" s="334" t="s">
        <v>229</v>
      </c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</row>
    <row r="42" spans="2:22" x14ac:dyDescent="0.3">
      <c r="B42" s="172" t="s">
        <v>225</v>
      </c>
      <c r="C42" s="172"/>
      <c r="D42" s="172"/>
      <c r="E42" s="172"/>
      <c r="F42" s="145"/>
      <c r="G42" s="145"/>
      <c r="H42" s="145"/>
      <c r="I42" s="145"/>
      <c r="J42" s="145"/>
      <c r="K42" s="334" t="s">
        <v>230</v>
      </c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</row>
    <row r="44" spans="2:22" x14ac:dyDescent="0.3">
      <c r="B44" s="185" t="s">
        <v>20</v>
      </c>
      <c r="C44" s="185"/>
      <c r="D44" s="185"/>
      <c r="E44" s="186">
        <v>2023</v>
      </c>
      <c r="F44" s="186">
        <v>2024</v>
      </c>
      <c r="G44" s="186">
        <v>2025</v>
      </c>
      <c r="H44" s="186">
        <v>2026</v>
      </c>
      <c r="I44" s="186">
        <v>2027</v>
      </c>
      <c r="J44" s="185"/>
      <c r="K44" s="185" t="s">
        <v>25</v>
      </c>
      <c r="L44" s="185" t="s">
        <v>26</v>
      </c>
      <c r="M44" s="185" t="s">
        <v>27</v>
      </c>
      <c r="N44" s="185" t="s">
        <v>28</v>
      </c>
      <c r="O44" s="185" t="s">
        <v>29</v>
      </c>
      <c r="P44" s="185" t="s">
        <v>30</v>
      </c>
      <c r="Q44" s="185" t="s">
        <v>31</v>
      </c>
      <c r="R44" s="185" t="s">
        <v>32</v>
      </c>
      <c r="S44" s="185" t="s">
        <v>33</v>
      </c>
      <c r="T44" s="185" t="s">
        <v>34</v>
      </c>
      <c r="U44" s="185" t="s">
        <v>35</v>
      </c>
      <c r="V44" s="185" t="s">
        <v>36</v>
      </c>
    </row>
    <row r="45" spans="2:22" x14ac:dyDescent="0.3">
      <c r="B45" s="14" t="s">
        <v>2</v>
      </c>
      <c r="C45" s="14"/>
      <c r="D45" s="14"/>
      <c r="E45" s="187">
        <f>'Statements Summary 2023'!V44</f>
        <v>300123</v>
      </c>
      <c r="F45" s="187">
        <f>'Statements Summary 2024'!V45</f>
        <v>366450.91200000001</v>
      </c>
      <c r="G45" s="187">
        <f t="shared" ref="G45:G65" si="1">V45</f>
        <v>425730</v>
      </c>
      <c r="H45" s="187">
        <f>'Statements Summary 2026'!V45</f>
        <v>585620</v>
      </c>
      <c r="I45" s="187">
        <f>'Statements Summary 2027'!V45</f>
        <v>656590</v>
      </c>
      <c r="K45" s="187">
        <f>'IS 2025'!F13</f>
        <v>373290</v>
      </c>
      <c r="L45" s="187">
        <f>'IS 2025'!G13</f>
        <v>377775</v>
      </c>
      <c r="M45" s="187">
        <f>'IS 2025'!H13</f>
        <v>353280</v>
      </c>
      <c r="N45" s="187">
        <f>'IS 2025'!I13</f>
        <v>695175</v>
      </c>
      <c r="O45" s="187">
        <f>'IS 2025'!J13</f>
        <v>359835</v>
      </c>
      <c r="P45" s="187">
        <f>'IS 2025'!K13</f>
        <v>362250</v>
      </c>
      <c r="Q45" s="187">
        <f>'IS 2025'!L13</f>
        <v>372945</v>
      </c>
      <c r="R45" s="187">
        <f>'IS 2025'!M13</f>
        <v>367770</v>
      </c>
      <c r="S45" s="187">
        <f>'IS 2025'!N13</f>
        <v>381570</v>
      </c>
      <c r="T45" s="187">
        <f>'IS 2025'!O13</f>
        <v>383295</v>
      </c>
      <c r="U45" s="187">
        <f>'IS 2025'!P13</f>
        <v>394680</v>
      </c>
      <c r="V45" s="187">
        <f>'IS 2025'!Q13</f>
        <v>425730</v>
      </c>
    </row>
    <row r="46" spans="2:22" x14ac:dyDescent="0.3">
      <c r="B46" t="s">
        <v>21</v>
      </c>
      <c r="E46" s="1">
        <f>'Statements Summary 2023'!V45</f>
        <v>-4.1174271830702436E-2</v>
      </c>
      <c r="F46" s="2">
        <f>'Statements Summary 2024'!V46</f>
        <v>4.0916530278233172E-3</v>
      </c>
      <c r="G46" s="2">
        <f t="shared" si="1"/>
        <v>7.8671328671328672E-2</v>
      </c>
      <c r="H46" s="2">
        <f>'Statements Summary 2026'!V46</f>
        <v>6.462035541195477E-3</v>
      </c>
      <c r="I46" s="2">
        <f>'Statements Summary 2027'!V46</f>
        <v>5.7595392368610509E-3</v>
      </c>
      <c r="K46" s="2"/>
      <c r="L46" s="2">
        <f t="shared" ref="L46" si="2">(L45-K45)/K45</f>
        <v>1.2014787430683918E-2</v>
      </c>
      <c r="M46" s="2">
        <f>(M45-L45)/L45</f>
        <v>-6.4840182648401828E-2</v>
      </c>
      <c r="N46" s="2">
        <f>(N45-M45)/M45</f>
        <v>0.9677734375</v>
      </c>
      <c r="O46" s="2">
        <f t="shared" ref="O46:T46" si="3">(O45-N45)/N45</f>
        <v>-0.48238213399503721</v>
      </c>
      <c r="P46" s="2">
        <f t="shared" si="3"/>
        <v>6.7114093959731542E-3</v>
      </c>
      <c r="Q46" s="2">
        <f t="shared" si="3"/>
        <v>2.9523809523809525E-2</v>
      </c>
      <c r="R46" s="2">
        <f t="shared" si="3"/>
        <v>-1.3876040703052728E-2</v>
      </c>
      <c r="S46" s="2">
        <f t="shared" si="3"/>
        <v>3.7523452157598502E-2</v>
      </c>
      <c r="T46" s="2">
        <f t="shared" si="3"/>
        <v>4.5207956600361665E-3</v>
      </c>
      <c r="U46" s="2">
        <f>(U45-T45)/T45</f>
        <v>2.9702970297029702E-2</v>
      </c>
      <c r="V46" s="2">
        <f t="shared" ref="V46" si="4">(V45-U45)/U45</f>
        <v>7.8671328671328672E-2</v>
      </c>
    </row>
    <row r="47" spans="2:22" x14ac:dyDescent="0.3">
      <c r="B47" t="s">
        <v>3</v>
      </c>
      <c r="E47" s="1">
        <f>'Statements Summary 2023'!V46</f>
        <v>-10390</v>
      </c>
      <c r="F47" s="1">
        <f>'Statements Summary 2024'!V47</f>
        <v>-10390</v>
      </c>
      <c r="G47" s="1">
        <f t="shared" si="1"/>
        <v>8610</v>
      </c>
      <c r="H47" s="1">
        <f>'Statements Summary 2026'!V47</f>
        <v>-32544</v>
      </c>
      <c r="I47" s="1">
        <f>'Statements Summary 2027'!V47</f>
        <v>-38444</v>
      </c>
      <c r="K47" s="1">
        <f>'IS 2025'!F14</f>
        <v>8610</v>
      </c>
      <c r="L47" s="1">
        <f>'IS 2025'!G14</f>
        <v>8610</v>
      </c>
      <c r="M47" s="1">
        <f>'IS 2025'!H14</f>
        <v>8610</v>
      </c>
      <c r="N47" s="1">
        <f>'IS 2025'!I14</f>
        <v>8610</v>
      </c>
      <c r="O47" s="1">
        <f>'IS 2025'!J14</f>
        <v>8610</v>
      </c>
      <c r="P47" s="1">
        <f>'IS 2025'!K14</f>
        <v>8610</v>
      </c>
      <c r="Q47" s="1">
        <f>'IS 2025'!L14</f>
        <v>8610</v>
      </c>
      <c r="R47" s="1">
        <f>'IS 2025'!M14</f>
        <v>8610</v>
      </c>
      <c r="S47" s="1">
        <f>'IS 2025'!N14</f>
        <v>8610</v>
      </c>
      <c r="T47" s="1">
        <f>'IS 2025'!O14</f>
        <v>8610</v>
      </c>
      <c r="U47" s="1">
        <f>'IS 2025'!P14</f>
        <v>8610</v>
      </c>
      <c r="V47" s="1">
        <f>'IS 2025'!Q14</f>
        <v>8610</v>
      </c>
    </row>
    <row r="48" spans="2:22" x14ac:dyDescent="0.3">
      <c r="B48" t="s">
        <v>22</v>
      </c>
      <c r="E48" s="2">
        <f>'Statements Summary 2023'!V47</f>
        <v>-3.4619139486144014E-2</v>
      </c>
      <c r="F48" s="2">
        <f>'Statements Summary 2024'!V48</f>
        <v>-2.8353047187940957E-2</v>
      </c>
      <c r="G48" s="2">
        <f t="shared" si="1"/>
        <v>2.0224085688112185E-2</v>
      </c>
      <c r="H48" s="2">
        <f>'Statements Summary 2026'!V48</f>
        <v>-5.5571872545336569E-2</v>
      </c>
      <c r="I48" s="2">
        <f>'Statements Summary 2027'!V48</f>
        <v>-5.8550998339907706E-2</v>
      </c>
      <c r="K48" s="2">
        <f>K47/K45</f>
        <v>2.3065177208068794E-2</v>
      </c>
      <c r="L48" s="2">
        <f t="shared" ref="L48:V48" si="5">L47/L45</f>
        <v>2.2791344054000396E-2</v>
      </c>
      <c r="M48" s="2">
        <f t="shared" si="5"/>
        <v>2.4371603260869564E-2</v>
      </c>
      <c r="N48" s="2">
        <f t="shared" si="5"/>
        <v>1.2385370590139173E-2</v>
      </c>
      <c r="O48" s="2">
        <f t="shared" si="5"/>
        <v>2.3927633498686898E-2</v>
      </c>
      <c r="P48" s="2">
        <f t="shared" si="5"/>
        <v>2.3768115942028985E-2</v>
      </c>
      <c r="Q48" s="2">
        <f t="shared" si="5"/>
        <v>2.3086514097252948E-2</v>
      </c>
      <c r="R48" s="2">
        <f t="shared" si="5"/>
        <v>2.3411371237458192E-2</v>
      </c>
      <c r="S48" s="2">
        <f t="shared" si="5"/>
        <v>2.2564667033571822E-2</v>
      </c>
      <c r="T48" s="2">
        <f t="shared" si="5"/>
        <v>2.2463115876805072E-2</v>
      </c>
      <c r="U48" s="2">
        <f t="shared" si="5"/>
        <v>2.1815141380358772E-2</v>
      </c>
      <c r="V48" s="2">
        <f t="shared" si="5"/>
        <v>2.0224085688112185E-2</v>
      </c>
    </row>
    <row r="49" spans="2:22" x14ac:dyDescent="0.3">
      <c r="B49" t="s">
        <v>4</v>
      </c>
      <c r="E49" s="1">
        <f>'Statements Summary 2023'!V48</f>
        <v>289733</v>
      </c>
      <c r="F49" s="1">
        <f>'Statements Summary 2024'!V49</f>
        <v>356060.91200000001</v>
      </c>
      <c r="G49" s="1">
        <f t="shared" si="1"/>
        <v>434340</v>
      </c>
      <c r="H49" s="1">
        <f>'Statements Summary 2026'!V49</f>
        <v>553076</v>
      </c>
      <c r="I49" s="1">
        <f>'Statements Summary 2027'!V49</f>
        <v>618146</v>
      </c>
      <c r="K49" s="1">
        <f>'IS 2025'!F22</f>
        <v>381900</v>
      </c>
      <c r="L49" s="1">
        <f>'IS 2025'!G22</f>
        <v>386385</v>
      </c>
      <c r="M49" s="1">
        <f>'IS 2025'!H22</f>
        <v>361890</v>
      </c>
      <c r="N49" s="1">
        <f>'IS 2025'!I22</f>
        <v>703785</v>
      </c>
      <c r="O49" s="1">
        <f>'IS 2025'!J22</f>
        <v>368445</v>
      </c>
      <c r="P49" s="1">
        <f>'IS 2025'!K22</f>
        <v>370860</v>
      </c>
      <c r="Q49" s="1">
        <f>'IS 2025'!L22</f>
        <v>381555</v>
      </c>
      <c r="R49" s="1">
        <f>'IS 2025'!M22</f>
        <v>376380</v>
      </c>
      <c r="S49" s="1">
        <f>'IS 2025'!N22</f>
        <v>390180</v>
      </c>
      <c r="T49" s="1">
        <f>'IS 2025'!O22</f>
        <v>391905</v>
      </c>
      <c r="U49" s="1">
        <f>'IS 2025'!P22</f>
        <v>403290</v>
      </c>
      <c r="V49" s="1">
        <f>'IS 2025'!Q22</f>
        <v>434340</v>
      </c>
    </row>
    <row r="50" spans="2:22" x14ac:dyDescent="0.3">
      <c r="B50" t="s">
        <v>23</v>
      </c>
      <c r="E50" s="2">
        <f>'Statements Summary 2023'!V49</f>
        <v>0.96538086051385597</v>
      </c>
      <c r="F50" s="2">
        <f>'Statements Summary 2024'!V50</f>
        <v>0.97164695281205904</v>
      </c>
      <c r="G50" s="2">
        <f t="shared" si="1"/>
        <v>1.0202240856881122</v>
      </c>
      <c r="H50" s="2">
        <f>'Statements Summary 2026'!V50</f>
        <v>0.94442812745466342</v>
      </c>
      <c r="I50" s="2">
        <f>'Statements Summary 2027'!V50</f>
        <v>0.94144900166009227</v>
      </c>
      <c r="K50" s="2">
        <f>K49/K45</f>
        <v>1.0230651772080688</v>
      </c>
      <c r="L50" s="2">
        <f t="shared" ref="L50:V50" si="6">L49/L45</f>
        <v>1.0227913440540004</v>
      </c>
      <c r="M50" s="2">
        <f t="shared" si="6"/>
        <v>1.0243716032608696</v>
      </c>
      <c r="N50" s="2">
        <f t="shared" si="6"/>
        <v>1.0123853705901391</v>
      </c>
      <c r="O50" s="2">
        <f t="shared" si="6"/>
        <v>1.0239276334986869</v>
      </c>
      <c r="P50" s="2">
        <f t="shared" si="6"/>
        <v>1.0237681159420289</v>
      </c>
      <c r="Q50" s="2">
        <f t="shared" si="6"/>
        <v>1.0230865140972529</v>
      </c>
      <c r="R50" s="2">
        <f t="shared" si="6"/>
        <v>1.0234113712374582</v>
      </c>
      <c r="S50" s="2">
        <f t="shared" si="6"/>
        <v>1.0225646670335717</v>
      </c>
      <c r="T50" s="2">
        <f t="shared" si="6"/>
        <v>1.0224631158768052</v>
      </c>
      <c r="U50" s="2">
        <f t="shared" si="6"/>
        <v>1.0218151413803587</v>
      </c>
      <c r="V50" s="2">
        <f t="shared" si="6"/>
        <v>1.0202240856881122</v>
      </c>
    </row>
    <row r="51" spans="2:22" x14ac:dyDescent="0.3">
      <c r="B51" t="s">
        <v>5</v>
      </c>
      <c r="E51" s="1">
        <f>'Statements Summary 2023'!V50</f>
        <v>-2285</v>
      </c>
      <c r="F51" s="1">
        <f>'Statements Summary 2024'!V51</f>
        <v>-2285</v>
      </c>
      <c r="G51" s="1">
        <f t="shared" si="1"/>
        <v>-2285</v>
      </c>
      <c r="H51" s="1">
        <f>'Statements Summary 2026'!V51</f>
        <v>-17479</v>
      </c>
      <c r="I51" s="1">
        <f>'Statements Summary 2027'!V51</f>
        <v>-17479</v>
      </c>
      <c r="K51" s="1">
        <f>'IS 2025'!F34</f>
        <v>-2285</v>
      </c>
      <c r="L51" s="1">
        <f>'IS 2025'!G34</f>
        <v>-2285</v>
      </c>
      <c r="M51" s="1">
        <f>'IS 2025'!H34</f>
        <v>-2285</v>
      </c>
      <c r="N51" s="1">
        <f>'IS 2025'!I34</f>
        <v>-2285</v>
      </c>
      <c r="O51" s="1">
        <f>'IS 2025'!J34</f>
        <v>-2285</v>
      </c>
      <c r="P51" s="1">
        <f>'IS 2025'!K34</f>
        <v>-2285</v>
      </c>
      <c r="Q51" s="1">
        <f>'IS 2025'!L34</f>
        <v>-2285</v>
      </c>
      <c r="R51" s="1">
        <f>'IS 2025'!M34</f>
        <v>-2285</v>
      </c>
      <c r="S51" s="1">
        <f>'IS 2025'!N34</f>
        <v>-2285</v>
      </c>
      <c r="T51" s="1">
        <f>'IS 2025'!O34</f>
        <v>-2285</v>
      </c>
      <c r="U51" s="1">
        <f>'IS 2025'!P34</f>
        <v>-2285</v>
      </c>
      <c r="V51" s="1">
        <f>'IS 2025'!Q34</f>
        <v>-2285</v>
      </c>
    </row>
    <row r="52" spans="2:22" x14ac:dyDescent="0.3">
      <c r="B52" t="s">
        <v>22</v>
      </c>
      <c r="E52" s="2">
        <f>'Statements Summary 2023'!V51</f>
        <v>-7.6135451131702668E-3</v>
      </c>
      <c r="F52" s="2">
        <f>'Statements Summary 2024'!V52</f>
        <v>-6.2354872785798932E-3</v>
      </c>
      <c r="G52" s="2">
        <f t="shared" si="1"/>
        <v>-5.3672515444060792E-3</v>
      </c>
      <c r="H52" s="2">
        <f>'Statements Summary 2026'!V52</f>
        <v>-2.9846999760937125E-2</v>
      </c>
      <c r="I52" s="2">
        <f>'Statements Summary 2027'!V52</f>
        <v>-2.6620874518344783E-2</v>
      </c>
      <c r="K52" s="2">
        <f>K51/K45</f>
        <v>-6.1212462160786518E-3</v>
      </c>
      <c r="L52" s="2">
        <f t="shared" ref="L52:V52" si="7">L51/L45</f>
        <v>-6.0485738865726953E-3</v>
      </c>
      <c r="M52" s="2">
        <f t="shared" si="7"/>
        <v>-6.467957427536232E-3</v>
      </c>
      <c r="N52" s="2">
        <f t="shared" si="7"/>
        <v>-3.2869421368720108E-3</v>
      </c>
      <c r="O52" s="2">
        <f t="shared" si="7"/>
        <v>-6.3501326997095894E-3</v>
      </c>
      <c r="P52" s="2">
        <f t="shared" si="7"/>
        <v>-6.3077984817115256E-3</v>
      </c>
      <c r="Q52" s="2">
        <f t="shared" si="7"/>
        <v>-6.1269087935218328E-3</v>
      </c>
      <c r="R52" s="2">
        <f t="shared" si="7"/>
        <v>-6.2131223318922148E-3</v>
      </c>
      <c r="S52" s="2">
        <f t="shared" si="7"/>
        <v>-5.9884162801058785E-3</v>
      </c>
      <c r="T52" s="2">
        <f t="shared" si="7"/>
        <v>-5.9614657117885699E-3</v>
      </c>
      <c r="U52" s="2">
        <f t="shared" si="7"/>
        <v>-5.789500354717746E-3</v>
      </c>
      <c r="V52" s="2">
        <f t="shared" si="7"/>
        <v>-5.3672515444060792E-3</v>
      </c>
    </row>
    <row r="53" spans="2:22" x14ac:dyDescent="0.3">
      <c r="B53" t="s">
        <v>190</v>
      </c>
      <c r="E53" s="1">
        <f>'Statements Summary 2023'!V52</f>
        <v>-4063</v>
      </c>
      <c r="F53" s="1">
        <f>'Statements Summary 2024'!V53</f>
        <v>-4063</v>
      </c>
      <c r="G53" s="1">
        <f t="shared" si="1"/>
        <v>-45063</v>
      </c>
      <c r="H53" s="1">
        <f>'Statements Summary 2026'!V53</f>
        <v>-45063</v>
      </c>
      <c r="I53" s="1">
        <f>'Statements Summary 2027'!V53</f>
        <v>-45063</v>
      </c>
      <c r="K53" s="1">
        <f>'IS 2025'!F35</f>
        <v>-45063</v>
      </c>
      <c r="L53" s="1">
        <f>'IS 2025'!G35</f>
        <v>-45063</v>
      </c>
      <c r="M53" s="1">
        <f>'IS 2025'!H35</f>
        <v>-45063</v>
      </c>
      <c r="N53" s="1">
        <f>'IS 2025'!I35</f>
        <v>-45063</v>
      </c>
      <c r="O53" s="1">
        <f>'IS 2025'!J35</f>
        <v>-45063</v>
      </c>
      <c r="P53" s="1">
        <f>'IS 2025'!K35</f>
        <v>-45063</v>
      </c>
      <c r="Q53" s="1">
        <f>'IS 2025'!L35</f>
        <v>-45063</v>
      </c>
      <c r="R53" s="1">
        <f>'IS 2025'!M35</f>
        <v>-45063</v>
      </c>
      <c r="S53" s="1">
        <f>'IS 2025'!N35</f>
        <v>-45063</v>
      </c>
      <c r="T53" s="1">
        <f>'IS 2025'!O35</f>
        <v>-45063</v>
      </c>
      <c r="U53" s="1">
        <f>'IS 2025'!P35</f>
        <v>-45063</v>
      </c>
      <c r="V53" s="1">
        <f>'IS 2025'!Q35</f>
        <v>-45063</v>
      </c>
    </row>
    <row r="54" spans="2:22" x14ac:dyDescent="0.3">
      <c r="B54" t="s">
        <v>22</v>
      </c>
      <c r="E54" s="2">
        <f>'Statements Summary 2023'!V53</f>
        <v>-1.3537782842367962E-2</v>
      </c>
      <c r="F54" s="2">
        <f>'Statements Summary 2024'!V54</f>
        <v>-1.1087433178498952E-2</v>
      </c>
      <c r="G54" s="2">
        <f t="shared" si="1"/>
        <v>-0.10584877739412303</v>
      </c>
      <c r="H54" s="2">
        <f>'Statements Summary 2026'!V54</f>
        <v>-7.6949216215293187E-2</v>
      </c>
      <c r="I54" s="2">
        <f>'Statements Summary 2027'!V54</f>
        <v>-6.863187072602385E-2</v>
      </c>
      <c r="K54" s="2">
        <f>K53/K45</f>
        <v>-0.12071847625170778</v>
      </c>
      <c r="L54" s="2">
        <f t="shared" ref="L54:V54" si="8">L53/L45</f>
        <v>-0.11928528886241811</v>
      </c>
      <c r="M54" s="2">
        <f t="shared" si="8"/>
        <v>-0.12755604619565217</v>
      </c>
      <c r="N54" s="2">
        <f t="shared" si="8"/>
        <v>-6.4822526701909591E-2</v>
      </c>
      <c r="O54" s="2">
        <f t="shared" si="8"/>
        <v>-0.12523239818250032</v>
      </c>
      <c r="P54" s="2">
        <f t="shared" si="8"/>
        <v>-0.12439751552795031</v>
      </c>
      <c r="Q54" s="2">
        <f t="shared" si="8"/>
        <v>-0.12083014921771307</v>
      </c>
      <c r="R54" s="2">
        <f t="shared" si="8"/>
        <v>-0.12253038583897545</v>
      </c>
      <c r="S54" s="2">
        <f t="shared" si="8"/>
        <v>-0.11809890714678827</v>
      </c>
      <c r="T54" s="2">
        <f t="shared" si="8"/>
        <v>-0.11756740891480452</v>
      </c>
      <c r="U54" s="2">
        <f t="shared" si="8"/>
        <v>-0.11417604134995439</v>
      </c>
      <c r="V54" s="2">
        <f t="shared" si="8"/>
        <v>-0.10584877739412303</v>
      </c>
    </row>
    <row r="55" spans="2:22" x14ac:dyDescent="0.3">
      <c r="B55" t="s">
        <v>24</v>
      </c>
      <c r="E55" s="1">
        <f>'Statements Summary 2023'!V54</f>
        <v>-8250</v>
      </c>
      <c r="F55" s="1">
        <f>'Statements Summary 2024'!V55</f>
        <v>-8250</v>
      </c>
      <c r="G55" s="1">
        <f t="shared" si="1"/>
        <v>-8250</v>
      </c>
      <c r="H55" s="1">
        <f>'Statements Summary 2026'!V55</f>
        <v>-8250</v>
      </c>
      <c r="I55" s="1">
        <f>'Statements Summary 2027'!V55</f>
        <v>-8250</v>
      </c>
      <c r="K55" s="1">
        <f>'IS 2025'!F54</f>
        <v>-8250</v>
      </c>
      <c r="L55" s="1">
        <f>'IS 2025'!G54</f>
        <v>-8250</v>
      </c>
      <c r="M55" s="1">
        <f>'IS 2025'!H54</f>
        <v>-8250</v>
      </c>
      <c r="N55" s="1">
        <f>'IS 2025'!I54</f>
        <v>-8250</v>
      </c>
      <c r="O55" s="1">
        <f>'IS 2025'!J54</f>
        <v>-8250</v>
      </c>
      <c r="P55" s="1">
        <f>'IS 2025'!K54</f>
        <v>-8250</v>
      </c>
      <c r="Q55" s="1">
        <f>'IS 2025'!L54</f>
        <v>-8250</v>
      </c>
      <c r="R55" s="1">
        <f>'IS 2025'!M54</f>
        <v>-8250</v>
      </c>
      <c r="S55" s="1">
        <f>'IS 2025'!N54</f>
        <v>-8250</v>
      </c>
      <c r="T55" s="1">
        <f>'IS 2025'!O54</f>
        <v>-8250</v>
      </c>
      <c r="U55" s="1">
        <f>'IS 2025'!P54</f>
        <v>-8250</v>
      </c>
      <c r="V55" s="1">
        <f>'IS 2025'!Q54</f>
        <v>-8250</v>
      </c>
    </row>
    <row r="56" spans="2:22" x14ac:dyDescent="0.3">
      <c r="B56" t="s">
        <v>22</v>
      </c>
      <c r="E56" s="2">
        <f>'Statements Summary 2023'!V55</f>
        <v>-2.748872962085545E-2</v>
      </c>
      <c r="F56" s="2">
        <f>'Statements Summary 2024'!V56</f>
        <v>-2.2513247285901147E-2</v>
      </c>
      <c r="G56" s="2">
        <f t="shared" si="1"/>
        <v>-1.9378479317877527E-2</v>
      </c>
      <c r="H56" s="2">
        <f>'Statements Summary 2026'!V56</f>
        <v>-1.4087633619070387E-2</v>
      </c>
      <c r="I56" s="2">
        <f>'Statements Summary 2027'!V56</f>
        <v>-1.2564918746858771E-2</v>
      </c>
      <c r="K56" s="2">
        <f>K55/K45</f>
        <v>-2.2100779554769748E-2</v>
      </c>
      <c r="L56" s="2">
        <f t="shared" ref="L56:V56" si="9">L55/L45</f>
        <v>-2.1838395870557872E-2</v>
      </c>
      <c r="M56" s="2">
        <f t="shared" si="9"/>
        <v>-2.3352581521739132E-2</v>
      </c>
      <c r="N56" s="2">
        <f t="shared" si="9"/>
        <v>-1.1867515373826734E-2</v>
      </c>
      <c r="O56" s="2">
        <f t="shared" si="9"/>
        <v>-2.2927174955187795E-2</v>
      </c>
      <c r="P56" s="2">
        <f t="shared" si="9"/>
        <v>-2.2774327122153208E-2</v>
      </c>
      <c r="Q56" s="2">
        <f t="shared" si="9"/>
        <v>-2.2121224309214496E-2</v>
      </c>
      <c r="R56" s="2">
        <f t="shared" si="9"/>
        <v>-2.2432498572477363E-2</v>
      </c>
      <c r="S56" s="2">
        <f t="shared" si="9"/>
        <v>-2.162119663495558E-2</v>
      </c>
      <c r="T56" s="2">
        <f t="shared" si="9"/>
        <v>-2.1523891519586742E-2</v>
      </c>
      <c r="U56" s="2">
        <f t="shared" si="9"/>
        <v>-2.0903010033444816E-2</v>
      </c>
      <c r="V56" s="2">
        <f t="shared" si="9"/>
        <v>-1.9378479317877527E-2</v>
      </c>
    </row>
    <row r="57" spans="2:22" x14ac:dyDescent="0.3">
      <c r="B57" s="14" t="s">
        <v>6</v>
      </c>
      <c r="C57" s="14"/>
      <c r="D57" s="14"/>
      <c r="E57" s="187">
        <f>'Statements Summary 2023'!V56</f>
        <v>279198</v>
      </c>
      <c r="F57" s="187">
        <f>'Statements Summary 2024'!V57</f>
        <v>345525.91200000001</v>
      </c>
      <c r="G57" s="187">
        <f t="shared" si="1"/>
        <v>423805</v>
      </c>
      <c r="H57" s="187">
        <f>'Statements Summary 2026'!V57</f>
        <v>527347</v>
      </c>
      <c r="I57" s="187">
        <f>'Statements Summary 2027'!V57</f>
        <v>592417</v>
      </c>
      <c r="K57" s="187">
        <f>'IS 2025'!F55</f>
        <v>371365</v>
      </c>
      <c r="L57" s="187">
        <f>'IS 2025'!G55</f>
        <v>375850</v>
      </c>
      <c r="M57" s="187">
        <f>'IS 2025'!H55</f>
        <v>351355</v>
      </c>
      <c r="N57" s="187">
        <f>'IS 2025'!I55</f>
        <v>693250</v>
      </c>
      <c r="O57" s="187">
        <f>'IS 2025'!J55</f>
        <v>357910</v>
      </c>
      <c r="P57" s="187">
        <f>'IS 2025'!K55</f>
        <v>360325</v>
      </c>
      <c r="Q57" s="187">
        <f>'IS 2025'!L55</f>
        <v>371020</v>
      </c>
      <c r="R57" s="187">
        <f>'IS 2025'!M55</f>
        <v>365845</v>
      </c>
      <c r="S57" s="187">
        <f>'IS 2025'!N55</f>
        <v>379645</v>
      </c>
      <c r="T57" s="187">
        <f>'IS 2025'!O55</f>
        <v>381370</v>
      </c>
      <c r="U57" s="187">
        <f>'IS 2025'!P55</f>
        <v>392755</v>
      </c>
      <c r="V57" s="187">
        <f>'IS 2025'!Q55</f>
        <v>423805</v>
      </c>
    </row>
    <row r="58" spans="2:22" x14ac:dyDescent="0.3">
      <c r="B58" t="s">
        <v>15</v>
      </c>
      <c r="E58" s="2">
        <f>'Statements Summary 2023'!V57</f>
        <v>0.93027858577983025</v>
      </c>
      <c r="F58" s="2">
        <f>'Statements Summary 2024'!V58</f>
        <v>0.94289821824757802</v>
      </c>
      <c r="G58" s="2">
        <f t="shared" si="1"/>
        <v>0.99547835482582858</v>
      </c>
      <c r="H58" s="2">
        <f>'Statements Summary 2026'!V58</f>
        <v>0.90049349407465595</v>
      </c>
      <c r="I58" s="2">
        <f>'Statements Summary 2027'!V58</f>
        <v>0.90226320839488872</v>
      </c>
      <c r="K58" s="2">
        <f>K57/K45</f>
        <v>0.99484315143722035</v>
      </c>
      <c r="L58" s="2">
        <f t="shared" ref="L58:V58" si="10">L57/L45</f>
        <v>0.99490437429686984</v>
      </c>
      <c r="M58" s="2">
        <f t="shared" si="10"/>
        <v>0.99455106431159424</v>
      </c>
      <c r="N58" s="2">
        <f t="shared" si="10"/>
        <v>0.99723091307944045</v>
      </c>
      <c r="O58" s="2">
        <f t="shared" si="10"/>
        <v>0.99465032584378954</v>
      </c>
      <c r="P58" s="2">
        <f t="shared" si="10"/>
        <v>0.99468599033816429</v>
      </c>
      <c r="Q58" s="2">
        <f t="shared" si="10"/>
        <v>0.9948383809945166</v>
      </c>
      <c r="R58" s="2">
        <f t="shared" si="10"/>
        <v>0.99476575033308856</v>
      </c>
      <c r="S58" s="2">
        <f t="shared" si="10"/>
        <v>0.99495505411851037</v>
      </c>
      <c r="T58" s="2">
        <f t="shared" si="10"/>
        <v>0.99497775864542981</v>
      </c>
      <c r="U58" s="2">
        <f t="shared" si="10"/>
        <v>0.99512263099219622</v>
      </c>
      <c r="V58" s="2">
        <f t="shared" si="10"/>
        <v>0.99547835482582858</v>
      </c>
    </row>
    <row r="59" spans="2:22" x14ac:dyDescent="0.3">
      <c r="B59" t="s">
        <v>7</v>
      </c>
      <c r="E59" s="1">
        <f>'Statements Summary 2023'!V58</f>
        <v>-1711</v>
      </c>
      <c r="F59" s="1">
        <f>'Statements Summary 2024'!V59</f>
        <v>-1850</v>
      </c>
      <c r="G59" s="1">
        <f t="shared" si="1"/>
        <v>-1911</v>
      </c>
      <c r="H59" s="1">
        <f>'Statements Summary 2026'!V59</f>
        <v>-1756</v>
      </c>
      <c r="I59" s="1">
        <f>'Statements Summary 2027'!V59</f>
        <v>-1800</v>
      </c>
      <c r="K59">
        <f>'IS 2025'!F56</f>
        <v>-1850</v>
      </c>
      <c r="L59">
        <f>'IS 2025'!G56</f>
        <v>-1850</v>
      </c>
      <c r="M59">
        <f>'IS 2025'!H56</f>
        <v>-1850</v>
      </c>
      <c r="N59">
        <f>'IS 2025'!I56</f>
        <v>-1711</v>
      </c>
      <c r="O59">
        <f>'IS 2025'!J56</f>
        <v>-1711</v>
      </c>
      <c r="P59">
        <f>'IS 2025'!K56</f>
        <v>-1711</v>
      </c>
      <c r="Q59">
        <f>'IS 2025'!L56</f>
        <v>-1711</v>
      </c>
      <c r="R59">
        <f>'IS 2025'!M56</f>
        <v>-1711</v>
      </c>
      <c r="S59">
        <f>'IS 2025'!N56</f>
        <v>-1711</v>
      </c>
      <c r="T59">
        <f>'IS 2025'!O56</f>
        <v>-1711</v>
      </c>
      <c r="U59">
        <f>'IS 2025'!P56</f>
        <v>-1711</v>
      </c>
      <c r="V59">
        <f>'IS 2025'!Q56</f>
        <v>-1911</v>
      </c>
    </row>
    <row r="60" spans="2:22" x14ac:dyDescent="0.3">
      <c r="B60" t="s">
        <v>8</v>
      </c>
      <c r="E60" s="1">
        <f>'Statements Summary 2023'!V59</f>
        <v>277487</v>
      </c>
      <c r="F60" s="1">
        <f>'Statements Summary 2024'!V60</f>
        <v>343675.91200000001</v>
      </c>
      <c r="G60" s="1">
        <f t="shared" si="1"/>
        <v>425716</v>
      </c>
      <c r="H60" s="1">
        <f>'Statements Summary 2026'!V60</f>
        <v>525591</v>
      </c>
      <c r="I60" s="1">
        <f>'Statements Summary 2027'!V60</f>
        <v>590617</v>
      </c>
      <c r="K60" s="1">
        <f>'IS 2025'!F57</f>
        <v>369515</v>
      </c>
      <c r="L60" s="1">
        <f>'IS 2025'!G57</f>
        <v>374000</v>
      </c>
      <c r="M60" s="1">
        <f>'IS 2025'!H57</f>
        <v>349505</v>
      </c>
      <c r="N60" s="1">
        <f>'IS 2025'!I57</f>
        <v>694961</v>
      </c>
      <c r="O60" s="1">
        <f>'IS 2025'!J57</f>
        <v>359621</v>
      </c>
      <c r="P60" s="1">
        <f>'IS 2025'!K57</f>
        <v>362036</v>
      </c>
      <c r="Q60" s="1">
        <f>'IS 2025'!L57</f>
        <v>372731</v>
      </c>
      <c r="R60" s="1">
        <f>'IS 2025'!M57</f>
        <v>367556</v>
      </c>
      <c r="S60" s="1">
        <f>'IS 2025'!N57</f>
        <v>381356</v>
      </c>
      <c r="T60" s="1">
        <f>'IS 2025'!O57</f>
        <v>383081</v>
      </c>
      <c r="U60" s="1">
        <f>'IS 2025'!P57</f>
        <v>394466</v>
      </c>
      <c r="V60" s="1">
        <f>'IS 2025'!Q57</f>
        <v>425716</v>
      </c>
    </row>
    <row r="61" spans="2:22" x14ac:dyDescent="0.3">
      <c r="B61" t="s">
        <v>9</v>
      </c>
      <c r="E61" s="1">
        <f>'Statements Summary 2023'!V60</f>
        <v>-73000.400000000009</v>
      </c>
      <c r="F61" s="1">
        <f>'Statements Summary 2024'!V61</f>
        <v>-32637.200000000001</v>
      </c>
      <c r="G61" s="1">
        <f t="shared" si="1"/>
        <v>0</v>
      </c>
      <c r="H61" s="1">
        <f>'Statements Summary 2026'!V61</f>
        <v>0</v>
      </c>
      <c r="I61" s="1">
        <f>'Statements Summary 2027'!V61</f>
        <v>0</v>
      </c>
      <c r="K61" s="3">
        <f>'IS 2025'!F58</f>
        <v>-28216.800000000003</v>
      </c>
      <c r="L61" s="3">
        <f>'IS 2025'!G58</f>
        <v>-23796.400000000001</v>
      </c>
      <c r="M61" s="3">
        <f>'IS 2025'!H58</f>
        <v>-19376</v>
      </c>
      <c r="N61" s="3">
        <f>'IS 2025'!I58</f>
        <v>-14955.6</v>
      </c>
      <c r="O61" s="3">
        <f>'IS 2025'!J58</f>
        <v>-10535.2</v>
      </c>
      <c r="P61" s="3">
        <f>'IS 2025'!K58</f>
        <v>-6114.8</v>
      </c>
      <c r="Q61" s="3">
        <f>'IS 2025'!L58</f>
        <v>-1694.4</v>
      </c>
      <c r="R61" s="3">
        <f>'IS 2025'!M58</f>
        <v>0</v>
      </c>
      <c r="S61" s="3">
        <f>'IS 2025'!N58</f>
        <v>0</v>
      </c>
      <c r="T61" s="3">
        <f>'IS 2025'!O58</f>
        <v>0</v>
      </c>
      <c r="U61" s="3">
        <f>'IS 2025'!P58</f>
        <v>0</v>
      </c>
      <c r="V61" s="3">
        <f>'IS 2025'!Q58</f>
        <v>0</v>
      </c>
    </row>
    <row r="62" spans="2:22" x14ac:dyDescent="0.3">
      <c r="B62" t="s">
        <v>10</v>
      </c>
      <c r="E62" s="1">
        <f>'Statements Summary 2023'!V61</f>
        <v>279198</v>
      </c>
      <c r="F62" s="1">
        <f>'Statements Summary 2024'!V62</f>
        <v>345525.91200000001</v>
      </c>
      <c r="G62" s="1">
        <f t="shared" si="1"/>
        <v>423805</v>
      </c>
      <c r="H62" s="1">
        <f>'Statements Summary 2026'!V62</f>
        <v>527347</v>
      </c>
      <c r="I62" s="1">
        <f>'Statements Summary 2027'!V62</f>
        <v>592417</v>
      </c>
      <c r="K62" s="1">
        <f>'IS 2025'!F59</f>
        <v>371365</v>
      </c>
      <c r="L62" s="1">
        <f>'IS 2025'!G59</f>
        <v>375850</v>
      </c>
      <c r="M62" s="1">
        <f>'IS 2025'!H59</f>
        <v>351355</v>
      </c>
      <c r="N62" s="1">
        <f>'IS 2025'!I59</f>
        <v>693250</v>
      </c>
      <c r="O62" s="1">
        <f>'IS 2025'!J59</f>
        <v>357910</v>
      </c>
      <c r="P62" s="1">
        <f>'IS 2025'!K59</f>
        <v>360325</v>
      </c>
      <c r="Q62" s="1">
        <f>'IS 2025'!L59</f>
        <v>371020</v>
      </c>
      <c r="R62" s="1">
        <f>'IS 2025'!M59</f>
        <v>365845</v>
      </c>
      <c r="S62" s="1">
        <f>'IS 2025'!N59</f>
        <v>379645</v>
      </c>
      <c r="T62" s="1">
        <f>'IS 2025'!O59</f>
        <v>381370</v>
      </c>
      <c r="U62" s="1">
        <f>'IS 2025'!P59</f>
        <v>392755</v>
      </c>
      <c r="V62" s="1">
        <f>'IS 2025'!Q59</f>
        <v>423805</v>
      </c>
    </row>
    <row r="63" spans="2:22" x14ac:dyDescent="0.3">
      <c r="B63" t="s">
        <v>11</v>
      </c>
      <c r="E63" s="1">
        <f>'Statements Summary 2023'!V62</f>
        <v>-55839.600000000006</v>
      </c>
      <c r="F63" s="1">
        <f>'Statements Summary 2024'!V63</f>
        <v>-69105.182400000005</v>
      </c>
      <c r="G63" s="1">
        <f t="shared" si="1"/>
        <v>-84761</v>
      </c>
      <c r="H63" s="1">
        <f>'Statements Summary 2026'!V63</f>
        <v>-105469.40000000001</v>
      </c>
      <c r="I63" s="1">
        <f>'Statements Summary 2027'!V63</f>
        <v>-105469.40000000001</v>
      </c>
      <c r="K63" s="1">
        <f>'IS 2025'!F60</f>
        <v>-74273</v>
      </c>
      <c r="L63" s="1">
        <f>'IS 2025'!G60</f>
        <v>-75170</v>
      </c>
      <c r="M63" s="1">
        <f>'IS 2025'!H60</f>
        <v>-70271</v>
      </c>
      <c r="N63" s="1">
        <f>'IS 2025'!I60</f>
        <v>-138650</v>
      </c>
      <c r="O63" s="1">
        <f>'IS 2025'!J60</f>
        <v>-71582</v>
      </c>
      <c r="P63" s="1">
        <f>'IS 2025'!K60</f>
        <v>-72065</v>
      </c>
      <c r="Q63" s="1">
        <f>'IS 2025'!L60</f>
        <v>-74204</v>
      </c>
      <c r="R63" s="1">
        <f>'IS 2025'!M60</f>
        <v>-73169</v>
      </c>
      <c r="S63" s="1">
        <f>'IS 2025'!N60</f>
        <v>-75929</v>
      </c>
      <c r="T63" s="1">
        <f>'IS 2025'!O60</f>
        <v>-76274</v>
      </c>
      <c r="U63" s="1">
        <f>'IS 2025'!P60</f>
        <v>-78551</v>
      </c>
      <c r="V63" s="1">
        <f>'IS 2025'!Q60</f>
        <v>-84761</v>
      </c>
    </row>
    <row r="64" spans="2:22" x14ac:dyDescent="0.3">
      <c r="B64" s="14" t="s">
        <v>12</v>
      </c>
      <c r="C64" s="14"/>
      <c r="D64" s="14"/>
      <c r="E64" s="187">
        <f>'Statements Summary 2023'!V63</f>
        <v>223358.4</v>
      </c>
      <c r="F64" s="187">
        <f>'Statements Summary 2024'!V64</f>
        <v>276420.72960000002</v>
      </c>
      <c r="G64" s="187">
        <f t="shared" si="1"/>
        <v>339044</v>
      </c>
      <c r="H64" s="187">
        <f>'Statements Summary 2026'!V64</f>
        <v>421877.6</v>
      </c>
      <c r="I64" s="187">
        <f>'Statements Summary 2027'!V64</f>
        <v>473933.6</v>
      </c>
      <c r="K64" s="187">
        <f>'IS 2025'!F61</f>
        <v>297092</v>
      </c>
      <c r="L64" s="187">
        <f>'IS 2025'!G61</f>
        <v>300680</v>
      </c>
      <c r="M64" s="187">
        <f>'IS 2025'!H61</f>
        <v>281084</v>
      </c>
      <c r="N64" s="187">
        <f>'IS 2025'!I61</f>
        <v>554600</v>
      </c>
      <c r="O64" s="187">
        <f>'IS 2025'!J61</f>
        <v>286328</v>
      </c>
      <c r="P64" s="187">
        <f>'IS 2025'!K61</f>
        <v>288260</v>
      </c>
      <c r="Q64" s="187">
        <f>'IS 2025'!L61</f>
        <v>296816</v>
      </c>
      <c r="R64" s="187">
        <f>'IS 2025'!M61</f>
        <v>292676</v>
      </c>
      <c r="S64" s="187">
        <f>'IS 2025'!N61</f>
        <v>303716</v>
      </c>
      <c r="T64" s="187">
        <f>'IS 2025'!O61</f>
        <v>305096</v>
      </c>
      <c r="U64" s="187">
        <f>'IS 2025'!P61</f>
        <v>314204</v>
      </c>
      <c r="V64" s="187">
        <f>'IS 2025'!Q61</f>
        <v>339044</v>
      </c>
    </row>
    <row r="65" spans="2:22" x14ac:dyDescent="0.3">
      <c r="B65" t="s">
        <v>13</v>
      </c>
      <c r="E65" s="2">
        <f>'Statements Summary 2023'!V64</f>
        <v>0.74422286862386422</v>
      </c>
      <c r="F65" s="2">
        <f>'Statements Summary 2024'!V65</f>
        <v>0.7543185745980624</v>
      </c>
      <c r="G65" s="2">
        <f t="shared" si="1"/>
        <v>0.79638268386066291</v>
      </c>
      <c r="H65" s="2">
        <f>'Statements Summary 2026'!V65</f>
        <v>0.72039479525972472</v>
      </c>
      <c r="I65" s="2">
        <f>'Statements Summary 2027'!V65</f>
        <v>0.72181056671591093</v>
      </c>
      <c r="K65" s="2">
        <f>K64/K45</f>
        <v>0.7958745211497763</v>
      </c>
      <c r="L65" s="2">
        <f t="shared" ref="L65:V65" si="11">L64/L45</f>
        <v>0.79592349943749585</v>
      </c>
      <c r="M65" s="2">
        <f t="shared" si="11"/>
        <v>0.79564085144927532</v>
      </c>
      <c r="N65" s="2">
        <f t="shared" si="11"/>
        <v>0.79778473046355236</v>
      </c>
      <c r="O65" s="2">
        <f t="shared" si="11"/>
        <v>0.79572026067503165</v>
      </c>
      <c r="P65" s="2">
        <f t="shared" si="11"/>
        <v>0.79574879227053141</v>
      </c>
      <c r="Q65" s="2">
        <f t="shared" si="11"/>
        <v>0.79587070479561328</v>
      </c>
      <c r="R65" s="2">
        <f t="shared" si="11"/>
        <v>0.79581260026647094</v>
      </c>
      <c r="S65" s="2">
        <f t="shared" si="11"/>
        <v>0.7959640432948083</v>
      </c>
      <c r="T65" s="2">
        <f t="shared" si="11"/>
        <v>0.7959822069163438</v>
      </c>
      <c r="U65" s="2">
        <f t="shared" si="11"/>
        <v>0.79609810479375698</v>
      </c>
      <c r="V65" s="2">
        <f t="shared" si="11"/>
        <v>0.79638268386066291</v>
      </c>
    </row>
    <row r="67" spans="2:22" x14ac:dyDescent="0.3">
      <c r="B67" s="172" t="s">
        <v>225</v>
      </c>
      <c r="C67" s="145"/>
      <c r="D67" s="145"/>
      <c r="E67" s="145"/>
      <c r="F67" s="145"/>
      <c r="G67" s="145"/>
      <c r="H67" s="145"/>
      <c r="I67" s="145"/>
      <c r="K67" s="334" t="s">
        <v>230</v>
      </c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</row>
    <row r="85" spans="2:22" x14ac:dyDescent="0.3">
      <c r="B85" s="172" t="s">
        <v>226</v>
      </c>
      <c r="C85" s="172"/>
      <c r="D85" s="172"/>
      <c r="E85" s="172"/>
      <c r="F85" s="145"/>
      <c r="G85" s="145"/>
      <c r="H85" s="145"/>
      <c r="I85" s="145"/>
      <c r="J85" s="145"/>
      <c r="K85" s="334" t="s">
        <v>231</v>
      </c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34"/>
    </row>
    <row r="87" spans="2:22" x14ac:dyDescent="0.3">
      <c r="B87" s="185" t="s">
        <v>20</v>
      </c>
      <c r="C87" s="185"/>
      <c r="D87" s="185"/>
      <c r="E87" s="186">
        <v>2023</v>
      </c>
      <c r="F87" s="186">
        <v>2024</v>
      </c>
      <c r="G87" s="186">
        <v>2025</v>
      </c>
      <c r="H87" s="186">
        <v>2026</v>
      </c>
      <c r="I87" s="186">
        <v>2027</v>
      </c>
      <c r="J87" s="185"/>
      <c r="K87" s="186" t="s">
        <v>25</v>
      </c>
      <c r="L87" s="186" t="s">
        <v>26</v>
      </c>
      <c r="M87" s="186" t="s">
        <v>27</v>
      </c>
      <c r="N87" s="186" t="s">
        <v>28</v>
      </c>
      <c r="O87" s="186" t="s">
        <v>29</v>
      </c>
      <c r="P87" s="186" t="s">
        <v>30</v>
      </c>
      <c r="Q87" s="186" t="s">
        <v>31</v>
      </c>
      <c r="R87" s="186" t="s">
        <v>32</v>
      </c>
      <c r="S87" s="186" t="s">
        <v>33</v>
      </c>
      <c r="T87" s="186" t="s">
        <v>34</v>
      </c>
      <c r="U87" s="186" t="s">
        <v>35</v>
      </c>
      <c r="V87" s="186" t="s">
        <v>36</v>
      </c>
    </row>
    <row r="88" spans="2:22" x14ac:dyDescent="0.3">
      <c r="B88" t="s">
        <v>48</v>
      </c>
      <c r="E88" s="197">
        <f>'Statements Summary 2023'!V86</f>
        <v>1810916.4</v>
      </c>
      <c r="F88" s="197">
        <f>'Statements Summary 2024'!V88</f>
        <v>4465791.5807999996</v>
      </c>
      <c r="G88" s="197">
        <f t="shared" ref="G88:G99" si="12">V88</f>
        <v>8073112.3807999995</v>
      </c>
      <c r="H88" s="197">
        <f>'Statements Summary 2026'!V88</f>
        <v>13545694.380800003</v>
      </c>
      <c r="I88" s="197">
        <f>'Statements Summary 2027'!V88</f>
        <v>19710636.380800001</v>
      </c>
      <c r="K88" s="197">
        <f>'BS 2025'!F14</f>
        <v>4713864.7807999998</v>
      </c>
      <c r="L88" s="197">
        <f>'BS 2025'!G14</f>
        <v>4969946.3807999995</v>
      </c>
      <c r="M88" s="197">
        <f>'BS 2025'!H14</f>
        <v>5210852.3807999995</v>
      </c>
      <c r="N88" s="197">
        <f>'BS 2025'!I14</f>
        <v>5729694.7807999998</v>
      </c>
      <c r="O88" s="197">
        <f>'BS 2025'!J14</f>
        <v>5984685.5807999996</v>
      </c>
      <c r="P88" s="197">
        <f>'BS 2025'!K14</f>
        <v>6246028.7807999998</v>
      </c>
      <c r="Q88" s="197">
        <f>'BS 2025'!L14</f>
        <v>6520348.3807999995</v>
      </c>
      <c r="R88" s="197">
        <f>'BS 2025'!M14</f>
        <v>6805852.3807999995</v>
      </c>
      <c r="S88" s="197">
        <f>'BS 2025'!N14</f>
        <v>7110868.3807999995</v>
      </c>
      <c r="T88" s="197">
        <f>'BS 2025'!O14</f>
        <v>7417264.3807999995</v>
      </c>
      <c r="U88" s="197">
        <f>'BS 2025'!P14</f>
        <v>7732768.3807999995</v>
      </c>
      <c r="V88" s="197">
        <f>'BS 2025'!Q14</f>
        <v>8073112.3807999995</v>
      </c>
    </row>
    <row r="89" spans="2:22" x14ac:dyDescent="0.3">
      <c r="B89" t="s">
        <v>49</v>
      </c>
      <c r="E89" s="197">
        <f>'Statements Summary 2023'!V87</f>
        <v>470532</v>
      </c>
      <c r="F89" s="197">
        <f>'Statements Summary 2024'!V89</f>
        <v>488332</v>
      </c>
      <c r="G89" s="197">
        <f t="shared" si="12"/>
        <v>509481</v>
      </c>
      <c r="H89" s="197">
        <f>'Statements Summary 2026'!V89</f>
        <v>531018</v>
      </c>
      <c r="I89" s="197">
        <f>'Statements Summary 2027'!V89</f>
        <v>552400</v>
      </c>
      <c r="K89" s="197">
        <f>'BS 2025'!F19</f>
        <v>490182</v>
      </c>
      <c r="L89" s="197">
        <f>'BS 2025'!G19</f>
        <v>492032</v>
      </c>
      <c r="M89" s="197">
        <f>'BS 2025'!H19</f>
        <v>493882</v>
      </c>
      <c r="N89" s="197">
        <f>'BS 2025'!I19</f>
        <v>495593</v>
      </c>
      <c r="O89" s="197">
        <f>'BS 2025'!J19</f>
        <v>497304</v>
      </c>
      <c r="P89" s="197">
        <f>'BS 2025'!K19</f>
        <v>499015</v>
      </c>
      <c r="Q89" s="197">
        <f>'BS 2025'!L19</f>
        <v>500726</v>
      </c>
      <c r="R89" s="197">
        <f>'BS 2025'!M19</f>
        <v>502437</v>
      </c>
      <c r="S89" s="197">
        <f>'BS 2025'!N19</f>
        <v>504148</v>
      </c>
      <c r="T89" s="197">
        <f>'BS 2025'!O19</f>
        <v>505859</v>
      </c>
      <c r="U89" s="197">
        <f>'BS 2025'!P19</f>
        <v>507570</v>
      </c>
      <c r="V89" s="197">
        <f>'BS 2025'!Q19</f>
        <v>509481</v>
      </c>
    </row>
    <row r="90" spans="2:22" x14ac:dyDescent="0.3">
      <c r="B90" t="s">
        <v>50</v>
      </c>
      <c r="E90" s="197">
        <f>'Statements Summary 2023'!V88</f>
        <v>2281448.4</v>
      </c>
      <c r="F90" s="197">
        <f>'Statements Summary 2024'!V90</f>
        <v>4954123.5807999996</v>
      </c>
      <c r="G90" s="197">
        <f t="shared" si="12"/>
        <v>8582593.3807999995</v>
      </c>
      <c r="H90" s="197">
        <f>'Statements Summary 2026'!V90</f>
        <v>14076712.380800003</v>
      </c>
      <c r="I90" s="197">
        <f>'Statements Summary 2027'!V90</f>
        <v>20263036.380800001</v>
      </c>
      <c r="K90" s="197">
        <f>'BS 2025'!F20</f>
        <v>5204046.7807999998</v>
      </c>
      <c r="L90" s="197">
        <f>'BS 2025'!G20</f>
        <v>5461978.3807999995</v>
      </c>
      <c r="M90" s="197">
        <f>'BS 2025'!H20</f>
        <v>5704734.3807999995</v>
      </c>
      <c r="N90" s="197">
        <f>'BS 2025'!I20</f>
        <v>6225287.7807999998</v>
      </c>
      <c r="O90" s="197">
        <f>'BS 2025'!J20</f>
        <v>6481989.5807999996</v>
      </c>
      <c r="P90" s="197">
        <f>'BS 2025'!K20</f>
        <v>6745043.7807999998</v>
      </c>
      <c r="Q90" s="197">
        <f>'BS 2025'!L20</f>
        <v>7021074.3807999995</v>
      </c>
      <c r="R90" s="197">
        <f>'BS 2025'!M20</f>
        <v>7308289.3807999995</v>
      </c>
      <c r="S90" s="197">
        <f>'BS 2025'!N20</f>
        <v>7615016.3807999995</v>
      </c>
      <c r="T90" s="197">
        <f>'BS 2025'!O20</f>
        <v>7923123.3807999995</v>
      </c>
      <c r="U90" s="197">
        <f>'BS 2025'!P20</f>
        <v>8240338.3807999995</v>
      </c>
      <c r="V90" s="197">
        <f>'BS 2025'!Q20</f>
        <v>8582593.3807999995</v>
      </c>
    </row>
    <row r="91" spans="2:22" x14ac:dyDescent="0.3">
      <c r="B91" t="s">
        <v>51</v>
      </c>
      <c r="E91" s="197">
        <f>'Statements Summary 2023'!V89</f>
        <v>-55839.600000000006</v>
      </c>
      <c r="F91" s="197">
        <f>'Statements Summary 2024'!V91</f>
        <v>-69105.182400000005</v>
      </c>
      <c r="G91" s="197">
        <f t="shared" si="12"/>
        <v>-84761</v>
      </c>
      <c r="H91" s="197">
        <f>'Statements Summary 2026'!V91</f>
        <v>-105469.40000000001</v>
      </c>
      <c r="I91" s="197">
        <f>'Statements Summary 2027'!V91</f>
        <v>-118483.40000000001</v>
      </c>
      <c r="K91" s="197">
        <f>'BS 2025'!F25</f>
        <v>-74273</v>
      </c>
      <c r="L91" s="197">
        <f>'BS 2025'!G25</f>
        <v>-75170</v>
      </c>
      <c r="M91" s="197">
        <f>'BS 2025'!H25</f>
        <v>-70271</v>
      </c>
      <c r="N91" s="197">
        <f>'BS 2025'!I25</f>
        <v>-138650</v>
      </c>
      <c r="O91" s="197">
        <f>'BS 2025'!J25</f>
        <v>-71582</v>
      </c>
      <c r="P91" s="197">
        <f>'BS 2025'!K25</f>
        <v>-72065</v>
      </c>
      <c r="Q91" s="197">
        <f>'BS 2025'!L25</f>
        <v>-74204</v>
      </c>
      <c r="R91" s="197">
        <f>'BS 2025'!M25</f>
        <v>-73169</v>
      </c>
      <c r="S91" s="197">
        <f>'BS 2025'!N25</f>
        <v>-75929</v>
      </c>
      <c r="T91" s="197">
        <f>'BS 2025'!O25</f>
        <v>-76274</v>
      </c>
      <c r="U91" s="197">
        <f>'BS 2025'!P25</f>
        <v>-78551</v>
      </c>
      <c r="V91" s="197">
        <f>'BS 2025'!Q25</f>
        <v>-84761</v>
      </c>
    </row>
    <row r="92" spans="2:22" x14ac:dyDescent="0.3">
      <c r="B92" t="s">
        <v>195</v>
      </c>
      <c r="E92" s="197">
        <f>'Statements Summary 2023'!V90</f>
        <v>-365002</v>
      </c>
      <c r="F92" s="197">
        <f>'Statements Summary 2024'!V92</f>
        <v>-163186</v>
      </c>
      <c r="G92" s="197">
        <f t="shared" si="12"/>
        <v>0</v>
      </c>
      <c r="H92" s="197">
        <f>'Statements Summary 2026'!V92</f>
        <v>0</v>
      </c>
      <c r="I92" s="197">
        <f>'Statements Summary 2027'!V92</f>
        <v>0</v>
      </c>
      <c r="K92" s="197">
        <f>'BS 2025'!F27</f>
        <v>-141084</v>
      </c>
      <c r="L92" s="197">
        <f>'BS 2025'!G27</f>
        <v>-118982</v>
      </c>
      <c r="M92" s="197">
        <f>'BS 2025'!H27</f>
        <v>-96880</v>
      </c>
      <c r="N92" s="197">
        <f>'BS 2025'!I27</f>
        <v>-74778</v>
      </c>
      <c r="O92" s="197">
        <f>'BS 2025'!J27</f>
        <v>-52676</v>
      </c>
      <c r="P92" s="197">
        <f>'BS 2025'!K27</f>
        <v>-30574</v>
      </c>
      <c r="Q92" s="197">
        <f>'BS 2025'!L27</f>
        <v>-8472</v>
      </c>
      <c r="R92" s="197">
        <f>'BS 2025'!M27</f>
        <v>0</v>
      </c>
      <c r="S92" s="197">
        <f>'BS 2025'!N27</f>
        <v>0</v>
      </c>
      <c r="T92" s="197">
        <f>'BS 2025'!O27</f>
        <v>0</v>
      </c>
      <c r="U92" s="197">
        <f>'BS 2025'!P27</f>
        <v>0</v>
      </c>
      <c r="V92" s="197">
        <f>'BS 2025'!Q27</f>
        <v>0</v>
      </c>
    </row>
    <row r="93" spans="2:22" x14ac:dyDescent="0.3">
      <c r="B93" t="s">
        <v>53</v>
      </c>
      <c r="E93" s="197">
        <f>'Statements Summary 2023'!V91</f>
        <v>-420841.6</v>
      </c>
      <c r="F93" s="197">
        <f>'Statements Summary 2024'!V93</f>
        <v>-232291.18239999999</v>
      </c>
      <c r="G93" s="197">
        <f t="shared" si="12"/>
        <v>-84761</v>
      </c>
      <c r="H93" s="197">
        <f>'Statements Summary 2026'!V93</f>
        <v>-105469.40000000001</v>
      </c>
      <c r="I93" s="197">
        <f>'Statements Summary 2027'!V93</f>
        <v>-118483.40000000001</v>
      </c>
      <c r="K93" s="197">
        <f>'BS 2025'!F32</f>
        <v>-215357</v>
      </c>
      <c r="L93" s="197">
        <f>'BS 2025'!G32</f>
        <v>-194152</v>
      </c>
      <c r="M93" s="197">
        <f>'BS 2025'!H32</f>
        <v>-167151</v>
      </c>
      <c r="N93" s="197">
        <f>'BS 2025'!I32</f>
        <v>-213428</v>
      </c>
      <c r="O93" s="197">
        <f>'BS 2025'!J32</f>
        <v>-124258</v>
      </c>
      <c r="P93" s="197">
        <f>'BS 2025'!K32</f>
        <v>-102639</v>
      </c>
      <c r="Q93" s="197">
        <f>'BS 2025'!L32</f>
        <v>-82676</v>
      </c>
      <c r="R93" s="197">
        <f>'BS 2025'!M32</f>
        <v>-73169</v>
      </c>
      <c r="S93" s="197">
        <f>'BS 2025'!N32</f>
        <v>-75929</v>
      </c>
      <c r="T93" s="197">
        <f>'BS 2025'!O32</f>
        <v>-76274</v>
      </c>
      <c r="U93" s="197">
        <f>'BS 2025'!P32</f>
        <v>-78551</v>
      </c>
      <c r="V93" s="197">
        <f>'BS 2025'!Q32</f>
        <v>-84761</v>
      </c>
    </row>
    <row r="94" spans="2:22" x14ac:dyDescent="0.3">
      <c r="B94" t="s">
        <v>54</v>
      </c>
      <c r="E94" s="197">
        <f>'Statements Summary 2023'!V92</f>
        <v>1860606.7999999998</v>
      </c>
      <c r="F94" s="197">
        <f>'Statements Summary 2024'!V94</f>
        <v>4721832.3983999994</v>
      </c>
      <c r="G94" s="197">
        <f t="shared" si="12"/>
        <v>8497832.3807999995</v>
      </c>
      <c r="H94" s="197">
        <f>'Statements Summary 2026'!V94</f>
        <v>13971242.980800003</v>
      </c>
      <c r="I94" s="197">
        <f>'Statements Summary 2027'!V94</f>
        <v>20144552.980800003</v>
      </c>
      <c r="K94" s="197">
        <f>'BS 2025'!F33</f>
        <v>4847605.7807999998</v>
      </c>
      <c r="L94" s="197">
        <f>'BS 2025'!G33</f>
        <v>5148844.3807999995</v>
      </c>
      <c r="M94" s="197">
        <f>'BS 2025'!H33</f>
        <v>5440703.3807999995</v>
      </c>
      <c r="N94" s="197">
        <f>'BS 2025'!I33</f>
        <v>5937081.7807999998</v>
      </c>
      <c r="O94" s="197">
        <f>'BS 2025'!J33</f>
        <v>6305055.5807999996</v>
      </c>
      <c r="P94" s="197">
        <f>'BS 2025'!K33</f>
        <v>6611830.7807999998</v>
      </c>
      <c r="Q94" s="197">
        <f>'BS 2025'!L33</f>
        <v>6929926.3807999995</v>
      </c>
      <c r="R94" s="197">
        <f>'BS 2025'!M33</f>
        <v>7235120.3807999995</v>
      </c>
      <c r="S94" s="197">
        <f>'BS 2025'!N33</f>
        <v>7539087.3807999995</v>
      </c>
      <c r="T94" s="197">
        <f>'BS 2025'!O33</f>
        <v>7846849.3807999995</v>
      </c>
      <c r="U94" s="197">
        <f>'BS 2025'!P33</f>
        <v>8161787.3807999995</v>
      </c>
      <c r="V94" s="197">
        <f>'BS 2025'!Q33</f>
        <v>8497832.3807999995</v>
      </c>
    </row>
    <row r="95" spans="2:22" x14ac:dyDescent="0.3">
      <c r="B95" t="s">
        <v>55</v>
      </c>
      <c r="E95" s="197">
        <f>'Statements Summary 2023'!V93</f>
        <v>1810916.4</v>
      </c>
      <c r="F95" s="197">
        <f>'Statements Summary 2024'!V95</f>
        <v>4465791.5807999996</v>
      </c>
      <c r="G95" s="197">
        <f t="shared" si="12"/>
        <v>8073112.3807999995</v>
      </c>
      <c r="H95" s="197">
        <f>'Statements Summary 2026'!V95</f>
        <v>13545694.380800003</v>
      </c>
      <c r="I95" s="197">
        <f>'Statements Summary 2027'!V95</f>
        <v>19710636.380800001</v>
      </c>
      <c r="K95" s="197">
        <f>'BS 2025'!F14</f>
        <v>4713864.7807999998</v>
      </c>
      <c r="L95" s="197">
        <f>'BS 2025'!G14</f>
        <v>4969946.3807999995</v>
      </c>
      <c r="M95" s="197">
        <f>'BS 2025'!H14</f>
        <v>5210852.3807999995</v>
      </c>
      <c r="N95" s="197">
        <f>'BS 2025'!I14</f>
        <v>5729694.7807999998</v>
      </c>
      <c r="O95" s="197">
        <f>'BS 2025'!J14</f>
        <v>5984685.5807999996</v>
      </c>
      <c r="P95" s="197">
        <f>'BS 2025'!K14</f>
        <v>6246028.7807999998</v>
      </c>
      <c r="Q95" s="197">
        <f>'BS 2025'!L14</f>
        <v>6520348.3807999995</v>
      </c>
      <c r="R95" s="197">
        <f>'BS 2025'!M14</f>
        <v>6805852.3807999995</v>
      </c>
      <c r="S95" s="197">
        <f>'BS 2025'!N14</f>
        <v>7110868.3807999995</v>
      </c>
      <c r="T95" s="197">
        <f>'BS 2025'!O14</f>
        <v>7417264.3807999995</v>
      </c>
      <c r="U95" s="197">
        <f>'BS 2025'!P14</f>
        <v>7732768.3807999995</v>
      </c>
      <c r="V95" s="197">
        <f>'BS 2025'!Q14</f>
        <v>8073112.3807999995</v>
      </c>
    </row>
    <row r="96" spans="2:22" x14ac:dyDescent="0.3">
      <c r="B96" t="s">
        <v>56</v>
      </c>
      <c r="E96" s="197" t="str">
        <f>'Statements Summary 2023'!V94</f>
        <v>-</v>
      </c>
      <c r="F96" s="197" t="str">
        <f>'Statements Summary 2024'!V96</f>
        <v>-</v>
      </c>
      <c r="G96" s="197" t="str">
        <f t="shared" si="12"/>
        <v>-</v>
      </c>
      <c r="H96" s="197" t="str">
        <f>'Statements Summary 2026'!V96</f>
        <v>-</v>
      </c>
      <c r="I96" s="197" t="str">
        <f>'Statements Summary 2027'!V96</f>
        <v>-</v>
      </c>
      <c r="K96" s="197" t="s">
        <v>189</v>
      </c>
      <c r="L96" s="197" t="s">
        <v>189</v>
      </c>
      <c r="M96" s="197" t="s">
        <v>189</v>
      </c>
      <c r="N96" s="197" t="s">
        <v>189</v>
      </c>
      <c r="O96" s="197" t="s">
        <v>189</v>
      </c>
      <c r="P96" s="197" t="s">
        <v>189</v>
      </c>
      <c r="Q96" s="197" t="s">
        <v>189</v>
      </c>
      <c r="R96" s="197" t="s">
        <v>189</v>
      </c>
      <c r="S96" s="197" t="s">
        <v>189</v>
      </c>
      <c r="T96" s="197" t="s">
        <v>189</v>
      </c>
      <c r="U96" s="197" t="s">
        <v>189</v>
      </c>
      <c r="V96" s="197" t="s">
        <v>189</v>
      </c>
    </row>
    <row r="97" spans="2:22" x14ac:dyDescent="0.3">
      <c r="B97" t="s">
        <v>57</v>
      </c>
      <c r="E97" s="197">
        <f>'Statements Summary 2023'!V95</f>
        <v>0</v>
      </c>
      <c r="F97" s="197">
        <f>'Statements Summary 2024'!V97</f>
        <v>0</v>
      </c>
      <c r="G97" s="197">
        <f t="shared" si="12"/>
        <v>0</v>
      </c>
      <c r="H97" s="197">
        <f>'Statements Summary 2026'!V97</f>
        <v>0</v>
      </c>
      <c r="I97" s="197">
        <f>'Statements Summary 2027'!V97</f>
        <v>0</v>
      </c>
      <c r="K97" s="197" t="s">
        <v>189</v>
      </c>
      <c r="L97" s="197" t="s">
        <v>189</v>
      </c>
      <c r="M97" s="197" t="s">
        <v>189</v>
      </c>
      <c r="N97" s="197" t="s">
        <v>189</v>
      </c>
      <c r="O97" s="197" t="s">
        <v>189</v>
      </c>
      <c r="P97" s="197" t="s">
        <v>189</v>
      </c>
      <c r="Q97" s="197" t="s">
        <v>189</v>
      </c>
      <c r="R97" s="197" t="s">
        <v>189</v>
      </c>
      <c r="S97" s="197" t="s">
        <v>189</v>
      </c>
      <c r="T97" s="197" t="s">
        <v>189</v>
      </c>
      <c r="U97" s="197" t="s">
        <v>189</v>
      </c>
      <c r="V97" s="197"/>
    </row>
    <row r="98" spans="2:22" x14ac:dyDescent="0.3">
      <c r="B98" t="s">
        <v>58</v>
      </c>
      <c r="E98" s="197">
        <f>'Statements Summary 2023'!V96</f>
        <v>1860606.7999999998</v>
      </c>
      <c r="F98" s="197">
        <f>'Statements Summary 2024'!V98</f>
        <v>4721832.3983999994</v>
      </c>
      <c r="G98" s="197">
        <f t="shared" si="12"/>
        <v>8497832.3807999995</v>
      </c>
      <c r="H98" s="197">
        <f>'Statements Summary 2026'!V98</f>
        <v>13971242.980800003</v>
      </c>
      <c r="I98" s="197">
        <f>'Statements Summary 2027'!V98</f>
        <v>20144552.980800003</v>
      </c>
      <c r="K98" s="197">
        <f>K94</f>
        <v>4847605.7807999998</v>
      </c>
      <c r="L98" s="197">
        <f t="shared" ref="L98:V98" si="13">L94</f>
        <v>5148844.3807999995</v>
      </c>
      <c r="M98" s="197">
        <f t="shared" si="13"/>
        <v>5440703.3807999995</v>
      </c>
      <c r="N98" s="197">
        <f t="shared" si="13"/>
        <v>5937081.7807999998</v>
      </c>
      <c r="O98" s="197">
        <f t="shared" si="13"/>
        <v>6305055.5807999996</v>
      </c>
      <c r="P98" s="197">
        <f t="shared" si="13"/>
        <v>6611830.7807999998</v>
      </c>
      <c r="Q98" s="197">
        <f t="shared" si="13"/>
        <v>6929926.3807999995</v>
      </c>
      <c r="R98" s="197">
        <f t="shared" si="13"/>
        <v>7235120.3807999995</v>
      </c>
      <c r="S98" s="197">
        <f t="shared" si="13"/>
        <v>7539087.3807999995</v>
      </c>
      <c r="T98" s="197">
        <f t="shared" si="13"/>
        <v>7846849.3807999995</v>
      </c>
      <c r="U98" s="197">
        <f t="shared" si="13"/>
        <v>8161787.3807999995</v>
      </c>
      <c r="V98" s="197">
        <f t="shared" si="13"/>
        <v>8497832.3807999995</v>
      </c>
    </row>
    <row r="99" spans="2:22" x14ac:dyDescent="0.3">
      <c r="B99" t="s">
        <v>59</v>
      </c>
      <c r="E99" s="197">
        <f>'Statements Summary 2023'!V97</f>
        <v>1860606.7999999998</v>
      </c>
      <c r="F99" s="197">
        <f>'Statements Summary 2024'!V99</f>
        <v>4721832.3983999994</v>
      </c>
      <c r="G99" s="197">
        <f t="shared" si="12"/>
        <v>8497832.3807999995</v>
      </c>
      <c r="H99" s="197">
        <f>'Statements Summary 2026'!V99</f>
        <v>13971242.980800003</v>
      </c>
      <c r="I99" s="197">
        <f>'Statements Summary 2027'!V99</f>
        <v>20144552.980800003</v>
      </c>
      <c r="K99" s="197">
        <f>K98</f>
        <v>4847605.7807999998</v>
      </c>
      <c r="L99" s="197">
        <f t="shared" ref="L99:V99" si="14">L98</f>
        <v>5148844.3807999995</v>
      </c>
      <c r="M99" s="197">
        <f t="shared" si="14"/>
        <v>5440703.3807999995</v>
      </c>
      <c r="N99" s="197">
        <f t="shared" si="14"/>
        <v>5937081.7807999998</v>
      </c>
      <c r="O99" s="197">
        <f t="shared" si="14"/>
        <v>6305055.5807999996</v>
      </c>
      <c r="P99" s="197">
        <f t="shared" si="14"/>
        <v>6611830.7807999998</v>
      </c>
      <c r="Q99" s="197">
        <f t="shared" si="14"/>
        <v>6929926.3807999995</v>
      </c>
      <c r="R99" s="197">
        <f t="shared" si="14"/>
        <v>7235120.3807999995</v>
      </c>
      <c r="S99" s="197">
        <f t="shared" si="14"/>
        <v>7539087.3807999995</v>
      </c>
      <c r="T99" s="197">
        <f t="shared" si="14"/>
        <v>7846849.3807999995</v>
      </c>
      <c r="U99" s="197">
        <f t="shared" si="14"/>
        <v>8161787.3807999995</v>
      </c>
      <c r="V99" s="197">
        <f t="shared" si="14"/>
        <v>8497832.3807999995</v>
      </c>
    </row>
    <row r="101" spans="2:22" x14ac:dyDescent="0.3">
      <c r="B101" s="172" t="s">
        <v>226</v>
      </c>
      <c r="C101" s="145"/>
      <c r="D101" s="145"/>
      <c r="E101" s="145"/>
      <c r="F101" s="145"/>
      <c r="G101" s="145"/>
      <c r="H101" s="145"/>
      <c r="I101" s="145"/>
      <c r="K101" s="334" t="s">
        <v>231</v>
      </c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  <c r="V101" s="334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BBD8-C99D-49C4-9883-A147560EF4BD}">
  <sheetPr codeName="Sheet26"/>
  <dimension ref="A1:AP77"/>
  <sheetViews>
    <sheetView showGridLines="0" topLeftCell="A4" workbookViewId="0">
      <selection activeCell="R12" sqref="R12:T12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8.88671875" style="127"/>
    <col min="8" max="8" width="9.5546875" bestFit="1" customWidth="1"/>
    <col min="9" max="9" width="9.88671875" customWidth="1"/>
    <col min="10" max="10" width="9.5546875" bestFit="1" customWidth="1"/>
    <col min="11" max="11" width="10.5546875" bestFit="1" customWidth="1"/>
    <col min="12" max="12" width="9.6640625" bestFit="1" customWidth="1"/>
    <col min="13" max="13" width="9.5546875" bestFit="1" customWidth="1"/>
    <col min="14" max="14" width="9.5546875" customWidth="1"/>
    <col min="15" max="19" width="9.5546875" bestFit="1" customWidth="1"/>
    <col min="20" max="20" width="9.33203125" customWidth="1"/>
    <col min="21" max="21" width="9.88671875" bestFit="1" customWidth="1"/>
  </cols>
  <sheetData>
    <row r="1" spans="1:42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42" ht="18" x14ac:dyDescent="0.35">
      <c r="A2" s="9"/>
      <c r="B2" s="132" t="s">
        <v>140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42" x14ac:dyDescent="0.3">
      <c r="A3" s="9"/>
      <c r="B3" s="9" t="s">
        <v>141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42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42" x14ac:dyDescent="0.3">
      <c r="A5" s="141"/>
      <c r="B5" s="144" t="s">
        <v>170</v>
      </c>
      <c r="C5" s="141"/>
      <c r="D5" s="141"/>
      <c r="E5" s="141"/>
      <c r="F5" s="194">
        <v>2026</v>
      </c>
      <c r="G5" s="194">
        <v>2026</v>
      </c>
      <c r="H5" s="194">
        <v>2026</v>
      </c>
      <c r="I5" s="194">
        <v>2026</v>
      </c>
      <c r="J5" s="194">
        <v>2026</v>
      </c>
      <c r="K5" s="194">
        <v>2026</v>
      </c>
      <c r="L5" s="194">
        <v>2026</v>
      </c>
      <c r="M5" s="194">
        <v>2026</v>
      </c>
      <c r="N5" s="194">
        <v>2026</v>
      </c>
      <c r="O5" s="194">
        <v>2026</v>
      </c>
      <c r="P5" s="194">
        <v>2026</v>
      </c>
      <c r="Q5" s="194">
        <v>2026</v>
      </c>
      <c r="R5" s="194">
        <v>2027</v>
      </c>
      <c r="S5" s="194">
        <v>2027</v>
      </c>
      <c r="T5" s="194">
        <v>2027</v>
      </c>
      <c r="U5" s="172" t="s">
        <v>72</v>
      </c>
    </row>
    <row r="6" spans="1:42" ht="15" thickBot="1" x14ac:dyDescent="0.35">
      <c r="A6" s="143"/>
      <c r="B6" s="151" t="s">
        <v>64</v>
      </c>
      <c r="C6" s="143"/>
      <c r="D6" s="143"/>
      <c r="E6" s="143"/>
      <c r="F6" s="193" t="s">
        <v>25</v>
      </c>
      <c r="G6" s="193" t="s">
        <v>26</v>
      </c>
      <c r="H6" s="193" t="s">
        <v>27</v>
      </c>
      <c r="I6" s="193" t="s">
        <v>28</v>
      </c>
      <c r="J6" s="193" t="s">
        <v>29</v>
      </c>
      <c r="K6" s="193" t="s">
        <v>30</v>
      </c>
      <c r="L6" s="193" t="s">
        <v>31</v>
      </c>
      <c r="M6" s="193" t="s">
        <v>32</v>
      </c>
      <c r="N6" s="193" t="s">
        <v>33</v>
      </c>
      <c r="O6" s="193" t="s">
        <v>34</v>
      </c>
      <c r="P6" s="193" t="s">
        <v>35</v>
      </c>
      <c r="Q6" s="193" t="s">
        <v>36</v>
      </c>
      <c r="R6" s="193" t="s">
        <v>25</v>
      </c>
      <c r="S6" s="193" t="s">
        <v>26</v>
      </c>
      <c r="T6" s="193" t="s">
        <v>27</v>
      </c>
      <c r="U6" s="157"/>
    </row>
    <row r="7" spans="1:42" s="126" customForma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2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9"/>
      <c r="B8" s="9"/>
      <c r="C8" s="135" t="s">
        <v>281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42" x14ac:dyDescent="0.3">
      <c r="A9" s="9"/>
      <c r="B9" s="9"/>
      <c r="C9" s="135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42" x14ac:dyDescent="0.3">
      <c r="A10" s="9"/>
      <c r="B10" s="9"/>
      <c r="C10" s="135" t="s">
        <v>2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42" ht="10.199999999999999" customHeight="1" x14ac:dyDescent="0.3">
      <c r="A11" s="9"/>
      <c r="B11" s="9"/>
      <c r="C11" s="13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42" x14ac:dyDescent="0.3">
      <c r="A12" s="9"/>
      <c r="B12" s="9"/>
      <c r="C12" s="136" t="s">
        <v>305</v>
      </c>
      <c r="D12" s="9"/>
      <c r="E12" s="9"/>
      <c r="F12" s="208">
        <v>519820</v>
      </c>
      <c r="G12" s="208">
        <v>532510</v>
      </c>
      <c r="H12" s="208">
        <v>536270</v>
      </c>
      <c r="I12" s="208">
        <v>540030</v>
      </c>
      <c r="J12" s="208">
        <v>543320</v>
      </c>
      <c r="K12" s="208">
        <v>547080</v>
      </c>
      <c r="L12" s="208">
        <v>550840</v>
      </c>
      <c r="M12" s="208">
        <v>565410</v>
      </c>
      <c r="N12" s="208">
        <v>569170</v>
      </c>
      <c r="O12" s="208">
        <v>572460</v>
      </c>
      <c r="P12" s="208">
        <v>581860</v>
      </c>
      <c r="Q12" s="208">
        <v>585620</v>
      </c>
      <c r="R12" s="149">
        <f>'IS 2027'!F12</f>
        <v>588910</v>
      </c>
      <c r="S12" s="149">
        <f>'IS 2027'!G12</f>
        <v>592670</v>
      </c>
      <c r="T12" s="149">
        <f>'IS 2027'!H12</f>
        <v>607240</v>
      </c>
      <c r="U12" s="9"/>
    </row>
    <row r="13" spans="1:42" x14ac:dyDescent="0.3">
      <c r="A13" s="141"/>
      <c r="B13" s="141"/>
      <c r="C13" s="144" t="s">
        <v>115</v>
      </c>
      <c r="D13" s="141"/>
      <c r="E13" s="141"/>
      <c r="F13" s="142">
        <f t="shared" ref="F13:T13" si="0">SUM(F12:F12)</f>
        <v>519820</v>
      </c>
      <c r="G13" s="142">
        <f t="shared" si="0"/>
        <v>532510</v>
      </c>
      <c r="H13" s="142">
        <f t="shared" si="0"/>
        <v>536270</v>
      </c>
      <c r="I13" s="142">
        <f t="shared" si="0"/>
        <v>540030</v>
      </c>
      <c r="J13" s="142">
        <f t="shared" si="0"/>
        <v>543320</v>
      </c>
      <c r="K13" s="142">
        <f t="shared" si="0"/>
        <v>547080</v>
      </c>
      <c r="L13" s="142">
        <f t="shared" si="0"/>
        <v>550840</v>
      </c>
      <c r="M13" s="142">
        <f t="shared" si="0"/>
        <v>565410</v>
      </c>
      <c r="N13" s="142">
        <f t="shared" si="0"/>
        <v>569170</v>
      </c>
      <c r="O13" s="142">
        <f t="shared" si="0"/>
        <v>572460</v>
      </c>
      <c r="P13" s="142">
        <f t="shared" si="0"/>
        <v>581860</v>
      </c>
      <c r="Q13" s="142">
        <f t="shared" si="0"/>
        <v>585620</v>
      </c>
      <c r="R13" s="142">
        <f t="shared" si="0"/>
        <v>588910</v>
      </c>
      <c r="S13" s="142">
        <f t="shared" si="0"/>
        <v>592670</v>
      </c>
      <c r="T13" s="142">
        <f t="shared" si="0"/>
        <v>607240</v>
      </c>
      <c r="U13" s="153">
        <f>SUM(F13:Q13)</f>
        <v>6644390</v>
      </c>
    </row>
    <row r="14" spans="1:42" x14ac:dyDescent="0.3">
      <c r="A14" s="143"/>
      <c r="B14" s="143"/>
      <c r="C14" s="151" t="s">
        <v>116</v>
      </c>
      <c r="D14" s="143"/>
      <c r="E14" s="143"/>
      <c r="F14" s="152">
        <f>SUM(F15:F20)</f>
        <v>-32544</v>
      </c>
      <c r="G14" s="152">
        <f t="shared" ref="G14:T14" si="1">SUM(G15:G20)</f>
        <v>-32544</v>
      </c>
      <c r="H14" s="152">
        <f t="shared" si="1"/>
        <v>-32544</v>
      </c>
      <c r="I14" s="152">
        <f t="shared" si="1"/>
        <v>-32544</v>
      </c>
      <c r="J14" s="152">
        <f t="shared" si="1"/>
        <v>-32544</v>
      </c>
      <c r="K14" s="152">
        <f t="shared" si="1"/>
        <v>-32544</v>
      </c>
      <c r="L14" s="152">
        <f t="shared" si="1"/>
        <v>-32544</v>
      </c>
      <c r="M14" s="152">
        <f t="shared" si="1"/>
        <v>-32544</v>
      </c>
      <c r="N14" s="152">
        <f t="shared" si="1"/>
        <v>-32544</v>
      </c>
      <c r="O14" s="152">
        <f t="shared" si="1"/>
        <v>-32544</v>
      </c>
      <c r="P14" s="152">
        <f t="shared" si="1"/>
        <v>-32544</v>
      </c>
      <c r="Q14" s="152">
        <f t="shared" si="1"/>
        <v>-32544</v>
      </c>
      <c r="R14" s="152">
        <f t="shared" si="1"/>
        <v>-32544</v>
      </c>
      <c r="S14" s="152">
        <f t="shared" si="1"/>
        <v>-32544</v>
      </c>
      <c r="T14" s="152">
        <f t="shared" si="1"/>
        <v>-32544</v>
      </c>
      <c r="U14" s="147">
        <f t="shared" ref="U14:U59" si="2">SUM(F14:Q14)</f>
        <v>-390528</v>
      </c>
    </row>
    <row r="15" spans="1:42" x14ac:dyDescent="0.3">
      <c r="A15" s="9"/>
      <c r="B15" s="9"/>
      <c r="C15" s="136" t="s">
        <v>200</v>
      </c>
      <c r="D15" s="9"/>
      <c r="E15" s="9"/>
      <c r="F15" s="133">
        <v>-31654</v>
      </c>
      <c r="G15" s="133">
        <v>-31654</v>
      </c>
      <c r="H15" s="133">
        <v>-31654</v>
      </c>
      <c r="I15" s="133">
        <v>-31654</v>
      </c>
      <c r="J15" s="133">
        <v>-31654</v>
      </c>
      <c r="K15" s="133">
        <v>-31654</v>
      </c>
      <c r="L15" s="133">
        <v>-31654</v>
      </c>
      <c r="M15" s="133">
        <v>-31654</v>
      </c>
      <c r="N15" s="133">
        <v>-31654</v>
      </c>
      <c r="O15" s="133">
        <v>-31654</v>
      </c>
      <c r="P15" s="133">
        <v>-31654</v>
      </c>
      <c r="Q15" s="133">
        <v>-31654</v>
      </c>
      <c r="R15" s="133">
        <v>-31654</v>
      </c>
      <c r="S15" s="133">
        <v>-31654</v>
      </c>
      <c r="T15" s="133">
        <v>-31654</v>
      </c>
      <c r="U15" s="149">
        <f t="shared" si="2"/>
        <v>-379848</v>
      </c>
    </row>
    <row r="16" spans="1:42" x14ac:dyDescent="0.3">
      <c r="A16" s="9"/>
      <c r="B16" s="9"/>
      <c r="C16" s="136" t="s">
        <v>288</v>
      </c>
      <c r="D16" s="9"/>
      <c r="E16" s="9"/>
      <c r="F16" s="134">
        <v>-700</v>
      </c>
      <c r="G16" s="134">
        <v>-700</v>
      </c>
      <c r="H16" s="134">
        <v>-700</v>
      </c>
      <c r="I16" s="134">
        <v>-700</v>
      </c>
      <c r="J16" s="134">
        <v>-700</v>
      </c>
      <c r="K16" s="134">
        <v>-700</v>
      </c>
      <c r="L16" s="134">
        <v>-700</v>
      </c>
      <c r="M16" s="134">
        <v>-700</v>
      </c>
      <c r="N16" s="134">
        <v>-700</v>
      </c>
      <c r="O16" s="134">
        <v>-700</v>
      </c>
      <c r="P16" s="134">
        <v>-700</v>
      </c>
      <c r="Q16" s="134">
        <v>-700</v>
      </c>
      <c r="R16" s="134">
        <v>-700</v>
      </c>
      <c r="S16" s="134">
        <v>-700</v>
      </c>
      <c r="T16" s="134">
        <v>-700</v>
      </c>
      <c r="U16" s="149">
        <f t="shared" si="2"/>
        <v>-8400</v>
      </c>
    </row>
    <row r="17" spans="1:21" x14ac:dyDescent="0.3">
      <c r="A17" s="9"/>
      <c r="B17" s="9"/>
      <c r="C17" s="136" t="s">
        <v>290</v>
      </c>
      <c r="D17" s="9"/>
      <c r="E17" s="9"/>
      <c r="F17" s="134">
        <v>-125</v>
      </c>
      <c r="G17" s="134">
        <v>-125</v>
      </c>
      <c r="H17" s="134">
        <v>-125</v>
      </c>
      <c r="I17" s="134">
        <v>-125</v>
      </c>
      <c r="J17" s="134">
        <v>-125</v>
      </c>
      <c r="K17" s="134">
        <v>-125</v>
      </c>
      <c r="L17" s="134">
        <v>-125</v>
      </c>
      <c r="M17" s="134">
        <v>-125</v>
      </c>
      <c r="N17" s="134">
        <v>-125</v>
      </c>
      <c r="O17" s="134">
        <v>-125</v>
      </c>
      <c r="P17" s="134">
        <v>-125</v>
      </c>
      <c r="Q17" s="134">
        <v>-125</v>
      </c>
      <c r="R17" s="134">
        <v>-125</v>
      </c>
      <c r="S17" s="134">
        <v>-125</v>
      </c>
      <c r="T17" s="134">
        <v>-125</v>
      </c>
      <c r="U17" s="149">
        <f t="shared" si="2"/>
        <v>-1500</v>
      </c>
    </row>
    <row r="18" spans="1:21" x14ac:dyDescent="0.3">
      <c r="A18" s="9"/>
      <c r="B18" s="9"/>
      <c r="C18" s="136" t="s">
        <v>291</v>
      </c>
      <c r="D18" s="9"/>
      <c r="E18" s="9"/>
      <c r="F18" s="134">
        <v>-65</v>
      </c>
      <c r="G18" s="134">
        <v>-65</v>
      </c>
      <c r="H18" s="134">
        <v>-65</v>
      </c>
      <c r="I18" s="134">
        <v>-65</v>
      </c>
      <c r="J18" s="134">
        <v>-65</v>
      </c>
      <c r="K18" s="134">
        <v>-65</v>
      </c>
      <c r="L18" s="134">
        <v>-65</v>
      </c>
      <c r="M18" s="134">
        <v>-65</v>
      </c>
      <c r="N18" s="134">
        <v>-65</v>
      </c>
      <c r="O18" s="134">
        <v>-65</v>
      </c>
      <c r="P18" s="134">
        <v>-65</v>
      </c>
      <c r="Q18" s="134">
        <v>-65</v>
      </c>
      <c r="R18" s="134">
        <v>-65</v>
      </c>
      <c r="S18" s="134">
        <v>-65</v>
      </c>
      <c r="T18" s="134">
        <v>-65</v>
      </c>
      <c r="U18" s="149">
        <f t="shared" si="2"/>
        <v>-780</v>
      </c>
    </row>
    <row r="19" spans="1:21" x14ac:dyDescent="0.3">
      <c r="A19" s="9"/>
      <c r="B19" s="9"/>
      <c r="C19" s="136" t="s">
        <v>204</v>
      </c>
      <c r="D19" s="9"/>
      <c r="E19" s="9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1"/>
    </row>
    <row r="20" spans="1:21" x14ac:dyDescent="0.3">
      <c r="A20" s="9"/>
      <c r="B20" s="9"/>
      <c r="C20" s="136" t="s">
        <v>205</v>
      </c>
      <c r="D20" s="9"/>
      <c r="E20" s="9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1"/>
    </row>
    <row r="21" spans="1:21" x14ac:dyDescent="0.3">
      <c r="A21" s="9"/>
      <c r="B21" s="9"/>
      <c r="C21" s="134"/>
      <c r="D21" s="9"/>
      <c r="E21" s="9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1"/>
    </row>
    <row r="22" spans="1:21" x14ac:dyDescent="0.3">
      <c r="A22" s="154"/>
      <c r="B22" s="154"/>
      <c r="C22" s="155" t="s">
        <v>4</v>
      </c>
      <c r="D22" s="154"/>
      <c r="E22" s="154"/>
      <c r="F22" s="156">
        <f>SUM(F13+F14)</f>
        <v>487276</v>
      </c>
      <c r="G22" s="156">
        <f t="shared" ref="G22:T22" si="3">SUM(G13+G14)</f>
        <v>499966</v>
      </c>
      <c r="H22" s="156">
        <f t="shared" si="3"/>
        <v>503726</v>
      </c>
      <c r="I22" s="156">
        <f t="shared" si="3"/>
        <v>507486</v>
      </c>
      <c r="J22" s="156">
        <f t="shared" si="3"/>
        <v>510776</v>
      </c>
      <c r="K22" s="156">
        <f t="shared" si="3"/>
        <v>514536</v>
      </c>
      <c r="L22" s="156">
        <f t="shared" si="3"/>
        <v>518296</v>
      </c>
      <c r="M22" s="156">
        <f t="shared" si="3"/>
        <v>532866</v>
      </c>
      <c r="N22" s="156">
        <f t="shared" si="3"/>
        <v>536626</v>
      </c>
      <c r="O22" s="156">
        <f t="shared" si="3"/>
        <v>539916</v>
      </c>
      <c r="P22" s="156">
        <f t="shared" si="3"/>
        <v>549316</v>
      </c>
      <c r="Q22" s="156">
        <f t="shared" si="3"/>
        <v>553076</v>
      </c>
      <c r="R22" s="156">
        <f t="shared" si="3"/>
        <v>556366</v>
      </c>
      <c r="S22" s="156">
        <f t="shared" si="3"/>
        <v>560126</v>
      </c>
      <c r="T22" s="156">
        <f t="shared" si="3"/>
        <v>574696</v>
      </c>
      <c r="U22" s="292">
        <f t="shared" si="2"/>
        <v>6253862</v>
      </c>
    </row>
    <row r="23" spans="1:21" ht="15" customHeight="1" x14ac:dyDescent="0.3">
      <c r="A23" s="9"/>
      <c r="B23" s="9"/>
      <c r="C23" s="134"/>
      <c r="D23" s="9"/>
      <c r="E23" s="9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1"/>
    </row>
    <row r="24" spans="1:21" ht="15" customHeight="1" x14ac:dyDescent="0.3">
      <c r="A24" s="9"/>
      <c r="B24" s="9"/>
      <c r="C24" s="135" t="s">
        <v>5</v>
      </c>
      <c r="D24" s="9"/>
      <c r="E24" s="9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1"/>
    </row>
    <row r="25" spans="1:21" ht="15" customHeight="1" x14ac:dyDescent="0.3">
      <c r="A25" s="9"/>
      <c r="B25" s="9"/>
      <c r="C25" s="136" t="s">
        <v>292</v>
      </c>
      <c r="D25" s="9"/>
      <c r="E25" s="9"/>
      <c r="F25" s="149">
        <v>-3493</v>
      </c>
      <c r="G25" s="149">
        <v>-3493</v>
      </c>
      <c r="H25" s="149">
        <v>-3493</v>
      </c>
      <c r="I25" s="149">
        <v>-3493</v>
      </c>
      <c r="J25" s="149">
        <v>-3493</v>
      </c>
      <c r="K25" s="149">
        <v>-3493</v>
      </c>
      <c r="L25" s="149">
        <v>-3493</v>
      </c>
      <c r="M25" s="149">
        <v>-3493</v>
      </c>
      <c r="N25" s="149">
        <v>-3493</v>
      </c>
      <c r="O25" s="149">
        <v>-3493</v>
      </c>
      <c r="P25" s="149">
        <v>-3493</v>
      </c>
      <c r="Q25" s="149">
        <v>-3493</v>
      </c>
      <c r="R25" s="149">
        <v>-3493</v>
      </c>
      <c r="S25" s="149">
        <v>-3493</v>
      </c>
      <c r="T25" s="149">
        <v>-3493</v>
      </c>
      <c r="U25" s="149">
        <f t="shared" si="2"/>
        <v>-41916</v>
      </c>
    </row>
    <row r="26" spans="1:21" ht="15" customHeight="1" x14ac:dyDescent="0.3">
      <c r="A26" s="9"/>
      <c r="B26" s="9"/>
      <c r="C26" s="136" t="s">
        <v>293</v>
      </c>
      <c r="D26" s="9"/>
      <c r="E26" s="9"/>
      <c r="F26" s="149">
        <v>-13493</v>
      </c>
      <c r="G26" s="149">
        <v>-13493</v>
      </c>
      <c r="H26" s="149">
        <v>-13493</v>
      </c>
      <c r="I26" s="149">
        <v>-13493</v>
      </c>
      <c r="J26" s="149">
        <v>-13493</v>
      </c>
      <c r="K26" s="149">
        <v>-13493</v>
      </c>
      <c r="L26" s="149">
        <v>-13493</v>
      </c>
      <c r="M26" s="149">
        <v>-13493</v>
      </c>
      <c r="N26" s="149">
        <v>-13493</v>
      </c>
      <c r="O26" s="149">
        <v>-13493</v>
      </c>
      <c r="P26" s="149">
        <v>-13493</v>
      </c>
      <c r="Q26" s="149">
        <v>-13493</v>
      </c>
      <c r="R26" s="331">
        <v>-3400</v>
      </c>
      <c r="S26" s="331">
        <v>-3400</v>
      </c>
      <c r="T26" s="331">
        <v>-3400</v>
      </c>
      <c r="U26" s="149">
        <f t="shared" si="2"/>
        <v>-161916</v>
      </c>
    </row>
    <row r="27" spans="1:21" ht="15" customHeight="1" x14ac:dyDescent="0.3">
      <c r="A27" s="9"/>
      <c r="B27" s="9"/>
      <c r="C27" s="136" t="s">
        <v>294</v>
      </c>
      <c r="D27" s="9"/>
      <c r="E27" s="9"/>
      <c r="F27" s="149">
        <v>-493</v>
      </c>
      <c r="G27" s="149">
        <v>-493</v>
      </c>
      <c r="H27" s="149">
        <v>-493</v>
      </c>
      <c r="I27" s="149">
        <v>-493</v>
      </c>
      <c r="J27" s="149">
        <v>-493</v>
      </c>
      <c r="K27" s="149">
        <v>-493</v>
      </c>
      <c r="L27" s="149">
        <v>-493</v>
      </c>
      <c r="M27" s="149">
        <v>-493</v>
      </c>
      <c r="N27" s="149">
        <v>-493</v>
      </c>
      <c r="O27" s="149">
        <v>-493</v>
      </c>
      <c r="P27" s="149">
        <v>-493</v>
      </c>
      <c r="Q27" s="149">
        <v>-493</v>
      </c>
      <c r="R27" s="291" t="s">
        <v>142</v>
      </c>
      <c r="S27" s="291" t="s">
        <v>142</v>
      </c>
      <c r="T27" s="291" t="s">
        <v>142</v>
      </c>
      <c r="U27" s="149">
        <f t="shared" si="2"/>
        <v>-5916</v>
      </c>
    </row>
    <row r="28" spans="1:21" ht="15" customHeight="1" x14ac:dyDescent="0.3">
      <c r="A28" s="9"/>
      <c r="B28" s="9"/>
      <c r="C28" s="136" t="s">
        <v>295</v>
      </c>
      <c r="D28" s="9"/>
      <c r="E28" s="9"/>
      <c r="F28" s="331">
        <v>-11234</v>
      </c>
      <c r="G28" s="331">
        <v>-11234</v>
      </c>
      <c r="H28" s="331">
        <v>-11234</v>
      </c>
      <c r="I28" s="331">
        <v>-11234</v>
      </c>
      <c r="J28" s="331">
        <v>-11234</v>
      </c>
      <c r="K28" s="331">
        <v>-11234</v>
      </c>
      <c r="L28" s="331">
        <v>-11234</v>
      </c>
      <c r="M28" s="331">
        <v>-11234</v>
      </c>
      <c r="N28" s="331">
        <v>-11234</v>
      </c>
      <c r="O28" s="331">
        <v>-11234</v>
      </c>
      <c r="P28" s="331">
        <v>-11234</v>
      </c>
      <c r="Q28" s="291" t="s">
        <v>142</v>
      </c>
      <c r="R28" s="291" t="s">
        <v>142</v>
      </c>
      <c r="S28" s="291" t="s">
        <v>142</v>
      </c>
      <c r="T28" s="291" t="s">
        <v>142</v>
      </c>
      <c r="U28" s="149">
        <f t="shared" si="2"/>
        <v>-123574</v>
      </c>
    </row>
    <row r="29" spans="1:21" ht="15" customHeight="1" x14ac:dyDescent="0.3">
      <c r="A29" s="9"/>
      <c r="B29" s="9"/>
      <c r="C29" s="136" t="s">
        <v>120</v>
      </c>
      <c r="D29" s="9"/>
      <c r="E29" s="9"/>
      <c r="F29" s="150" t="s">
        <v>142</v>
      </c>
      <c r="G29" s="150" t="s">
        <v>142</v>
      </c>
      <c r="H29" s="150" t="s">
        <v>142</v>
      </c>
      <c r="I29" s="150" t="s">
        <v>142</v>
      </c>
      <c r="J29" s="150" t="s">
        <v>142</v>
      </c>
      <c r="K29" s="150" t="s">
        <v>142</v>
      </c>
      <c r="L29" s="150" t="s">
        <v>142</v>
      </c>
      <c r="M29" s="150" t="s">
        <v>142</v>
      </c>
      <c r="N29" s="150" t="s">
        <v>142</v>
      </c>
      <c r="O29" s="150" t="s">
        <v>142</v>
      </c>
      <c r="P29" s="150" t="s">
        <v>142</v>
      </c>
      <c r="Q29" s="150" t="s">
        <v>142</v>
      </c>
      <c r="R29" s="150" t="s">
        <v>142</v>
      </c>
      <c r="S29" s="150" t="s">
        <v>142</v>
      </c>
      <c r="T29" s="150" t="s">
        <v>142</v>
      </c>
      <c r="U29" s="131"/>
    </row>
    <row r="30" spans="1:21" ht="15" customHeight="1" x14ac:dyDescent="0.3">
      <c r="A30" s="9"/>
      <c r="B30" s="9"/>
      <c r="C30" s="136" t="s">
        <v>121</v>
      </c>
      <c r="D30" s="9"/>
      <c r="E30" s="9"/>
      <c r="F30" s="150" t="s">
        <v>142</v>
      </c>
      <c r="G30" s="150" t="s">
        <v>142</v>
      </c>
      <c r="H30" s="150" t="s">
        <v>142</v>
      </c>
      <c r="I30" s="150" t="s">
        <v>142</v>
      </c>
      <c r="J30" s="150" t="s">
        <v>142</v>
      </c>
      <c r="K30" s="150" t="s">
        <v>142</v>
      </c>
      <c r="L30" s="150" t="s">
        <v>142</v>
      </c>
      <c r="M30" s="150" t="s">
        <v>142</v>
      </c>
      <c r="N30" s="150" t="s">
        <v>142</v>
      </c>
      <c r="O30" s="150" t="s">
        <v>142</v>
      </c>
      <c r="P30" s="150" t="s">
        <v>142</v>
      </c>
      <c r="Q30" s="150" t="s">
        <v>142</v>
      </c>
      <c r="R30" s="150" t="s">
        <v>142</v>
      </c>
      <c r="S30" s="150" t="s">
        <v>142</v>
      </c>
      <c r="T30" s="150" t="s">
        <v>142</v>
      </c>
      <c r="U30" s="131"/>
    </row>
    <row r="31" spans="1:21" ht="15" customHeight="1" x14ac:dyDescent="0.3">
      <c r="A31" s="9"/>
      <c r="B31" s="9"/>
      <c r="C31" s="136" t="s">
        <v>122</v>
      </c>
      <c r="D31" s="9"/>
      <c r="E31" s="9"/>
      <c r="F31" s="150" t="s">
        <v>142</v>
      </c>
      <c r="G31" s="150" t="s">
        <v>142</v>
      </c>
      <c r="H31" s="150" t="s">
        <v>142</v>
      </c>
      <c r="I31" s="150" t="s">
        <v>142</v>
      </c>
      <c r="J31" s="150" t="s">
        <v>142</v>
      </c>
      <c r="K31" s="150" t="s">
        <v>142</v>
      </c>
      <c r="L31" s="150" t="s">
        <v>142</v>
      </c>
      <c r="M31" s="150" t="s">
        <v>142</v>
      </c>
      <c r="N31" s="150" t="s">
        <v>142</v>
      </c>
      <c r="O31" s="150" t="s">
        <v>142</v>
      </c>
      <c r="P31" s="150" t="s">
        <v>142</v>
      </c>
      <c r="Q31" s="150" t="s">
        <v>142</v>
      </c>
      <c r="R31" s="150" t="s">
        <v>142</v>
      </c>
      <c r="S31" s="150" t="s">
        <v>142</v>
      </c>
      <c r="T31" s="150" t="s">
        <v>142</v>
      </c>
      <c r="U31" s="131"/>
    </row>
    <row r="32" spans="1:21" ht="15" customHeight="1" x14ac:dyDescent="0.3">
      <c r="A32" s="9"/>
      <c r="B32" s="9"/>
      <c r="C32" s="136" t="s">
        <v>123</v>
      </c>
      <c r="D32" s="9"/>
      <c r="E32" s="9"/>
      <c r="F32" s="150" t="s">
        <v>142</v>
      </c>
      <c r="G32" s="150" t="s">
        <v>142</v>
      </c>
      <c r="H32" s="150" t="s">
        <v>142</v>
      </c>
      <c r="I32" s="150" t="s">
        <v>142</v>
      </c>
      <c r="J32" s="150" t="s">
        <v>142</v>
      </c>
      <c r="K32" s="150" t="s">
        <v>142</v>
      </c>
      <c r="L32" s="150" t="s">
        <v>142</v>
      </c>
      <c r="M32" s="150" t="s">
        <v>142</v>
      </c>
      <c r="N32" s="150" t="s">
        <v>142</v>
      </c>
      <c r="O32" s="150" t="s">
        <v>142</v>
      </c>
      <c r="P32" s="150" t="s">
        <v>142</v>
      </c>
      <c r="Q32" s="150" t="s">
        <v>142</v>
      </c>
      <c r="R32" s="150" t="s">
        <v>142</v>
      </c>
      <c r="S32" s="150" t="s">
        <v>142</v>
      </c>
      <c r="T32" s="150" t="s">
        <v>142</v>
      </c>
      <c r="U32" s="131"/>
    </row>
    <row r="33" spans="1:21" x14ac:dyDescent="0.3">
      <c r="A33" s="145"/>
      <c r="B33" s="145"/>
      <c r="C33" s="172" t="s">
        <v>124</v>
      </c>
      <c r="D33" s="145"/>
      <c r="E33" s="145"/>
      <c r="F33" s="153">
        <f t="shared" ref="F33:H33" si="4">SUM(F25:F32)</f>
        <v>-28713</v>
      </c>
      <c r="G33" s="153">
        <f t="shared" si="4"/>
        <v>-28713</v>
      </c>
      <c r="H33" s="153">
        <f t="shared" si="4"/>
        <v>-28713</v>
      </c>
      <c r="I33" s="153">
        <f t="shared" ref="I33:T33" si="5">SUM(I25:I32)</f>
        <v>-28713</v>
      </c>
      <c r="J33" s="153">
        <f t="shared" si="5"/>
        <v>-28713</v>
      </c>
      <c r="K33" s="153">
        <f t="shared" si="5"/>
        <v>-28713</v>
      </c>
      <c r="L33" s="153">
        <f t="shared" si="5"/>
        <v>-28713</v>
      </c>
      <c r="M33" s="153">
        <f t="shared" si="5"/>
        <v>-28713</v>
      </c>
      <c r="N33" s="153">
        <f t="shared" si="5"/>
        <v>-28713</v>
      </c>
      <c r="O33" s="153">
        <f t="shared" si="5"/>
        <v>-28713</v>
      </c>
      <c r="P33" s="153">
        <f t="shared" si="5"/>
        <v>-28713</v>
      </c>
      <c r="Q33" s="153">
        <f t="shared" si="5"/>
        <v>-17479</v>
      </c>
      <c r="R33" s="153">
        <f t="shared" si="5"/>
        <v>-6893</v>
      </c>
      <c r="S33" s="153">
        <f t="shared" si="5"/>
        <v>-6893</v>
      </c>
      <c r="T33" s="153">
        <f t="shared" si="5"/>
        <v>-6893</v>
      </c>
      <c r="U33" s="153">
        <f t="shared" si="2"/>
        <v>-333322</v>
      </c>
    </row>
    <row r="34" spans="1:21" x14ac:dyDescent="0.3">
      <c r="A34" s="146"/>
      <c r="B34" s="146"/>
      <c r="C34" s="183" t="s">
        <v>125</v>
      </c>
      <c r="D34" s="146"/>
      <c r="E34" s="146"/>
      <c r="F34" s="147">
        <v>-45063</v>
      </c>
      <c r="G34" s="147">
        <v>-45063</v>
      </c>
      <c r="H34" s="147">
        <v>-45063</v>
      </c>
      <c r="I34" s="147">
        <v>-45063</v>
      </c>
      <c r="J34" s="147">
        <v>-45063</v>
      </c>
      <c r="K34" s="147">
        <v>-45063</v>
      </c>
      <c r="L34" s="147">
        <v>-45063</v>
      </c>
      <c r="M34" s="147">
        <v>-45063</v>
      </c>
      <c r="N34" s="147">
        <v>-45063</v>
      </c>
      <c r="O34" s="147">
        <v>-45063</v>
      </c>
      <c r="P34" s="147">
        <v>-45063</v>
      </c>
      <c r="Q34" s="147">
        <v>-45063</v>
      </c>
      <c r="R34" s="147">
        <v>-45063</v>
      </c>
      <c r="S34" s="147">
        <v>-45063</v>
      </c>
      <c r="T34" s="147">
        <v>-45063</v>
      </c>
      <c r="U34" s="147">
        <f t="shared" si="2"/>
        <v>-540756</v>
      </c>
    </row>
    <row r="35" spans="1:21" x14ac:dyDescent="0.3">
      <c r="A35" s="9"/>
      <c r="B35" s="9"/>
      <c r="C35" s="134"/>
      <c r="D35" s="9"/>
      <c r="E35" s="9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1"/>
    </row>
    <row r="36" spans="1:21" x14ac:dyDescent="0.3">
      <c r="A36" s="9"/>
      <c r="B36" s="9"/>
      <c r="C36" s="135" t="s">
        <v>24</v>
      </c>
      <c r="D36" s="9"/>
      <c r="E36" s="9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1"/>
    </row>
    <row r="37" spans="1:21" x14ac:dyDescent="0.3">
      <c r="A37" s="9"/>
      <c r="B37" s="9"/>
      <c r="C37" s="134" t="s">
        <v>73</v>
      </c>
      <c r="D37" s="9"/>
      <c r="E37" s="9"/>
      <c r="F37" s="149">
        <v>-1750</v>
      </c>
      <c r="G37" s="149">
        <v>-1750</v>
      </c>
      <c r="H37" s="149">
        <v>-1750</v>
      </c>
      <c r="I37" s="149">
        <v>-1750</v>
      </c>
      <c r="J37" s="149">
        <v>-1750</v>
      </c>
      <c r="K37" s="149">
        <v>-1750</v>
      </c>
      <c r="L37" s="149">
        <v>-1750</v>
      </c>
      <c r="M37" s="149">
        <v>-1750</v>
      </c>
      <c r="N37" s="149">
        <v>-1750</v>
      </c>
      <c r="O37" s="149">
        <v>-1750</v>
      </c>
      <c r="P37" s="149">
        <v>-1750</v>
      </c>
      <c r="Q37" s="149">
        <v>-1750</v>
      </c>
      <c r="R37" s="149">
        <v>-1750</v>
      </c>
      <c r="S37" s="149">
        <v>-1750</v>
      </c>
      <c r="T37" s="149">
        <v>-1750</v>
      </c>
      <c r="U37" s="149">
        <f t="shared" si="2"/>
        <v>-21000</v>
      </c>
    </row>
    <row r="38" spans="1:21" x14ac:dyDescent="0.3">
      <c r="A38" s="9"/>
      <c r="B38" s="9"/>
      <c r="C38" s="134" t="s">
        <v>261</v>
      </c>
      <c r="D38" s="9"/>
      <c r="E38" s="9"/>
      <c r="F38" s="149">
        <v>-2550</v>
      </c>
      <c r="G38" s="149">
        <v>-2550</v>
      </c>
      <c r="H38" s="149">
        <v>-2550</v>
      </c>
      <c r="I38" s="149">
        <v>-2550</v>
      </c>
      <c r="J38" s="149">
        <v>-2550</v>
      </c>
      <c r="K38" s="149">
        <v>-2550</v>
      </c>
      <c r="L38" s="149">
        <v>-2550</v>
      </c>
      <c r="M38" s="149">
        <v>-2550</v>
      </c>
      <c r="N38" s="149">
        <v>-2550</v>
      </c>
      <c r="O38" s="149">
        <v>-2550</v>
      </c>
      <c r="P38" s="149">
        <v>-2550</v>
      </c>
      <c r="Q38" s="149">
        <v>-2550</v>
      </c>
      <c r="R38" s="149">
        <v>-2550</v>
      </c>
      <c r="S38" s="149">
        <v>-2550</v>
      </c>
      <c r="T38" s="149">
        <v>-2550</v>
      </c>
      <c r="U38" s="149">
        <f t="shared" si="2"/>
        <v>-30600</v>
      </c>
    </row>
    <row r="39" spans="1:21" x14ac:dyDescent="0.3">
      <c r="A39" s="9"/>
      <c r="B39" s="9"/>
      <c r="C39" s="134" t="s">
        <v>284</v>
      </c>
      <c r="D39" s="9"/>
      <c r="E39" s="9"/>
      <c r="F39" s="149">
        <v>-700</v>
      </c>
      <c r="G39" s="149">
        <v>-700</v>
      </c>
      <c r="H39" s="149">
        <v>-700</v>
      </c>
      <c r="I39" s="149">
        <v>-700</v>
      </c>
      <c r="J39" s="149">
        <v>-700</v>
      </c>
      <c r="K39" s="149">
        <v>-700</v>
      </c>
      <c r="L39" s="149">
        <v>-700</v>
      </c>
      <c r="M39" s="149">
        <v>-700</v>
      </c>
      <c r="N39" s="149">
        <v>-700</v>
      </c>
      <c r="O39" s="149">
        <v>-700</v>
      </c>
      <c r="P39" s="149">
        <v>-700</v>
      </c>
      <c r="Q39" s="149">
        <v>-700</v>
      </c>
      <c r="R39" s="149">
        <v>-700</v>
      </c>
      <c r="S39" s="149">
        <v>-700</v>
      </c>
      <c r="T39" s="149">
        <v>-700</v>
      </c>
      <c r="U39" s="149">
        <f t="shared" si="2"/>
        <v>-8400</v>
      </c>
    </row>
    <row r="40" spans="1:21" x14ac:dyDescent="0.3">
      <c r="A40" s="9"/>
      <c r="B40" s="9"/>
      <c r="C40" s="134" t="s">
        <v>223</v>
      </c>
      <c r="D40" s="9"/>
      <c r="E40" s="9"/>
      <c r="F40" s="149">
        <v>-1350</v>
      </c>
      <c r="G40" s="149">
        <v>-1350</v>
      </c>
      <c r="H40" s="149">
        <v>-1350</v>
      </c>
      <c r="I40" s="149">
        <v>-1350</v>
      </c>
      <c r="J40" s="149">
        <v>-1350</v>
      </c>
      <c r="K40" s="149">
        <v>-1350</v>
      </c>
      <c r="L40" s="149">
        <v>-1350</v>
      </c>
      <c r="M40" s="149">
        <v>-1350</v>
      </c>
      <c r="N40" s="149">
        <v>-1350</v>
      </c>
      <c r="O40" s="149">
        <v>-1350</v>
      </c>
      <c r="P40" s="149">
        <v>-1350</v>
      </c>
      <c r="Q40" s="149">
        <v>-1350</v>
      </c>
      <c r="R40" s="149">
        <v>-1350</v>
      </c>
      <c r="S40" s="149">
        <v>-1350</v>
      </c>
      <c r="T40" s="149">
        <v>-1350</v>
      </c>
      <c r="U40" s="149">
        <f t="shared" si="2"/>
        <v>-16200</v>
      </c>
    </row>
    <row r="41" spans="1:21" x14ac:dyDescent="0.3">
      <c r="A41" s="9"/>
      <c r="B41" s="9"/>
      <c r="C41" s="134" t="s">
        <v>262</v>
      </c>
      <c r="D41" s="9"/>
      <c r="E41" s="9"/>
      <c r="F41" s="149">
        <v>-1900</v>
      </c>
      <c r="G41" s="149">
        <v>-1900</v>
      </c>
      <c r="H41" s="149">
        <v>-1900</v>
      </c>
      <c r="I41" s="149">
        <v>-1900</v>
      </c>
      <c r="J41" s="149">
        <v>-1900</v>
      </c>
      <c r="K41" s="149">
        <v>-1900</v>
      </c>
      <c r="L41" s="149">
        <v>-1900</v>
      </c>
      <c r="M41" s="149">
        <v>-1900</v>
      </c>
      <c r="N41" s="149">
        <v>-1900</v>
      </c>
      <c r="O41" s="149">
        <v>-1900</v>
      </c>
      <c r="P41" s="149">
        <v>-1900</v>
      </c>
      <c r="Q41" s="149">
        <v>-1900</v>
      </c>
      <c r="R41" s="149">
        <v>-1900</v>
      </c>
      <c r="S41" s="149">
        <v>-1900</v>
      </c>
      <c r="T41" s="149">
        <v>-1900</v>
      </c>
      <c r="U41" s="149">
        <f t="shared" si="2"/>
        <v>-22800</v>
      </c>
    </row>
    <row r="42" spans="1:21" x14ac:dyDescent="0.3">
      <c r="A42" s="9"/>
      <c r="B42" s="9"/>
      <c r="C42" s="134" t="s">
        <v>127</v>
      </c>
      <c r="D42" s="9"/>
      <c r="E42" s="9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1"/>
    </row>
    <row r="43" spans="1:21" x14ac:dyDescent="0.3">
      <c r="A43" s="9"/>
      <c r="B43" s="9"/>
      <c r="C43" s="136" t="s">
        <v>128</v>
      </c>
      <c r="D43" s="9"/>
      <c r="E43" s="9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1"/>
    </row>
    <row r="44" spans="1:21" x14ac:dyDescent="0.3">
      <c r="A44" s="9"/>
      <c r="B44" s="9"/>
      <c r="C44" s="136" t="s">
        <v>129</v>
      </c>
      <c r="D44" s="9"/>
      <c r="E44" s="9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1"/>
    </row>
    <row r="45" spans="1:21" x14ac:dyDescent="0.3">
      <c r="A45" s="9"/>
      <c r="B45" s="9"/>
      <c r="C45" s="136" t="s">
        <v>130</v>
      </c>
      <c r="D45" s="9"/>
      <c r="E45" s="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1"/>
    </row>
    <row r="46" spans="1:21" x14ac:dyDescent="0.3">
      <c r="A46" s="9"/>
      <c r="B46" s="9"/>
      <c r="C46" s="136" t="s">
        <v>131</v>
      </c>
      <c r="D46" s="9"/>
      <c r="E46" s="9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1"/>
    </row>
    <row r="47" spans="1:21" x14ac:dyDescent="0.3">
      <c r="A47" s="9"/>
      <c r="B47" s="9"/>
      <c r="C47" s="136" t="s">
        <v>132</v>
      </c>
      <c r="D47" s="9"/>
      <c r="E47" s="9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1"/>
    </row>
    <row r="48" spans="1:21" x14ac:dyDescent="0.3">
      <c r="A48" s="9"/>
      <c r="B48" s="9"/>
      <c r="C48" s="136" t="s">
        <v>133</v>
      </c>
      <c r="D48" s="9"/>
      <c r="E48" s="9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1"/>
    </row>
    <row r="49" spans="1:21" x14ac:dyDescent="0.3">
      <c r="A49" s="9"/>
      <c r="B49" s="9"/>
      <c r="C49" s="136" t="s">
        <v>134</v>
      </c>
      <c r="D49" s="9"/>
      <c r="E49" s="9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1"/>
    </row>
    <row r="50" spans="1:21" x14ac:dyDescent="0.3">
      <c r="A50" s="9"/>
      <c r="B50" s="9"/>
      <c r="C50" s="136" t="s">
        <v>135</v>
      </c>
      <c r="D50" s="9"/>
      <c r="E50" s="9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1"/>
    </row>
    <row r="51" spans="1:21" x14ac:dyDescent="0.3">
      <c r="A51" s="9"/>
      <c r="B51" s="9"/>
      <c r="C51" s="136" t="s">
        <v>136</v>
      </c>
      <c r="D51" s="9"/>
      <c r="E51" s="9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1"/>
    </row>
    <row r="52" spans="1:21" s="110" customFormat="1" ht="14.4" customHeight="1" x14ac:dyDescent="0.3">
      <c r="A52" s="159"/>
      <c r="B52" s="159"/>
      <c r="C52" s="160" t="s">
        <v>137</v>
      </c>
      <c r="D52" s="159"/>
      <c r="E52" s="159"/>
      <c r="F52" s="161">
        <f t="shared" ref="F52:H52" si="6">SUM(F37:F51)</f>
        <v>-8250</v>
      </c>
      <c r="G52" s="161">
        <f t="shared" si="6"/>
        <v>-8250</v>
      </c>
      <c r="H52" s="161">
        <f t="shared" si="6"/>
        <v>-8250</v>
      </c>
      <c r="I52" s="161">
        <f t="shared" ref="I52:T52" si="7">SUM(I37:I51)</f>
        <v>-8250</v>
      </c>
      <c r="J52" s="161">
        <f t="shared" si="7"/>
        <v>-8250</v>
      </c>
      <c r="K52" s="161">
        <f t="shared" si="7"/>
        <v>-8250</v>
      </c>
      <c r="L52" s="161">
        <f t="shared" si="7"/>
        <v>-8250</v>
      </c>
      <c r="M52" s="161">
        <f t="shared" si="7"/>
        <v>-8250</v>
      </c>
      <c r="N52" s="161">
        <f t="shared" si="7"/>
        <v>-8250</v>
      </c>
      <c r="O52" s="161">
        <f t="shared" si="7"/>
        <v>-8250</v>
      </c>
      <c r="P52" s="161">
        <f t="shared" si="7"/>
        <v>-8250</v>
      </c>
      <c r="Q52" s="161">
        <f t="shared" si="7"/>
        <v>-8250</v>
      </c>
      <c r="R52" s="161">
        <f t="shared" si="7"/>
        <v>-8250</v>
      </c>
      <c r="S52" s="161">
        <f t="shared" si="7"/>
        <v>-8250</v>
      </c>
      <c r="T52" s="161">
        <f t="shared" si="7"/>
        <v>-8250</v>
      </c>
      <c r="U52" s="153">
        <f t="shared" si="2"/>
        <v>-99000</v>
      </c>
    </row>
    <row r="53" spans="1:21" s="110" customFormat="1" ht="14.4" customHeight="1" x14ac:dyDescent="0.3">
      <c r="A53" s="162"/>
      <c r="B53" s="162"/>
      <c r="C53" s="163" t="s">
        <v>6</v>
      </c>
      <c r="D53" s="162"/>
      <c r="E53" s="162"/>
      <c r="F53" s="164">
        <f>F13+F14+F33+F52</f>
        <v>450313</v>
      </c>
      <c r="G53" s="164">
        <f>G13+G14+G33+G52</f>
        <v>463003</v>
      </c>
      <c r="H53" s="164">
        <f t="shared" ref="H53:T53" si="8">H13+H14+H33+H52</f>
        <v>466763</v>
      </c>
      <c r="I53" s="164">
        <f t="shared" si="8"/>
        <v>470523</v>
      </c>
      <c r="J53" s="164">
        <f t="shared" si="8"/>
        <v>473813</v>
      </c>
      <c r="K53" s="164">
        <f t="shared" si="8"/>
        <v>477573</v>
      </c>
      <c r="L53" s="164">
        <f t="shared" si="8"/>
        <v>481333</v>
      </c>
      <c r="M53" s="164">
        <f t="shared" si="8"/>
        <v>495903</v>
      </c>
      <c r="N53" s="164">
        <f t="shared" si="8"/>
        <v>499663</v>
      </c>
      <c r="O53" s="164">
        <f t="shared" si="8"/>
        <v>502953</v>
      </c>
      <c r="P53" s="164">
        <f t="shared" si="8"/>
        <v>512353</v>
      </c>
      <c r="Q53" s="164">
        <f t="shared" si="8"/>
        <v>527347</v>
      </c>
      <c r="R53" s="164">
        <f t="shared" si="8"/>
        <v>541223</v>
      </c>
      <c r="S53" s="164">
        <f t="shared" si="8"/>
        <v>544983</v>
      </c>
      <c r="T53" s="164">
        <f t="shared" si="8"/>
        <v>559553</v>
      </c>
      <c r="U53" s="147">
        <f t="shared" si="2"/>
        <v>5821540</v>
      </c>
    </row>
    <row r="54" spans="1:21" s="110" customFormat="1" ht="14.4" customHeight="1" x14ac:dyDescent="0.3">
      <c r="A54" s="108"/>
      <c r="B54" s="108"/>
      <c r="C54" s="137" t="s">
        <v>138</v>
      </c>
      <c r="D54" s="108"/>
      <c r="E54" s="108"/>
      <c r="F54" s="333">
        <v>-1911</v>
      </c>
      <c r="G54" s="333">
        <v>-1911</v>
      </c>
      <c r="H54" s="333">
        <v>-1911</v>
      </c>
      <c r="I54" s="333">
        <v>-1756</v>
      </c>
      <c r="J54" s="333">
        <v>-1756</v>
      </c>
      <c r="K54" s="333">
        <v>-1756</v>
      </c>
      <c r="L54" s="333">
        <v>-1756</v>
      </c>
      <c r="M54" s="333">
        <v>-1756</v>
      </c>
      <c r="N54" s="333">
        <v>-1756</v>
      </c>
      <c r="O54" s="333">
        <v>-1756</v>
      </c>
      <c r="P54" s="333">
        <v>-1756</v>
      </c>
      <c r="Q54" s="333">
        <v>-1756</v>
      </c>
      <c r="R54" s="333">
        <v>-1756</v>
      </c>
      <c r="S54" s="333">
        <v>-1756</v>
      </c>
      <c r="T54" s="333">
        <v>-1756</v>
      </c>
      <c r="U54" s="333">
        <f t="shared" si="2"/>
        <v>-21537</v>
      </c>
    </row>
    <row r="55" spans="1:21" s="110" customFormat="1" ht="25.05" customHeight="1" x14ac:dyDescent="0.3">
      <c r="A55" s="108"/>
      <c r="B55" s="108"/>
      <c r="C55" s="137" t="s">
        <v>8</v>
      </c>
      <c r="D55" s="108"/>
      <c r="E55" s="108"/>
      <c r="F55" s="333">
        <f>F53+F54</f>
        <v>448402</v>
      </c>
      <c r="G55" s="333">
        <f t="shared" ref="G55:T55" si="9">G53+G54</f>
        <v>461092</v>
      </c>
      <c r="H55" s="333">
        <f t="shared" si="9"/>
        <v>464852</v>
      </c>
      <c r="I55" s="333">
        <f t="shared" si="9"/>
        <v>468767</v>
      </c>
      <c r="J55" s="333">
        <f t="shared" si="9"/>
        <v>472057</v>
      </c>
      <c r="K55" s="333">
        <f t="shared" si="9"/>
        <v>475817</v>
      </c>
      <c r="L55" s="333">
        <f t="shared" si="9"/>
        <v>479577</v>
      </c>
      <c r="M55" s="333">
        <f t="shared" si="9"/>
        <v>494147</v>
      </c>
      <c r="N55" s="333">
        <f t="shared" si="9"/>
        <v>497907</v>
      </c>
      <c r="O55" s="333">
        <f t="shared" si="9"/>
        <v>501197</v>
      </c>
      <c r="P55" s="333">
        <f t="shared" si="9"/>
        <v>510597</v>
      </c>
      <c r="Q55" s="333">
        <f t="shared" si="9"/>
        <v>525591</v>
      </c>
      <c r="R55" s="333">
        <f t="shared" si="9"/>
        <v>539467</v>
      </c>
      <c r="S55" s="333">
        <f t="shared" si="9"/>
        <v>543227</v>
      </c>
      <c r="T55" s="333">
        <f t="shared" si="9"/>
        <v>557797</v>
      </c>
      <c r="U55" s="333">
        <f t="shared" si="2"/>
        <v>5800003</v>
      </c>
    </row>
    <row r="56" spans="1:21" s="110" customFormat="1" ht="25.05" customHeight="1" x14ac:dyDescent="0.3">
      <c r="A56" s="108"/>
      <c r="B56" s="108"/>
      <c r="C56" s="138" t="s">
        <v>139</v>
      </c>
      <c r="D56" s="139"/>
      <c r="E56" s="108"/>
      <c r="F56" s="333">
        <f>('BS 2026'!F27*0.2)</f>
        <v>0</v>
      </c>
      <c r="G56" s="333">
        <f>('BS 2026'!G27*0.2)</f>
        <v>0</v>
      </c>
      <c r="H56" s="333">
        <f>('BS 2026'!H27*0.2)</f>
        <v>0</v>
      </c>
      <c r="I56" s="333">
        <f>('BS 2026'!I27*0.2)</f>
        <v>0</v>
      </c>
      <c r="J56" s="333">
        <f>('BS 2026'!J27*0.2)</f>
        <v>0</v>
      </c>
      <c r="K56" s="333">
        <f>('BS 2026'!K27*0.2)</f>
        <v>0</v>
      </c>
      <c r="L56" s="333">
        <f>('BS 2026'!L27*0.2)</f>
        <v>0</v>
      </c>
      <c r="M56" s="333">
        <f>('BS 2026'!M27*0.2)</f>
        <v>0</v>
      </c>
      <c r="N56" s="333">
        <f>('BS 2026'!N27*0.2)</f>
        <v>0</v>
      </c>
      <c r="O56" s="333">
        <f>('BS 2026'!O27*0.2)</f>
        <v>0</v>
      </c>
      <c r="P56" s="333">
        <f>('BS 2026'!P27*0.2)</f>
        <v>0</v>
      </c>
      <c r="Q56" s="333">
        <f>('BS 2026'!Q27*0.2)</f>
        <v>0</v>
      </c>
      <c r="R56" s="333">
        <f>('BS 2026'!R27*0.2)</f>
        <v>0</v>
      </c>
      <c r="S56" s="333">
        <f>('BS 2026'!S27*0.2)</f>
        <v>0</v>
      </c>
      <c r="T56" s="333">
        <f>('BS 2026'!T27*0.2)</f>
        <v>0</v>
      </c>
      <c r="U56" s="333">
        <f>('BS 2026'!U27*0.2)</f>
        <v>0</v>
      </c>
    </row>
    <row r="57" spans="1:21" s="110" customFormat="1" ht="25.05" customHeight="1" x14ac:dyDescent="0.3">
      <c r="A57" s="108"/>
      <c r="B57" s="108"/>
      <c r="C57" s="137" t="s">
        <v>10</v>
      </c>
      <c r="D57" s="108"/>
      <c r="E57" s="108"/>
      <c r="F57" s="333">
        <f>F53</f>
        <v>450313</v>
      </c>
      <c r="G57" s="333">
        <f t="shared" ref="G57:T57" si="10">G53</f>
        <v>463003</v>
      </c>
      <c r="H57" s="333">
        <f t="shared" si="10"/>
        <v>466763</v>
      </c>
      <c r="I57" s="333">
        <f t="shared" si="10"/>
        <v>470523</v>
      </c>
      <c r="J57" s="333">
        <f t="shared" si="10"/>
        <v>473813</v>
      </c>
      <c r="K57" s="333">
        <f t="shared" si="10"/>
        <v>477573</v>
      </c>
      <c r="L57" s="333">
        <f t="shared" si="10"/>
        <v>481333</v>
      </c>
      <c r="M57" s="333">
        <f t="shared" si="10"/>
        <v>495903</v>
      </c>
      <c r="N57" s="333">
        <f t="shared" si="10"/>
        <v>499663</v>
      </c>
      <c r="O57" s="333">
        <f t="shared" si="10"/>
        <v>502953</v>
      </c>
      <c r="P57" s="333">
        <f t="shared" si="10"/>
        <v>512353</v>
      </c>
      <c r="Q57" s="333">
        <f t="shared" si="10"/>
        <v>527347</v>
      </c>
      <c r="R57" s="333">
        <f t="shared" si="10"/>
        <v>541223</v>
      </c>
      <c r="S57" s="333">
        <f t="shared" si="10"/>
        <v>544983</v>
      </c>
      <c r="T57" s="333">
        <f t="shared" si="10"/>
        <v>559553</v>
      </c>
      <c r="U57" s="333">
        <f t="shared" si="2"/>
        <v>5821540</v>
      </c>
    </row>
    <row r="58" spans="1:21" s="110" customFormat="1" ht="25.05" customHeight="1" x14ac:dyDescent="0.3">
      <c r="A58" s="108"/>
      <c r="B58" s="108"/>
      <c r="C58" s="138" t="s">
        <v>11</v>
      </c>
      <c r="D58" s="108"/>
      <c r="E58" s="108"/>
      <c r="F58" s="333">
        <f>(F57*0.2)*-1</f>
        <v>-90062.6</v>
      </c>
      <c r="G58" s="333">
        <f t="shared" ref="G58:T58" si="11">(G57*0.2)*-1</f>
        <v>-92600.6</v>
      </c>
      <c r="H58" s="333">
        <f t="shared" si="11"/>
        <v>-93352.6</v>
      </c>
      <c r="I58" s="333">
        <f t="shared" si="11"/>
        <v>-94104.6</v>
      </c>
      <c r="J58" s="333">
        <f t="shared" si="11"/>
        <v>-94762.6</v>
      </c>
      <c r="K58" s="333">
        <f t="shared" si="11"/>
        <v>-95514.6</v>
      </c>
      <c r="L58" s="333">
        <f t="shared" si="11"/>
        <v>-96266.6</v>
      </c>
      <c r="M58" s="333">
        <f t="shared" si="11"/>
        <v>-99180.6</v>
      </c>
      <c r="N58" s="333">
        <f t="shared" si="11"/>
        <v>-99932.6</v>
      </c>
      <c r="O58" s="333">
        <f t="shared" si="11"/>
        <v>-100590.6</v>
      </c>
      <c r="P58" s="333">
        <f t="shared" si="11"/>
        <v>-102470.6</v>
      </c>
      <c r="Q58" s="333">
        <f t="shared" si="11"/>
        <v>-105469.40000000001</v>
      </c>
      <c r="R58" s="333">
        <f t="shared" si="11"/>
        <v>-108244.6</v>
      </c>
      <c r="S58" s="333">
        <f t="shared" si="11"/>
        <v>-108996.6</v>
      </c>
      <c r="T58" s="333">
        <f t="shared" si="11"/>
        <v>-111910.6</v>
      </c>
      <c r="U58" s="333">
        <f t="shared" si="2"/>
        <v>-1164307.9999999998</v>
      </c>
    </row>
    <row r="59" spans="1:21" s="110" customFormat="1" ht="14.4" customHeight="1" x14ac:dyDescent="0.3">
      <c r="A59" s="165"/>
      <c r="B59" s="165"/>
      <c r="C59" s="166" t="s">
        <v>12</v>
      </c>
      <c r="D59" s="165"/>
      <c r="E59" s="165"/>
      <c r="F59" s="294">
        <f t="shared" ref="F59" si="12">F57+F58</f>
        <v>360250.4</v>
      </c>
      <c r="G59" s="294">
        <f t="shared" ref="G59" si="13">G57+G58</f>
        <v>370402.4</v>
      </c>
      <c r="H59" s="294">
        <f t="shared" ref="H59" si="14">H57+H58</f>
        <v>373410.4</v>
      </c>
      <c r="I59" s="294">
        <f t="shared" ref="I59" si="15">I57+I58</f>
        <v>376418.4</v>
      </c>
      <c r="J59" s="294">
        <f t="shared" ref="J59" si="16">J57+J58</f>
        <v>379050.4</v>
      </c>
      <c r="K59" s="294">
        <f t="shared" ref="K59" si="17">K57+K58</f>
        <v>382058.4</v>
      </c>
      <c r="L59" s="294">
        <f t="shared" ref="L59" si="18">L57+L58</f>
        <v>385066.4</v>
      </c>
      <c r="M59" s="294">
        <f t="shared" ref="M59" si="19">M57+M58</f>
        <v>396722.4</v>
      </c>
      <c r="N59" s="294">
        <f t="shared" ref="N59" si="20">N57+N58</f>
        <v>399730.4</v>
      </c>
      <c r="O59" s="294">
        <f t="shared" ref="O59" si="21">O57+O58</f>
        <v>402362.4</v>
      </c>
      <c r="P59" s="294">
        <f t="shared" ref="P59" si="22">P57+P58</f>
        <v>409882.4</v>
      </c>
      <c r="Q59" s="294">
        <f t="shared" ref="Q59" si="23">Q57+Q58</f>
        <v>421877.6</v>
      </c>
      <c r="R59" s="294">
        <f t="shared" ref="R59" si="24">R57+R58</f>
        <v>432978.4</v>
      </c>
      <c r="S59" s="294">
        <f t="shared" ref="S59" si="25">S57+S58</f>
        <v>435986.4</v>
      </c>
      <c r="T59" s="294">
        <f t="shared" ref="T59" si="26">T57+T58</f>
        <v>447642.4</v>
      </c>
      <c r="U59" s="295">
        <f t="shared" si="2"/>
        <v>4657231.9999999991</v>
      </c>
    </row>
    <row r="60" spans="1:21" x14ac:dyDescent="0.3">
      <c r="F60"/>
    </row>
    <row r="61" spans="1:21" x14ac:dyDescent="0.3">
      <c r="F61"/>
    </row>
    <row r="62" spans="1:21" x14ac:dyDescent="0.3">
      <c r="F62"/>
    </row>
    <row r="63" spans="1:21" x14ac:dyDescent="0.3">
      <c r="F63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</sheetData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0ABF-517D-41B9-B86A-39352A6E64E0}">
  <sheetPr codeName="Sheet33"/>
  <dimension ref="A2:V57"/>
  <sheetViews>
    <sheetView showGridLines="0" workbookViewId="0">
      <selection activeCell="A15" sqref="A12:XFD15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0" t="s">
        <v>143</v>
      </c>
      <c r="C2" s="129"/>
      <c r="D2" s="9"/>
    </row>
    <row r="3" spans="1:22" x14ac:dyDescent="0.3">
      <c r="A3" s="128" t="s">
        <v>144</v>
      </c>
      <c r="C3" s="14"/>
    </row>
    <row r="4" spans="1:22" x14ac:dyDescent="0.3">
      <c r="A4" s="128" t="s">
        <v>145</v>
      </c>
      <c r="C4" s="14"/>
    </row>
    <row r="6" spans="1:22" x14ac:dyDescent="0.3">
      <c r="B6" s="14" t="s">
        <v>191</v>
      </c>
    </row>
    <row r="7" spans="1:22" x14ac:dyDescent="0.3">
      <c r="A7" s="140"/>
      <c r="B7" s="172" t="s">
        <v>64</v>
      </c>
      <c r="C7" s="145"/>
      <c r="D7" s="145"/>
      <c r="E7" s="145"/>
      <c r="F7" s="145"/>
      <c r="G7" s="173">
        <v>46023</v>
      </c>
      <c r="H7" s="173">
        <v>46054</v>
      </c>
      <c r="I7" s="173">
        <v>46082</v>
      </c>
      <c r="J7" s="173">
        <v>46113</v>
      </c>
      <c r="K7" s="173">
        <v>46143</v>
      </c>
      <c r="L7" s="173">
        <v>46174</v>
      </c>
      <c r="M7" s="173">
        <v>46204</v>
      </c>
      <c r="N7" s="173">
        <v>46235</v>
      </c>
      <c r="O7" s="173">
        <v>46266</v>
      </c>
      <c r="P7" s="173">
        <v>46296</v>
      </c>
      <c r="Q7" s="173">
        <v>46327</v>
      </c>
      <c r="R7" s="173">
        <v>46357</v>
      </c>
      <c r="S7" s="173">
        <v>46388</v>
      </c>
      <c r="T7" s="173">
        <v>46419</v>
      </c>
      <c r="U7" s="173">
        <v>46447</v>
      </c>
      <c r="V7" s="174" t="s">
        <v>72</v>
      </c>
    </row>
    <row r="9" spans="1:22" x14ac:dyDescent="0.3">
      <c r="B9" s="14" t="s">
        <v>143</v>
      </c>
    </row>
    <row r="10" spans="1:22" x14ac:dyDescent="0.3">
      <c r="A10" s="145"/>
      <c r="B10" s="172" t="s">
        <v>146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</row>
    <row r="11" spans="1:22" x14ac:dyDescent="0.3">
      <c r="B11" s="307" t="s">
        <v>37</v>
      </c>
      <c r="C11" s="308"/>
      <c r="D11" s="308"/>
      <c r="E11" s="308"/>
      <c r="F11" s="308"/>
      <c r="G11" s="208">
        <f t="shared" ref="G11:R11" si="0">SUM(G12:G14)</f>
        <v>519820</v>
      </c>
      <c r="H11" s="208">
        <f t="shared" si="0"/>
        <v>532510</v>
      </c>
      <c r="I11" s="208">
        <f t="shared" si="0"/>
        <v>536270</v>
      </c>
      <c r="J11" s="208">
        <f t="shared" si="0"/>
        <v>540030</v>
      </c>
      <c r="K11" s="208">
        <f t="shared" si="0"/>
        <v>543320</v>
      </c>
      <c r="L11" s="208">
        <f t="shared" si="0"/>
        <v>547080</v>
      </c>
      <c r="M11" s="208">
        <f t="shared" si="0"/>
        <v>550840</v>
      </c>
      <c r="N11" s="208">
        <f t="shared" si="0"/>
        <v>565410</v>
      </c>
      <c r="O11" s="208">
        <f t="shared" si="0"/>
        <v>569170</v>
      </c>
      <c r="P11" s="208">
        <f t="shared" si="0"/>
        <v>572460</v>
      </c>
      <c r="Q11" s="208">
        <f t="shared" si="0"/>
        <v>581860</v>
      </c>
      <c r="R11" s="208">
        <f t="shared" si="0"/>
        <v>585620</v>
      </c>
      <c r="S11" s="208">
        <f>'CF 2027'!G11</f>
        <v>588910</v>
      </c>
      <c r="T11" s="208">
        <f>'CF 2027'!H11</f>
        <v>592670</v>
      </c>
      <c r="U11" s="208">
        <f>'CF 2027'!I11</f>
        <v>607240</v>
      </c>
      <c r="V11" s="208">
        <f>SUM(G11:R11)</f>
        <v>6644390</v>
      </c>
    </row>
    <row r="12" spans="1:22" x14ac:dyDescent="0.3">
      <c r="B12" s="136" t="s">
        <v>305</v>
      </c>
      <c r="C12" s="308"/>
      <c r="D12" s="308"/>
      <c r="E12" s="308"/>
      <c r="F12" s="308"/>
      <c r="G12" s="208">
        <f>'IS 2026'!F12</f>
        <v>519820</v>
      </c>
      <c r="H12" s="208">
        <f>'IS 2026'!G12</f>
        <v>532510</v>
      </c>
      <c r="I12" s="208">
        <f>'IS 2026'!H12</f>
        <v>536270</v>
      </c>
      <c r="J12" s="208">
        <f>'IS 2026'!I12</f>
        <v>540030</v>
      </c>
      <c r="K12" s="208">
        <f>'IS 2026'!J12</f>
        <v>543320</v>
      </c>
      <c r="L12" s="208">
        <f>'IS 2026'!K12</f>
        <v>547080</v>
      </c>
      <c r="M12" s="208">
        <f>'IS 2026'!L12</f>
        <v>550840</v>
      </c>
      <c r="N12" s="208">
        <f>'IS 2026'!M12</f>
        <v>565410</v>
      </c>
      <c r="O12" s="208">
        <f>'IS 2026'!N12</f>
        <v>569170</v>
      </c>
      <c r="P12" s="208">
        <f>'IS 2026'!O12</f>
        <v>572460</v>
      </c>
      <c r="Q12" s="208">
        <f>'IS 2026'!P12</f>
        <v>581860</v>
      </c>
      <c r="R12" s="208">
        <f>'IS 2026'!Q12</f>
        <v>585620</v>
      </c>
      <c r="S12" s="208">
        <f>'CF 2027'!G12</f>
        <v>588910</v>
      </c>
      <c r="T12" s="208">
        <f>'CF 2027'!H12</f>
        <v>592670</v>
      </c>
      <c r="U12" s="208">
        <f>'CF 2027'!I12</f>
        <v>607240</v>
      </c>
      <c r="V12" s="308"/>
    </row>
    <row r="13" spans="1:22" x14ac:dyDescent="0.3">
      <c r="B13" s="311" t="s">
        <v>121</v>
      </c>
      <c r="C13" s="308"/>
      <c r="D13" s="308"/>
      <c r="E13" s="308"/>
      <c r="F13" s="308"/>
      <c r="G13" s="208"/>
      <c r="H13" s="208"/>
      <c r="I13" s="208"/>
      <c r="J13" s="208"/>
      <c r="K13" s="208"/>
      <c r="L13" s="208"/>
      <c r="M13" s="208"/>
      <c r="N13" s="208"/>
      <c r="O13" s="208"/>
      <c r="P13" s="308"/>
      <c r="Q13" s="208"/>
      <c r="R13" s="208"/>
      <c r="S13" s="208"/>
      <c r="T13" s="208"/>
      <c r="U13" s="208"/>
      <c r="V13" s="308"/>
    </row>
    <row r="14" spans="1:22" x14ac:dyDescent="0.3">
      <c r="B14" s="311"/>
      <c r="C14" s="308"/>
      <c r="D14" s="308"/>
      <c r="E14" s="308"/>
      <c r="F14" s="308"/>
      <c r="G14" s="208"/>
      <c r="H14" s="208"/>
      <c r="I14" s="208"/>
      <c r="J14" s="208"/>
      <c r="K14" s="208"/>
      <c r="L14" s="208"/>
      <c r="M14" s="208"/>
      <c r="N14" s="208"/>
      <c r="O14" s="208"/>
      <c r="P14" s="308"/>
      <c r="Q14" s="208"/>
      <c r="R14" s="208"/>
      <c r="S14" s="208"/>
      <c r="T14" s="208"/>
      <c r="U14" s="208"/>
      <c r="V14" s="308"/>
    </row>
    <row r="15" spans="1:22" x14ac:dyDescent="0.3">
      <c r="B15" s="307" t="s">
        <v>38</v>
      </c>
      <c r="C15" s="308"/>
      <c r="D15" s="308"/>
      <c r="E15" s="308"/>
      <c r="F15" s="308"/>
      <c r="G15" s="208">
        <f>'CF 2025'!S15</f>
        <v>-625</v>
      </c>
      <c r="H15" s="208">
        <f>'CF 2025'!T15</f>
        <v>-625</v>
      </c>
      <c r="I15" s="208">
        <f>'CF 2025'!U15</f>
        <v>-625</v>
      </c>
      <c r="J15" s="208">
        <v>-625</v>
      </c>
      <c r="K15" s="208">
        <v>-625</v>
      </c>
      <c r="L15" s="208">
        <v>-625</v>
      </c>
      <c r="M15" s="208">
        <v>-625</v>
      </c>
      <c r="N15" s="208">
        <v>-625</v>
      </c>
      <c r="O15" s="208">
        <v>-625</v>
      </c>
      <c r="P15" s="208">
        <v>-625</v>
      </c>
      <c r="Q15" s="208">
        <v>-625</v>
      </c>
      <c r="R15" s="208">
        <v>-625</v>
      </c>
      <c r="S15" s="208">
        <v>-625</v>
      </c>
      <c r="T15" s="208">
        <v>-625</v>
      </c>
      <c r="U15" s="208">
        <v>-625</v>
      </c>
      <c r="V15" s="208">
        <f>SUM(G15:R15)</f>
        <v>-7500</v>
      </c>
    </row>
    <row r="16" spans="1:22" x14ac:dyDescent="0.3">
      <c r="B16" s="307" t="s">
        <v>147</v>
      </c>
      <c r="C16" s="308"/>
      <c r="D16" s="308"/>
      <c r="E16" s="308"/>
      <c r="F16" s="308"/>
      <c r="G16" s="208">
        <f>'IS 2026'!F56</f>
        <v>0</v>
      </c>
      <c r="H16" s="208">
        <f>'IS 2026'!G56</f>
        <v>0</v>
      </c>
      <c r="I16" s="208">
        <f>'IS 2026'!H56</f>
        <v>0</v>
      </c>
      <c r="J16" s="208">
        <f>'IS 2026'!I56</f>
        <v>0</v>
      </c>
      <c r="K16" s="208">
        <f>'IS 2026'!J56</f>
        <v>0</v>
      </c>
      <c r="L16" s="208">
        <f>'IS 2026'!K56</f>
        <v>0</v>
      </c>
      <c r="M16" s="208">
        <f>'IS 2026'!L56</f>
        <v>0</v>
      </c>
      <c r="N16" s="208">
        <f>'IS 2026'!M56</f>
        <v>0</v>
      </c>
      <c r="O16" s="208">
        <f>'IS 2026'!N56</f>
        <v>0</v>
      </c>
      <c r="P16" s="208">
        <f>'IS 2026'!O56</f>
        <v>0</v>
      </c>
      <c r="Q16" s="208">
        <f>'IS 2026'!P56</f>
        <v>0</v>
      </c>
      <c r="R16" s="208">
        <f>'IS 2026'!Q56</f>
        <v>0</v>
      </c>
      <c r="S16" s="208">
        <f>'IS 2026'!R56</f>
        <v>0</v>
      </c>
      <c r="T16" s="208">
        <f>'IS 2026'!S56</f>
        <v>0</v>
      </c>
      <c r="U16" s="208">
        <f>'IS 2026'!T56</f>
        <v>0</v>
      </c>
      <c r="V16" s="308"/>
    </row>
    <row r="17" spans="1:22" x14ac:dyDescent="0.3">
      <c r="B17" s="307" t="s">
        <v>148</v>
      </c>
      <c r="C17" s="308"/>
      <c r="D17" s="308"/>
      <c r="E17" s="308"/>
      <c r="F17" s="308"/>
      <c r="G17" s="208">
        <f>'IS 2026'!F58</f>
        <v>-90062.6</v>
      </c>
      <c r="H17" s="208">
        <f>'IS 2026'!G58</f>
        <v>-92600.6</v>
      </c>
      <c r="I17" s="208">
        <f>'IS 2026'!H58</f>
        <v>-93352.6</v>
      </c>
      <c r="J17" s="208">
        <f>'IS 2026'!I58</f>
        <v>-94104.6</v>
      </c>
      <c r="K17" s="208">
        <f>'IS 2026'!J58</f>
        <v>-94762.6</v>
      </c>
      <c r="L17" s="208">
        <f>'IS 2026'!K58</f>
        <v>-95514.6</v>
      </c>
      <c r="M17" s="208">
        <f>'IS 2026'!L58</f>
        <v>-96266.6</v>
      </c>
      <c r="N17" s="208">
        <f>'IS 2026'!M58</f>
        <v>-99180.6</v>
      </c>
      <c r="O17" s="208">
        <f>'IS 2026'!N58</f>
        <v>-99932.6</v>
      </c>
      <c r="P17" s="208">
        <f>'IS 2026'!O58</f>
        <v>-100590.6</v>
      </c>
      <c r="Q17" s="208">
        <f>'IS 2026'!P58</f>
        <v>-102470.6</v>
      </c>
      <c r="R17" s="208">
        <f>'IS 2026'!Q58</f>
        <v>-105469.40000000001</v>
      </c>
      <c r="S17" s="208">
        <f>'IS 2026'!R58</f>
        <v>-108244.6</v>
      </c>
      <c r="T17" s="208">
        <f>'IS 2026'!S58</f>
        <v>-108996.6</v>
      </c>
      <c r="U17" s="208">
        <f>'IS 2026'!T58</f>
        <v>-111910.6</v>
      </c>
      <c r="V17" s="308"/>
    </row>
    <row r="18" spans="1:22" x14ac:dyDescent="0.3">
      <c r="A18" s="145"/>
      <c r="B18" s="175" t="s">
        <v>149</v>
      </c>
      <c r="C18" s="145"/>
      <c r="D18" s="145"/>
      <c r="E18" s="145"/>
      <c r="F18" s="145"/>
      <c r="G18" s="153">
        <f t="shared" ref="G18:U18" si="1">G11</f>
        <v>519820</v>
      </c>
      <c r="H18" s="153">
        <f t="shared" si="1"/>
        <v>532510</v>
      </c>
      <c r="I18" s="153">
        <f t="shared" si="1"/>
        <v>536270</v>
      </c>
      <c r="J18" s="153">
        <f t="shared" si="1"/>
        <v>540030</v>
      </c>
      <c r="K18" s="153">
        <f t="shared" si="1"/>
        <v>543320</v>
      </c>
      <c r="L18" s="153">
        <f t="shared" si="1"/>
        <v>547080</v>
      </c>
      <c r="M18" s="153">
        <f t="shared" si="1"/>
        <v>550840</v>
      </c>
      <c r="N18" s="153">
        <f t="shared" si="1"/>
        <v>565410</v>
      </c>
      <c r="O18" s="153">
        <f t="shared" si="1"/>
        <v>569170</v>
      </c>
      <c r="P18" s="153">
        <f t="shared" si="1"/>
        <v>572460</v>
      </c>
      <c r="Q18" s="153">
        <f t="shared" si="1"/>
        <v>581860</v>
      </c>
      <c r="R18" s="153">
        <f t="shared" si="1"/>
        <v>585620</v>
      </c>
      <c r="S18" s="153">
        <f t="shared" si="1"/>
        <v>588910</v>
      </c>
      <c r="T18" s="153">
        <f t="shared" si="1"/>
        <v>592670</v>
      </c>
      <c r="U18" s="153">
        <f t="shared" si="1"/>
        <v>607240</v>
      </c>
      <c r="V18" s="153">
        <f>SUM(G18:R18)</f>
        <v>6644390</v>
      </c>
    </row>
    <row r="19" spans="1:22" x14ac:dyDescent="0.3">
      <c r="A19" s="146"/>
      <c r="B19" s="196" t="s">
        <v>150</v>
      </c>
      <c r="C19" s="146"/>
      <c r="D19" s="146"/>
      <c r="E19" s="146"/>
      <c r="F19" s="146"/>
      <c r="G19" s="147">
        <f>SUM(G15:G17)</f>
        <v>-90687.6</v>
      </c>
      <c r="H19" s="147">
        <f t="shared" ref="H19:U19" si="2">SUM(H15:H17)</f>
        <v>-93225.600000000006</v>
      </c>
      <c r="I19" s="147">
        <f t="shared" si="2"/>
        <v>-93977.600000000006</v>
      </c>
      <c r="J19" s="147">
        <f t="shared" si="2"/>
        <v>-94729.600000000006</v>
      </c>
      <c r="K19" s="147">
        <f t="shared" si="2"/>
        <v>-95387.6</v>
      </c>
      <c r="L19" s="147">
        <f t="shared" si="2"/>
        <v>-96139.6</v>
      </c>
      <c r="M19" s="147">
        <f t="shared" si="2"/>
        <v>-96891.6</v>
      </c>
      <c r="N19" s="147">
        <f t="shared" si="2"/>
        <v>-99805.6</v>
      </c>
      <c r="O19" s="147">
        <f t="shared" si="2"/>
        <v>-100557.6</v>
      </c>
      <c r="P19" s="147">
        <f t="shared" si="2"/>
        <v>-101215.6</v>
      </c>
      <c r="Q19" s="147">
        <f t="shared" si="2"/>
        <v>-103095.6</v>
      </c>
      <c r="R19" s="147">
        <f t="shared" si="2"/>
        <v>-106094.40000000001</v>
      </c>
      <c r="S19" s="147">
        <f t="shared" si="2"/>
        <v>-108869.6</v>
      </c>
      <c r="T19" s="147">
        <f t="shared" si="2"/>
        <v>-109621.6</v>
      </c>
      <c r="U19" s="147">
        <f t="shared" si="2"/>
        <v>-112535.6</v>
      </c>
      <c r="V19" s="147">
        <f>SUM(G19:R19)</f>
        <v>-1171807.9999999998</v>
      </c>
    </row>
    <row r="20" spans="1:22" x14ac:dyDescent="0.3">
      <c r="B20" s="148" t="s">
        <v>151</v>
      </c>
      <c r="C20" s="148"/>
      <c r="D20" s="148"/>
      <c r="E20" s="148"/>
      <c r="F20" s="148"/>
      <c r="G20" s="149">
        <f>SUM(G18:G19)</f>
        <v>429132.4</v>
      </c>
      <c r="H20" s="149">
        <f t="shared" ref="H20:R20" si="3">SUM(H18:H19)</f>
        <v>439284.4</v>
      </c>
      <c r="I20" s="149">
        <f t="shared" si="3"/>
        <v>442292.4</v>
      </c>
      <c r="J20" s="149">
        <f t="shared" si="3"/>
        <v>445300.4</v>
      </c>
      <c r="K20" s="149">
        <f t="shared" si="3"/>
        <v>447932.4</v>
      </c>
      <c r="L20" s="149">
        <f t="shared" si="3"/>
        <v>450940.4</v>
      </c>
      <c r="M20" s="149">
        <f t="shared" si="3"/>
        <v>453948.4</v>
      </c>
      <c r="N20" s="149">
        <f t="shared" si="3"/>
        <v>465604.4</v>
      </c>
      <c r="O20" s="149">
        <f t="shared" si="3"/>
        <v>468612.4</v>
      </c>
      <c r="P20" s="149">
        <f t="shared" si="3"/>
        <v>471244.4</v>
      </c>
      <c r="Q20" s="149">
        <f t="shared" si="3"/>
        <v>478764.4</v>
      </c>
      <c r="R20" s="149">
        <f t="shared" si="3"/>
        <v>479525.6</v>
      </c>
      <c r="S20" s="149">
        <f>'CF 2027'!G19</f>
        <v>484404.4</v>
      </c>
      <c r="T20" s="149">
        <f>'CF 2027'!H19</f>
        <v>487412.4</v>
      </c>
      <c r="U20" s="149">
        <f>'CF 2027'!I19</f>
        <v>500248.4</v>
      </c>
      <c r="V20" s="149">
        <f>SUM(G20:R20)</f>
        <v>5472582</v>
      </c>
    </row>
    <row r="21" spans="1:22" x14ac:dyDescent="0.3">
      <c r="B21" s="148" t="s">
        <v>193</v>
      </c>
      <c r="C21" s="148"/>
      <c r="D21" s="148"/>
      <c r="E21" s="148"/>
      <c r="F21" s="148"/>
      <c r="G21" s="149">
        <f>'IS 2025'!F56+G20</f>
        <v>427282.4</v>
      </c>
      <c r="H21" s="149">
        <f>'IS 2024'!G57+H20</f>
        <v>437834.4</v>
      </c>
      <c r="I21" s="149">
        <f>'IS 2024'!H57+I20</f>
        <v>440842.4</v>
      </c>
      <c r="J21" s="149">
        <f>'IS 2024'!I57+J20</f>
        <v>443850.4</v>
      </c>
      <c r="K21" s="149">
        <f>'IS 2024'!J57+K20</f>
        <v>446482.4</v>
      </c>
      <c r="L21" s="149">
        <f>'IS 2024'!K57+L20</f>
        <v>449490.4</v>
      </c>
      <c r="M21" s="149">
        <f>'IS 2024'!L57+M20</f>
        <v>452498.4</v>
      </c>
      <c r="N21" s="149">
        <f>'IS 2024'!M57+N20</f>
        <v>464154.4</v>
      </c>
      <c r="O21" s="149">
        <f>'IS 2024'!N57+O20</f>
        <v>467162.4</v>
      </c>
      <c r="P21" s="149">
        <f>'IS 2024'!O57+P20</f>
        <v>469794.4</v>
      </c>
      <c r="Q21" s="149">
        <f>'IS 2024'!P57+Q20</f>
        <v>477314.4</v>
      </c>
      <c r="R21" s="149">
        <f>'IS 2024'!Q57+R20</f>
        <v>477675.6</v>
      </c>
      <c r="S21" s="149">
        <f>'CF 2027'!G20</f>
        <v>482554.4</v>
      </c>
      <c r="T21" s="149">
        <f>'CF 2027'!H20</f>
        <v>485962.4</v>
      </c>
      <c r="U21" s="149">
        <f>'CF 2027'!I20</f>
        <v>498798.4</v>
      </c>
      <c r="V21" s="149"/>
    </row>
    <row r="22" spans="1:22" x14ac:dyDescent="0.3">
      <c r="B22" s="313" t="s">
        <v>152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9">
        <f>'CF 2027'!G21</f>
        <v>0</v>
      </c>
      <c r="T22" s="149">
        <f>'CF 2027'!H21</f>
        <v>0</v>
      </c>
      <c r="U22" s="149">
        <f>'CF 2027'!I21</f>
        <v>0</v>
      </c>
      <c r="V22" s="308"/>
    </row>
    <row r="23" spans="1:22" x14ac:dyDescent="0.3">
      <c r="B23" s="315" t="s">
        <v>153</v>
      </c>
      <c r="C23" s="148"/>
      <c r="D23" s="148"/>
      <c r="E23" s="148"/>
      <c r="F23" s="148"/>
      <c r="G23" s="149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9">
        <f>'CF 2027'!G22</f>
        <v>0</v>
      </c>
      <c r="T23" s="149">
        <f>'CF 2027'!H22</f>
        <v>0</v>
      </c>
      <c r="U23" s="149">
        <f>'CF 2027'!I22</f>
        <v>0</v>
      </c>
      <c r="V23" s="308"/>
    </row>
    <row r="24" spans="1:22" x14ac:dyDescent="0.3">
      <c r="B24" s="316" t="s">
        <v>117</v>
      </c>
      <c r="C24" s="148"/>
      <c r="D24" s="148"/>
      <c r="E24" s="148"/>
      <c r="F24" s="148"/>
      <c r="G24" s="149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324">
        <f>'CF 2027'!G23</f>
        <v>0</v>
      </c>
      <c r="T24" s="149">
        <f>'CF 2027'!H23</f>
        <v>0</v>
      </c>
      <c r="U24" s="149">
        <f>'CF 2027'!I23</f>
        <v>0</v>
      </c>
      <c r="V24" s="308"/>
    </row>
    <row r="25" spans="1:22" x14ac:dyDescent="0.3">
      <c r="B25" s="315" t="s">
        <v>154</v>
      </c>
      <c r="C25" s="148"/>
      <c r="D25" s="148"/>
      <c r="E25" s="148"/>
      <c r="F25" s="148"/>
      <c r="G25" s="149">
        <f>SUM(G23:G24)</f>
        <v>0</v>
      </c>
      <c r="H25" s="149">
        <f t="shared" ref="H25:R25" si="4">SUM(H23:H24)</f>
        <v>0</v>
      </c>
      <c r="I25" s="149">
        <f t="shared" si="4"/>
        <v>0</v>
      </c>
      <c r="J25" s="149">
        <f t="shared" si="4"/>
        <v>0</v>
      </c>
      <c r="K25" s="149">
        <f t="shared" si="4"/>
        <v>0</v>
      </c>
      <c r="L25" s="149">
        <f t="shared" si="4"/>
        <v>0</v>
      </c>
      <c r="M25" s="149">
        <f t="shared" si="4"/>
        <v>0</v>
      </c>
      <c r="N25" s="149">
        <f t="shared" si="4"/>
        <v>0</v>
      </c>
      <c r="O25" s="149">
        <f t="shared" si="4"/>
        <v>0</v>
      </c>
      <c r="P25" s="149">
        <f t="shared" si="4"/>
        <v>0</v>
      </c>
      <c r="Q25" s="149">
        <f t="shared" si="4"/>
        <v>0</v>
      </c>
      <c r="R25" s="149">
        <f t="shared" si="4"/>
        <v>0</v>
      </c>
      <c r="S25" s="149">
        <f>'CF 2027'!G24</f>
        <v>0</v>
      </c>
      <c r="T25" s="149">
        <f>'CF 2027'!H24</f>
        <v>0</v>
      </c>
      <c r="U25" s="149">
        <f>'CF 2027'!I24</f>
        <v>0</v>
      </c>
      <c r="V25" s="308"/>
    </row>
    <row r="26" spans="1:22" x14ac:dyDescent="0.3">
      <c r="B26" s="317" t="s">
        <v>155</v>
      </c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9">
        <f>'CF 2027'!G25</f>
        <v>0</v>
      </c>
      <c r="T26" s="149">
        <f>'CF 2027'!H25</f>
        <v>0</v>
      </c>
      <c r="U26" s="149">
        <f>'CF 2027'!I25</f>
        <v>0</v>
      </c>
      <c r="V26" s="308"/>
    </row>
    <row r="27" spans="1:22" x14ac:dyDescent="0.3">
      <c r="B27" s="307" t="s">
        <v>156</v>
      </c>
      <c r="C27" s="308"/>
      <c r="D27" s="308"/>
      <c r="E27" s="308"/>
      <c r="F27" s="308"/>
      <c r="G27" s="2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208">
        <f>'CF 2027'!G26</f>
        <v>0</v>
      </c>
      <c r="T27" s="208">
        <f>'CF 2027'!H26</f>
        <v>0</v>
      </c>
      <c r="U27" s="208">
        <f>'CF 2027'!I26</f>
        <v>0</v>
      </c>
      <c r="V27" s="308"/>
    </row>
    <row r="28" spans="1:22" x14ac:dyDescent="0.3">
      <c r="B28" s="311" t="s">
        <v>117</v>
      </c>
      <c r="C28" s="308"/>
      <c r="D28" s="308"/>
      <c r="E28" s="308"/>
      <c r="F28" s="308"/>
      <c r="G28" s="2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208">
        <f>'CF 2027'!G27</f>
        <v>0</v>
      </c>
      <c r="T28" s="208">
        <f>'CF 2027'!H27</f>
        <v>0</v>
      </c>
      <c r="U28" s="208">
        <f>'CF 2027'!I27</f>
        <v>0</v>
      </c>
      <c r="V28" s="308"/>
    </row>
    <row r="29" spans="1:22" x14ac:dyDescent="0.3">
      <c r="B29" s="311" t="s">
        <v>118</v>
      </c>
      <c r="C29" s="308"/>
      <c r="D29" s="308"/>
      <c r="E29" s="308"/>
      <c r="F29" s="308"/>
      <c r="G29" s="2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208">
        <f>'CF 2027'!G28</f>
        <v>0</v>
      </c>
      <c r="T29" s="208">
        <f>'CF 2027'!H28</f>
        <v>0</v>
      </c>
      <c r="U29" s="208">
        <f>'CF 2027'!I28</f>
        <v>0</v>
      </c>
      <c r="V29" s="308"/>
    </row>
    <row r="30" spans="1:22" x14ac:dyDescent="0.3">
      <c r="B30" s="311" t="s">
        <v>119</v>
      </c>
      <c r="C30" s="308"/>
      <c r="D30" s="308"/>
      <c r="E30" s="308"/>
      <c r="F30" s="308"/>
      <c r="G30" s="2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208">
        <f>'CF 2027'!G29</f>
        <v>0</v>
      </c>
      <c r="T30" s="208">
        <f>'CF 2027'!H29</f>
        <v>0</v>
      </c>
      <c r="U30" s="208">
        <f>'CF 2027'!I29</f>
        <v>0</v>
      </c>
      <c r="V30" s="308"/>
    </row>
    <row r="31" spans="1:22" x14ac:dyDescent="0.3">
      <c r="B31" s="307" t="s">
        <v>157</v>
      </c>
      <c r="C31" s="308"/>
      <c r="D31" s="308"/>
      <c r="E31" s="308"/>
      <c r="F31" s="308"/>
      <c r="G31" s="329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>
        <f>SUM(G27:R31)</f>
        <v>0</v>
      </c>
    </row>
    <row r="32" spans="1:22" x14ac:dyDescent="0.3">
      <c r="B32" s="311" t="s">
        <v>117</v>
      </c>
      <c r="C32" s="308"/>
      <c r="D32" s="308"/>
      <c r="E32" s="308"/>
      <c r="F32" s="308"/>
      <c r="G32" s="3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>
        <f>'CF 2027'!G31</f>
        <v>0</v>
      </c>
      <c r="T32" s="208">
        <f>'CF 2027'!H31</f>
        <v>0</v>
      </c>
      <c r="U32" s="208">
        <f>'CF 2027'!I31</f>
        <v>0</v>
      </c>
      <c r="V32" s="308"/>
    </row>
    <row r="33" spans="1:22" x14ac:dyDescent="0.3">
      <c r="B33" s="307" t="s">
        <v>158</v>
      </c>
      <c r="C33" s="308"/>
      <c r="D33" s="308"/>
      <c r="E33" s="308"/>
      <c r="F33" s="308"/>
      <c r="G33" s="2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208">
        <f>'CF 2027'!G32</f>
        <v>0</v>
      </c>
      <c r="T33" s="208">
        <f>'CF 2027'!H32</f>
        <v>0</v>
      </c>
      <c r="U33" s="208">
        <f>'CF 2027'!I32</f>
        <v>0</v>
      </c>
      <c r="V33" s="308"/>
    </row>
    <row r="34" spans="1:22" x14ac:dyDescent="0.3">
      <c r="B34" s="311" t="s">
        <v>117</v>
      </c>
      <c r="C34" s="308"/>
      <c r="D34" s="308"/>
      <c r="E34" s="308"/>
      <c r="F34" s="308"/>
      <c r="G34" s="2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208">
        <f>'CF 2027'!G33</f>
        <v>0</v>
      </c>
      <c r="T34" s="208">
        <f>'CF 2027'!H33</f>
        <v>0</v>
      </c>
      <c r="U34" s="208">
        <f>'CF 2027'!I33</f>
        <v>0</v>
      </c>
      <c r="V34" s="308"/>
    </row>
    <row r="35" spans="1:22" x14ac:dyDescent="0.3">
      <c r="B35" s="307" t="s">
        <v>159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208">
        <f>'CF 2027'!G34</f>
        <v>0</v>
      </c>
      <c r="T35" s="208">
        <f>'CF 2027'!H34</f>
        <v>0</v>
      </c>
      <c r="U35" s="208">
        <f>'CF 2027'!I34</f>
        <v>0</v>
      </c>
      <c r="V35" s="308"/>
    </row>
    <row r="36" spans="1:22" x14ac:dyDescent="0.3">
      <c r="B36" s="311" t="s">
        <v>117</v>
      </c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208">
        <f>'CF 2027'!G35</f>
        <v>0</v>
      </c>
      <c r="T36" s="208">
        <f>'CF 2027'!H35</f>
        <v>0</v>
      </c>
      <c r="U36" s="208">
        <f>'CF 2027'!I35</f>
        <v>0</v>
      </c>
      <c r="V36" s="308"/>
    </row>
    <row r="37" spans="1:22" x14ac:dyDescent="0.3">
      <c r="B37" s="307" t="s">
        <v>160</v>
      </c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208">
        <f>'CF 2027'!G36</f>
        <v>0</v>
      </c>
      <c r="T37" s="208">
        <f>'CF 2027'!H36</f>
        <v>0</v>
      </c>
      <c r="U37" s="208">
        <f>'CF 2027'!I36</f>
        <v>0</v>
      </c>
      <c r="V37" s="308"/>
    </row>
    <row r="38" spans="1:22" x14ac:dyDescent="0.3">
      <c r="B38" s="311" t="s">
        <v>117</v>
      </c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208">
        <f>'CF 2027'!G37</f>
        <v>0</v>
      </c>
      <c r="T38" s="208">
        <f>'CF 2027'!H37</f>
        <v>0</v>
      </c>
      <c r="U38" s="208">
        <f>'CF 2027'!I37</f>
        <v>0</v>
      </c>
      <c r="V38" s="308"/>
    </row>
    <row r="39" spans="1:22" x14ac:dyDescent="0.3">
      <c r="B39" s="307" t="s">
        <v>45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208">
        <f>'CF 2027'!G38</f>
        <v>0</v>
      </c>
      <c r="T39" s="208">
        <f>'CF 2027'!H38</f>
        <v>0</v>
      </c>
      <c r="U39" s="208">
        <f>'CF 2027'!I38</f>
        <v>0</v>
      </c>
      <c r="V39" s="308"/>
    </row>
    <row r="40" spans="1:22" x14ac:dyDescent="0.3">
      <c r="B40" s="307" t="s">
        <v>161</v>
      </c>
      <c r="C40" s="308"/>
      <c r="D40" s="308"/>
      <c r="E40" s="308"/>
      <c r="F40" s="308"/>
      <c r="G40" s="208">
        <f>SUM(G27:G39)</f>
        <v>0</v>
      </c>
      <c r="H40" s="208">
        <f t="shared" ref="H40:R40" si="5">SUM(H27:H39)</f>
        <v>0</v>
      </c>
      <c r="I40" s="208">
        <f t="shared" si="5"/>
        <v>0</v>
      </c>
      <c r="J40" s="208">
        <f t="shared" si="5"/>
        <v>0</v>
      </c>
      <c r="K40" s="208">
        <f t="shared" si="5"/>
        <v>0</v>
      </c>
      <c r="L40" s="208">
        <f t="shared" si="5"/>
        <v>0</v>
      </c>
      <c r="M40" s="208">
        <f t="shared" si="5"/>
        <v>0</v>
      </c>
      <c r="N40" s="208">
        <f t="shared" si="5"/>
        <v>0</v>
      </c>
      <c r="O40" s="208">
        <f t="shared" si="5"/>
        <v>0</v>
      </c>
      <c r="P40" s="208">
        <f t="shared" si="5"/>
        <v>0</v>
      </c>
      <c r="Q40" s="208">
        <f t="shared" si="5"/>
        <v>0</v>
      </c>
      <c r="R40" s="208">
        <f t="shared" si="5"/>
        <v>0</v>
      </c>
      <c r="S40" s="208">
        <f>'CF 2027'!G39</f>
        <v>0</v>
      </c>
      <c r="T40" s="208">
        <f>'CF 2027'!H39</f>
        <v>0</v>
      </c>
      <c r="U40" s="208">
        <f>'CF 2027'!I39</f>
        <v>0</v>
      </c>
      <c r="V40" s="308"/>
    </row>
    <row r="41" spans="1:22" x14ac:dyDescent="0.3">
      <c r="B41" s="318" t="s">
        <v>162</v>
      </c>
      <c r="C41" s="319"/>
      <c r="D41" s="319"/>
      <c r="E41" s="319"/>
      <c r="F41" s="319"/>
      <c r="G41" s="325">
        <f>G50</f>
        <v>429132.4</v>
      </c>
      <c r="H41" s="325">
        <f>H20+H40</f>
        <v>439284.4</v>
      </c>
      <c r="I41" s="325">
        <f>I20+I40</f>
        <v>442292.4</v>
      </c>
      <c r="J41" s="325">
        <f>J20+J40</f>
        <v>445300.4</v>
      </c>
      <c r="K41" s="325">
        <f t="shared" ref="K41:U41" si="6">K20+K40</f>
        <v>447932.4</v>
      </c>
      <c r="L41" s="325">
        <f t="shared" si="6"/>
        <v>450940.4</v>
      </c>
      <c r="M41" s="325">
        <f t="shared" si="6"/>
        <v>453948.4</v>
      </c>
      <c r="N41" s="325">
        <f t="shared" si="6"/>
        <v>465604.4</v>
      </c>
      <c r="O41" s="325">
        <f t="shared" si="6"/>
        <v>468612.4</v>
      </c>
      <c r="P41" s="325">
        <f t="shared" si="6"/>
        <v>471244.4</v>
      </c>
      <c r="Q41" s="325">
        <f t="shared" si="6"/>
        <v>478764.4</v>
      </c>
      <c r="R41" s="325">
        <f t="shared" si="6"/>
        <v>479525.6</v>
      </c>
      <c r="S41" s="325">
        <f t="shared" si="6"/>
        <v>484404.4</v>
      </c>
      <c r="T41" s="325">
        <f t="shared" si="6"/>
        <v>487412.4</v>
      </c>
      <c r="U41" s="325">
        <f t="shared" si="6"/>
        <v>500248.4</v>
      </c>
      <c r="V41" s="325">
        <f>SUM(G41:R41)</f>
        <v>5472582</v>
      </c>
    </row>
    <row r="42" spans="1:22" x14ac:dyDescent="0.3">
      <c r="A42" s="145"/>
      <c r="B42" s="172" t="s">
        <v>163</v>
      </c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</row>
    <row r="43" spans="1:22" x14ac:dyDescent="0.3">
      <c r="B43" s="321" t="s">
        <v>154</v>
      </c>
      <c r="C43" s="321"/>
      <c r="D43" s="321"/>
      <c r="E43" s="321"/>
      <c r="F43" s="321"/>
      <c r="G43" s="326">
        <f>G25</f>
        <v>0</v>
      </c>
      <c r="H43" s="326">
        <f t="shared" ref="H43:U43" si="7">H25</f>
        <v>0</v>
      </c>
      <c r="I43" s="326">
        <f t="shared" si="7"/>
        <v>0</v>
      </c>
      <c r="J43" s="326">
        <f t="shared" si="7"/>
        <v>0</v>
      </c>
      <c r="K43" s="326">
        <f t="shared" si="7"/>
        <v>0</v>
      </c>
      <c r="L43" s="326">
        <f t="shared" si="7"/>
        <v>0</v>
      </c>
      <c r="M43" s="326">
        <f t="shared" si="7"/>
        <v>0</v>
      </c>
      <c r="N43" s="326">
        <f t="shared" si="7"/>
        <v>0</v>
      </c>
      <c r="O43" s="326">
        <f t="shared" si="7"/>
        <v>0</v>
      </c>
      <c r="P43" s="326">
        <f t="shared" si="7"/>
        <v>0</v>
      </c>
      <c r="Q43" s="326">
        <f t="shared" si="7"/>
        <v>0</v>
      </c>
      <c r="R43" s="326">
        <f t="shared" si="7"/>
        <v>0</v>
      </c>
      <c r="S43" s="326">
        <f t="shared" si="7"/>
        <v>0</v>
      </c>
      <c r="T43" s="326">
        <f t="shared" si="7"/>
        <v>0</v>
      </c>
      <c r="U43" s="326">
        <f t="shared" si="7"/>
        <v>0</v>
      </c>
    </row>
    <row r="44" spans="1:22" x14ac:dyDescent="0.3">
      <c r="B44" s="148" t="s">
        <v>161</v>
      </c>
      <c r="C44" s="148"/>
      <c r="D44" s="148"/>
      <c r="E44" s="148"/>
      <c r="F44" s="148"/>
      <c r="G44" s="149">
        <f>G40</f>
        <v>0</v>
      </c>
      <c r="H44" s="149">
        <f t="shared" ref="H44:U44" si="8">H40</f>
        <v>0</v>
      </c>
      <c r="I44" s="149">
        <f t="shared" si="8"/>
        <v>0</v>
      </c>
      <c r="J44" s="149">
        <f t="shared" si="8"/>
        <v>0</v>
      </c>
      <c r="K44" s="149">
        <f t="shared" si="8"/>
        <v>0</v>
      </c>
      <c r="L44" s="149">
        <f t="shared" si="8"/>
        <v>0</v>
      </c>
      <c r="M44" s="149">
        <f t="shared" si="8"/>
        <v>0</v>
      </c>
      <c r="N44" s="149">
        <f t="shared" si="8"/>
        <v>0</v>
      </c>
      <c r="O44" s="149">
        <f t="shared" si="8"/>
        <v>0</v>
      </c>
      <c r="P44" s="149">
        <f t="shared" si="8"/>
        <v>0</v>
      </c>
      <c r="Q44" s="149">
        <f t="shared" si="8"/>
        <v>0</v>
      </c>
      <c r="R44" s="149">
        <f t="shared" si="8"/>
        <v>0</v>
      </c>
      <c r="S44" s="149">
        <f t="shared" si="8"/>
        <v>0</v>
      </c>
      <c r="T44" s="149">
        <f t="shared" si="8"/>
        <v>0</v>
      </c>
      <c r="U44" s="149">
        <f t="shared" si="8"/>
        <v>0</v>
      </c>
    </row>
    <row r="45" spans="1:22" x14ac:dyDescent="0.3">
      <c r="B45" s="148" t="s">
        <v>37</v>
      </c>
      <c r="C45" s="148"/>
      <c r="D45" s="148"/>
      <c r="E45" s="148"/>
      <c r="F45" s="148"/>
      <c r="G45" s="149">
        <f t="shared" ref="G45:U45" si="9">G11</f>
        <v>519820</v>
      </c>
      <c r="H45" s="149">
        <f t="shared" si="9"/>
        <v>532510</v>
      </c>
      <c r="I45" s="149">
        <f t="shared" si="9"/>
        <v>536270</v>
      </c>
      <c r="J45" s="149">
        <f t="shared" si="9"/>
        <v>540030</v>
      </c>
      <c r="K45" s="149">
        <f t="shared" si="9"/>
        <v>543320</v>
      </c>
      <c r="L45" s="149">
        <f t="shared" si="9"/>
        <v>547080</v>
      </c>
      <c r="M45" s="149">
        <f t="shared" si="9"/>
        <v>550840</v>
      </c>
      <c r="N45" s="149">
        <f t="shared" si="9"/>
        <v>565410</v>
      </c>
      <c r="O45" s="149">
        <f t="shared" si="9"/>
        <v>569170</v>
      </c>
      <c r="P45" s="149">
        <f t="shared" si="9"/>
        <v>572460</v>
      </c>
      <c r="Q45" s="149">
        <f t="shared" si="9"/>
        <v>581860</v>
      </c>
      <c r="R45" s="149">
        <f t="shared" si="9"/>
        <v>585620</v>
      </c>
      <c r="S45" s="149">
        <f t="shared" si="9"/>
        <v>588910</v>
      </c>
      <c r="T45" s="149">
        <f t="shared" si="9"/>
        <v>592670</v>
      </c>
      <c r="U45" s="149">
        <f t="shared" si="9"/>
        <v>607240</v>
      </c>
    </row>
    <row r="46" spans="1:22" x14ac:dyDescent="0.3">
      <c r="B46" s="148" t="s">
        <v>38</v>
      </c>
      <c r="C46" s="148"/>
      <c r="D46" s="148"/>
      <c r="E46" s="148"/>
      <c r="F46" s="148"/>
      <c r="G46" s="149">
        <f>G15</f>
        <v>-625</v>
      </c>
      <c r="H46" s="149">
        <f t="shared" ref="H46:U46" si="10">H15</f>
        <v>-625</v>
      </c>
      <c r="I46" s="149">
        <f t="shared" si="10"/>
        <v>-625</v>
      </c>
      <c r="J46" s="149">
        <f t="shared" si="10"/>
        <v>-625</v>
      </c>
      <c r="K46" s="149">
        <f t="shared" si="10"/>
        <v>-625</v>
      </c>
      <c r="L46" s="149">
        <f t="shared" si="10"/>
        <v>-625</v>
      </c>
      <c r="M46" s="149">
        <f t="shared" si="10"/>
        <v>-625</v>
      </c>
      <c r="N46" s="149">
        <f t="shared" si="10"/>
        <v>-625</v>
      </c>
      <c r="O46" s="149">
        <f t="shared" si="10"/>
        <v>-625</v>
      </c>
      <c r="P46" s="149">
        <f t="shared" si="10"/>
        <v>-625</v>
      </c>
      <c r="Q46" s="149">
        <f t="shared" si="10"/>
        <v>-625</v>
      </c>
      <c r="R46" s="149">
        <f t="shared" si="10"/>
        <v>-625</v>
      </c>
      <c r="S46" s="149">
        <f t="shared" si="10"/>
        <v>-625</v>
      </c>
      <c r="T46" s="149">
        <f t="shared" si="10"/>
        <v>-625</v>
      </c>
      <c r="U46" s="149">
        <f t="shared" si="10"/>
        <v>-625</v>
      </c>
    </row>
    <row r="47" spans="1:22" x14ac:dyDescent="0.3">
      <c r="B47" s="148" t="s">
        <v>164</v>
      </c>
      <c r="C47" s="148"/>
      <c r="D47" s="148"/>
      <c r="E47" s="148"/>
      <c r="F47" s="148"/>
      <c r="G47" s="149">
        <f>SUM(G43:G46)</f>
        <v>519195</v>
      </c>
      <c r="H47" s="149">
        <f t="shared" ref="H47:U47" si="11">SUM(H43:H46)</f>
        <v>531885</v>
      </c>
      <c r="I47" s="149">
        <f t="shared" si="11"/>
        <v>535645</v>
      </c>
      <c r="J47" s="149">
        <f t="shared" si="11"/>
        <v>539405</v>
      </c>
      <c r="K47" s="149">
        <f t="shared" si="11"/>
        <v>542695</v>
      </c>
      <c r="L47" s="149">
        <f t="shared" si="11"/>
        <v>546455</v>
      </c>
      <c r="M47" s="149">
        <f t="shared" si="11"/>
        <v>550215</v>
      </c>
      <c r="N47" s="149">
        <f t="shared" si="11"/>
        <v>564785</v>
      </c>
      <c r="O47" s="149">
        <f t="shared" si="11"/>
        <v>568545</v>
      </c>
      <c r="P47" s="149">
        <f t="shared" si="11"/>
        <v>571835</v>
      </c>
      <c r="Q47" s="149">
        <f t="shared" si="11"/>
        <v>581235</v>
      </c>
      <c r="R47" s="149">
        <f t="shared" si="11"/>
        <v>584995</v>
      </c>
      <c r="S47" s="149">
        <f t="shared" si="11"/>
        <v>588285</v>
      </c>
      <c r="T47" s="149">
        <f t="shared" si="11"/>
        <v>592045</v>
      </c>
      <c r="U47" s="149">
        <f t="shared" si="11"/>
        <v>606615</v>
      </c>
    </row>
    <row r="48" spans="1:22" x14ac:dyDescent="0.3">
      <c r="B48" s="148" t="s">
        <v>147</v>
      </c>
      <c r="C48" s="148"/>
      <c r="D48" s="148"/>
      <c r="E48" s="148"/>
      <c r="F48" s="148"/>
      <c r="G48" s="149">
        <f>G16</f>
        <v>0</v>
      </c>
      <c r="H48" s="149">
        <f t="shared" ref="H48:U48" si="12">H16</f>
        <v>0</v>
      </c>
      <c r="I48" s="149">
        <f t="shared" si="12"/>
        <v>0</v>
      </c>
      <c r="J48" s="149">
        <f t="shared" si="12"/>
        <v>0</v>
      </c>
      <c r="K48" s="149">
        <f t="shared" si="12"/>
        <v>0</v>
      </c>
      <c r="L48" s="149">
        <f t="shared" si="12"/>
        <v>0</v>
      </c>
      <c r="M48" s="149">
        <f t="shared" si="12"/>
        <v>0</v>
      </c>
      <c r="N48" s="149">
        <f t="shared" si="12"/>
        <v>0</v>
      </c>
      <c r="O48" s="149">
        <f t="shared" si="12"/>
        <v>0</v>
      </c>
      <c r="P48" s="149">
        <f t="shared" si="12"/>
        <v>0</v>
      </c>
      <c r="Q48" s="149">
        <f t="shared" si="12"/>
        <v>0</v>
      </c>
      <c r="R48" s="149">
        <f t="shared" si="12"/>
        <v>0</v>
      </c>
      <c r="S48" s="149">
        <f t="shared" si="12"/>
        <v>0</v>
      </c>
      <c r="T48" s="149">
        <f t="shared" si="12"/>
        <v>0</v>
      </c>
      <c r="U48" s="149">
        <f t="shared" si="12"/>
        <v>0</v>
      </c>
    </row>
    <row r="49" spans="1:22" x14ac:dyDescent="0.3">
      <c r="B49" s="148" t="s">
        <v>148</v>
      </c>
      <c r="C49" s="148"/>
      <c r="D49" s="148"/>
      <c r="E49" s="148"/>
      <c r="F49" s="148"/>
      <c r="G49" s="328">
        <f>G17</f>
        <v>-90062.6</v>
      </c>
      <c r="H49" s="328">
        <f t="shared" ref="H49:U49" si="13">H17</f>
        <v>-92600.6</v>
      </c>
      <c r="I49" s="328">
        <f t="shared" si="13"/>
        <v>-93352.6</v>
      </c>
      <c r="J49" s="328">
        <f t="shared" si="13"/>
        <v>-94104.6</v>
      </c>
      <c r="K49" s="328">
        <f t="shared" si="13"/>
        <v>-94762.6</v>
      </c>
      <c r="L49" s="328">
        <f t="shared" si="13"/>
        <v>-95514.6</v>
      </c>
      <c r="M49" s="328">
        <f t="shared" si="13"/>
        <v>-96266.6</v>
      </c>
      <c r="N49" s="328">
        <f t="shared" si="13"/>
        <v>-99180.6</v>
      </c>
      <c r="O49" s="328">
        <f t="shared" si="13"/>
        <v>-99932.6</v>
      </c>
      <c r="P49" s="328">
        <f t="shared" si="13"/>
        <v>-100590.6</v>
      </c>
      <c r="Q49" s="328">
        <f t="shared" si="13"/>
        <v>-102470.6</v>
      </c>
      <c r="R49" s="328">
        <f t="shared" si="13"/>
        <v>-105469.40000000001</v>
      </c>
      <c r="S49" s="328">
        <f t="shared" si="13"/>
        <v>-108244.6</v>
      </c>
      <c r="T49" s="328">
        <f t="shared" si="13"/>
        <v>-108996.6</v>
      </c>
      <c r="U49" s="328">
        <f t="shared" si="13"/>
        <v>-111910.6</v>
      </c>
    </row>
    <row r="50" spans="1:22" x14ac:dyDescent="0.3">
      <c r="B50" s="148" t="s">
        <v>162</v>
      </c>
      <c r="C50" s="148"/>
      <c r="D50" s="148"/>
      <c r="E50" s="148"/>
      <c r="F50" s="148"/>
      <c r="G50" s="149">
        <f>SUM(G47:G49)</f>
        <v>429132.4</v>
      </c>
      <c r="H50" s="149">
        <f>SUM(H47:H49)</f>
        <v>439284.4</v>
      </c>
      <c r="I50" s="149">
        <f t="shared" ref="I50:U50" si="14">SUM(I47:I49)</f>
        <v>442292.4</v>
      </c>
      <c r="J50" s="149">
        <f t="shared" si="14"/>
        <v>445300.4</v>
      </c>
      <c r="K50" s="149">
        <f t="shared" si="14"/>
        <v>447932.4</v>
      </c>
      <c r="L50" s="149">
        <f t="shared" si="14"/>
        <v>450940.4</v>
      </c>
      <c r="M50" s="149">
        <f t="shared" si="14"/>
        <v>453948.4</v>
      </c>
      <c r="N50" s="149">
        <f t="shared" si="14"/>
        <v>465604.4</v>
      </c>
      <c r="O50" s="149">
        <f t="shared" si="14"/>
        <v>468612.4</v>
      </c>
      <c r="P50" s="149">
        <f t="shared" si="14"/>
        <v>471244.4</v>
      </c>
      <c r="Q50" s="149">
        <f t="shared" si="14"/>
        <v>478764.4</v>
      </c>
      <c r="R50" s="149">
        <f t="shared" si="14"/>
        <v>479525.6</v>
      </c>
      <c r="S50" s="149">
        <f t="shared" si="14"/>
        <v>480040.4</v>
      </c>
      <c r="T50" s="149">
        <f t="shared" si="14"/>
        <v>483048.4</v>
      </c>
      <c r="U50" s="149">
        <f t="shared" si="14"/>
        <v>494704.4</v>
      </c>
    </row>
    <row r="51" spans="1:22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2" x14ac:dyDescent="0.3">
      <c r="A52" s="145"/>
      <c r="B52" s="172" t="s">
        <v>165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</row>
    <row r="53" spans="1:22" x14ac:dyDescent="0.3">
      <c r="B53" s="308" t="s">
        <v>166</v>
      </c>
      <c r="C53" s="308"/>
      <c r="D53" s="308"/>
      <c r="E53" s="308"/>
      <c r="F53" s="308"/>
      <c r="G53" s="208">
        <f>SUM(G20+G25)</f>
        <v>429132.4</v>
      </c>
      <c r="H53" s="208">
        <f t="shared" ref="H53:U53" si="15">SUM(H20+H25)</f>
        <v>439284.4</v>
      </c>
      <c r="I53" s="208">
        <f t="shared" si="15"/>
        <v>442292.4</v>
      </c>
      <c r="J53" s="208">
        <f t="shared" si="15"/>
        <v>445300.4</v>
      </c>
      <c r="K53" s="208">
        <f t="shared" si="15"/>
        <v>447932.4</v>
      </c>
      <c r="L53" s="208">
        <f t="shared" si="15"/>
        <v>450940.4</v>
      </c>
      <c r="M53" s="208">
        <f t="shared" si="15"/>
        <v>453948.4</v>
      </c>
      <c r="N53" s="208">
        <f t="shared" si="15"/>
        <v>465604.4</v>
      </c>
      <c r="O53" s="208">
        <f t="shared" si="15"/>
        <v>468612.4</v>
      </c>
      <c r="P53" s="208">
        <f t="shared" si="15"/>
        <v>471244.4</v>
      </c>
      <c r="Q53" s="208">
        <f t="shared" si="15"/>
        <v>478764.4</v>
      </c>
      <c r="R53" s="208">
        <f t="shared" si="15"/>
        <v>479525.6</v>
      </c>
      <c r="S53" s="208">
        <f t="shared" si="15"/>
        <v>484404.4</v>
      </c>
      <c r="T53" s="208">
        <f t="shared" si="15"/>
        <v>487412.4</v>
      </c>
      <c r="U53" s="208">
        <f t="shared" si="15"/>
        <v>500248.4</v>
      </c>
    </row>
    <row r="54" spans="1:22" x14ac:dyDescent="0.3">
      <c r="B54" s="308" t="s">
        <v>167</v>
      </c>
      <c r="C54" s="308"/>
      <c r="D54" s="308"/>
      <c r="E54" s="308"/>
      <c r="F54" s="308"/>
      <c r="G54" s="208">
        <f>G50</f>
        <v>429132.4</v>
      </c>
      <c r="H54" s="208">
        <f t="shared" ref="H54:U54" si="16">H50</f>
        <v>439284.4</v>
      </c>
      <c r="I54" s="208">
        <f t="shared" si="16"/>
        <v>442292.4</v>
      </c>
      <c r="J54" s="208">
        <f t="shared" si="16"/>
        <v>445300.4</v>
      </c>
      <c r="K54" s="208">
        <f t="shared" si="16"/>
        <v>447932.4</v>
      </c>
      <c r="L54" s="208">
        <f t="shared" si="16"/>
        <v>450940.4</v>
      </c>
      <c r="M54" s="208">
        <f t="shared" si="16"/>
        <v>453948.4</v>
      </c>
      <c r="N54" s="208">
        <f t="shared" si="16"/>
        <v>465604.4</v>
      </c>
      <c r="O54" s="208">
        <f t="shared" si="16"/>
        <v>468612.4</v>
      </c>
      <c r="P54" s="208">
        <f t="shared" si="16"/>
        <v>471244.4</v>
      </c>
      <c r="Q54" s="208">
        <f t="shared" si="16"/>
        <v>478764.4</v>
      </c>
      <c r="R54" s="208">
        <f t="shared" si="16"/>
        <v>479525.6</v>
      </c>
      <c r="S54" s="208">
        <f t="shared" si="16"/>
        <v>480040.4</v>
      </c>
      <c r="T54" s="208">
        <f t="shared" si="16"/>
        <v>483048.4</v>
      </c>
      <c r="U54" s="208">
        <f t="shared" si="16"/>
        <v>494704.4</v>
      </c>
    </row>
    <row r="55" spans="1:22" x14ac:dyDescent="0.3">
      <c r="B55" s="308" t="s">
        <v>168</v>
      </c>
      <c r="C55" s="308"/>
      <c r="D55" s="308"/>
      <c r="E55" s="308"/>
      <c r="F55" s="308"/>
      <c r="G55" s="208">
        <f>G50</f>
        <v>429132.4</v>
      </c>
      <c r="H55" s="208">
        <f t="shared" ref="H55:T55" si="17">H50</f>
        <v>439284.4</v>
      </c>
      <c r="I55" s="208">
        <f t="shared" si="17"/>
        <v>442292.4</v>
      </c>
      <c r="J55" s="208">
        <f t="shared" si="17"/>
        <v>445300.4</v>
      </c>
      <c r="K55" s="208">
        <f t="shared" si="17"/>
        <v>447932.4</v>
      </c>
      <c r="L55" s="208">
        <f t="shared" si="17"/>
        <v>450940.4</v>
      </c>
      <c r="M55" s="208">
        <f t="shared" si="17"/>
        <v>453948.4</v>
      </c>
      <c r="N55" s="208">
        <f t="shared" si="17"/>
        <v>465604.4</v>
      </c>
      <c r="O55" s="208">
        <f t="shared" si="17"/>
        <v>468612.4</v>
      </c>
      <c r="P55" s="208">
        <f t="shared" si="17"/>
        <v>471244.4</v>
      </c>
      <c r="Q55" s="208">
        <f t="shared" si="17"/>
        <v>478764.4</v>
      </c>
      <c r="R55" s="208">
        <f t="shared" si="17"/>
        <v>479525.6</v>
      </c>
      <c r="S55" s="208">
        <f t="shared" si="17"/>
        <v>480040.4</v>
      </c>
      <c r="T55" s="208">
        <f t="shared" si="17"/>
        <v>483048.4</v>
      </c>
      <c r="U55" s="208">
        <f>U50</f>
        <v>494704.4</v>
      </c>
    </row>
    <row r="56" spans="1:22" x14ac:dyDescent="0.3">
      <c r="B56" s="308" t="s">
        <v>160</v>
      </c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</row>
    <row r="57" spans="1:22" x14ac:dyDescent="0.3">
      <c r="B57" s="308" t="s">
        <v>162</v>
      </c>
      <c r="C57" s="308"/>
      <c r="D57" s="308"/>
      <c r="E57" s="308"/>
      <c r="F57" s="308"/>
      <c r="G57" s="208">
        <f>G50</f>
        <v>429132.4</v>
      </c>
      <c r="H57" s="208">
        <f t="shared" ref="H57:U57" si="18">H50</f>
        <v>439284.4</v>
      </c>
      <c r="I57" s="208">
        <f t="shared" si="18"/>
        <v>442292.4</v>
      </c>
      <c r="J57" s="208">
        <f t="shared" si="18"/>
        <v>445300.4</v>
      </c>
      <c r="K57" s="208">
        <f t="shared" si="18"/>
        <v>447932.4</v>
      </c>
      <c r="L57" s="208">
        <f t="shared" si="18"/>
        <v>450940.4</v>
      </c>
      <c r="M57" s="208">
        <f t="shared" si="18"/>
        <v>453948.4</v>
      </c>
      <c r="N57" s="208">
        <f t="shared" si="18"/>
        <v>465604.4</v>
      </c>
      <c r="O57" s="208">
        <f t="shared" si="18"/>
        <v>468612.4</v>
      </c>
      <c r="P57" s="208">
        <f t="shared" si="18"/>
        <v>471244.4</v>
      </c>
      <c r="Q57" s="208">
        <f t="shared" si="18"/>
        <v>478764.4</v>
      </c>
      <c r="R57" s="208">
        <f t="shared" si="18"/>
        <v>479525.6</v>
      </c>
      <c r="S57" s="208">
        <f t="shared" si="18"/>
        <v>480040.4</v>
      </c>
      <c r="T57" s="208">
        <f t="shared" si="18"/>
        <v>483048.4</v>
      </c>
      <c r="U57" s="208">
        <f t="shared" si="18"/>
        <v>494704.4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4A24-3A83-4632-9DE4-F4465BA5D8E1}">
  <sheetPr codeName="Sheet31"/>
  <dimension ref="A1:Y620"/>
  <sheetViews>
    <sheetView showGridLines="0" topLeftCell="A22" workbookViewId="0">
      <selection activeCell="F24" sqref="F24:T24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27" bestFit="1" customWidth="1"/>
    <col min="7" max="7" width="9.88671875" bestFit="1" customWidth="1"/>
    <col min="8" max="8" width="10.21875" customWidth="1"/>
    <col min="9" max="9" width="10.44140625" customWidth="1"/>
    <col min="10" max="10" width="9.6640625" customWidth="1"/>
    <col min="11" max="11" width="10" customWidth="1"/>
    <col min="12" max="12" width="9.88671875" customWidth="1"/>
    <col min="13" max="14" width="10" customWidth="1"/>
    <col min="15" max="15" width="10.109375" customWidth="1"/>
    <col min="16" max="16" width="9.77734375" customWidth="1"/>
    <col min="17" max="17" width="10.44140625" customWidth="1"/>
    <col min="18" max="18" width="9.88671875" bestFit="1" customWidth="1"/>
    <col min="19" max="19" width="10" customWidth="1"/>
    <col min="20" max="20" width="9.88671875" customWidth="1"/>
    <col min="21" max="21" width="11.21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4" t="s">
        <v>169</v>
      </c>
      <c r="F2"/>
    </row>
    <row r="3" spans="1:25" x14ac:dyDescent="0.3">
      <c r="B3" t="s">
        <v>141</v>
      </c>
      <c r="F3"/>
    </row>
    <row r="4" spans="1:25" x14ac:dyDescent="0.3">
      <c r="F4"/>
    </row>
    <row r="5" spans="1:25" x14ac:dyDescent="0.3">
      <c r="A5" s="145"/>
      <c r="B5" s="172" t="s">
        <v>170</v>
      </c>
      <c r="C5" s="145"/>
      <c r="D5" s="145"/>
      <c r="E5" s="145"/>
      <c r="F5" s="199">
        <v>2026</v>
      </c>
      <c r="G5" s="199">
        <v>2026</v>
      </c>
      <c r="H5" s="199">
        <v>2026</v>
      </c>
      <c r="I5" s="199">
        <v>2026</v>
      </c>
      <c r="J5" s="199">
        <v>2026</v>
      </c>
      <c r="K5" s="199">
        <v>2026</v>
      </c>
      <c r="L5" s="199">
        <v>2026</v>
      </c>
      <c r="M5" s="199">
        <v>2026</v>
      </c>
      <c r="N5" s="199">
        <v>2026</v>
      </c>
      <c r="O5" s="199">
        <v>2026</v>
      </c>
      <c r="P5" s="199">
        <v>2026</v>
      </c>
      <c r="Q5" s="199">
        <v>2026</v>
      </c>
      <c r="R5" s="199">
        <v>2027</v>
      </c>
      <c r="S5" s="199">
        <v>2027</v>
      </c>
      <c r="T5" s="199">
        <v>2027</v>
      </c>
      <c r="U5" s="145"/>
    </row>
    <row r="6" spans="1:25" ht="15" thickBot="1" x14ac:dyDescent="0.35">
      <c r="A6" s="157"/>
      <c r="B6" s="158" t="s">
        <v>64</v>
      </c>
      <c r="C6" s="146"/>
      <c r="D6" s="146"/>
      <c r="E6" s="146"/>
      <c r="F6" s="198" t="s">
        <v>25</v>
      </c>
      <c r="G6" s="198" t="s">
        <v>26</v>
      </c>
      <c r="H6" s="198" t="s">
        <v>27</v>
      </c>
      <c r="I6" s="198" t="s">
        <v>28</v>
      </c>
      <c r="J6" s="198" t="s">
        <v>29</v>
      </c>
      <c r="K6" s="198" t="s">
        <v>30</v>
      </c>
      <c r="L6" s="198" t="s">
        <v>31</v>
      </c>
      <c r="M6" s="198" t="s">
        <v>32</v>
      </c>
      <c r="N6" s="198" t="s">
        <v>33</v>
      </c>
      <c r="O6" s="198" t="s">
        <v>34</v>
      </c>
      <c r="P6" s="198" t="s">
        <v>35</v>
      </c>
      <c r="Q6" s="198" t="s">
        <v>36</v>
      </c>
      <c r="R6" s="198" t="s">
        <v>25</v>
      </c>
      <c r="S6" s="198" t="s">
        <v>26</v>
      </c>
      <c r="T6" s="198" t="s">
        <v>27</v>
      </c>
      <c r="U6" s="195" t="s">
        <v>72</v>
      </c>
    </row>
    <row r="7" spans="1:25" s="126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67" t="s">
        <v>282</v>
      </c>
      <c r="F8"/>
    </row>
    <row r="9" spans="1:25" x14ac:dyDescent="0.3">
      <c r="C9" s="168"/>
      <c r="F9"/>
    </row>
    <row r="10" spans="1:25" x14ac:dyDescent="0.3">
      <c r="C10" s="167" t="s">
        <v>48</v>
      </c>
      <c r="F10"/>
      <c r="G10" s="169"/>
      <c r="H10" s="169"/>
      <c r="I10" s="169"/>
      <c r="J10" s="169"/>
      <c r="K10" s="169"/>
      <c r="L10" s="168"/>
      <c r="M10" s="169"/>
      <c r="N10" s="169"/>
      <c r="O10" s="169"/>
      <c r="P10" s="169"/>
      <c r="Q10" s="169"/>
      <c r="R10" s="169"/>
      <c r="S10" s="169"/>
      <c r="T10" s="169"/>
      <c r="V10" s="1"/>
    </row>
    <row r="11" spans="1:25" x14ac:dyDescent="0.3">
      <c r="C11" s="168" t="s">
        <v>171</v>
      </c>
      <c r="F11" s="169">
        <f>'BS 2025'!Q14+'CF 2026'!G41</f>
        <v>8502244.7807999998</v>
      </c>
      <c r="G11" s="169">
        <f>F14+'CF 2026'!H41</f>
        <v>8941529.1808000002</v>
      </c>
      <c r="H11" s="169">
        <f>G14+'CF 2026'!I41</f>
        <v>9383821.5808000006</v>
      </c>
      <c r="I11" s="169">
        <f>H14+'CF 2026'!J41</f>
        <v>9829121.980800001</v>
      </c>
      <c r="J11" s="169">
        <f>I14+'CF 2026'!K41</f>
        <v>10277054.380800001</v>
      </c>
      <c r="K11" s="169">
        <f>J14+'CF 2026'!L41</f>
        <v>10727994.780800002</v>
      </c>
      <c r="L11" s="169">
        <f>K14+'CF 2026'!M41</f>
        <v>11181943.180800002</v>
      </c>
      <c r="M11" s="169">
        <f>L14+'CF 2026'!N41</f>
        <v>11647547.580800002</v>
      </c>
      <c r="N11" s="169">
        <f>M14+'CF 2026'!O41</f>
        <v>12116159.980800003</v>
      </c>
      <c r="O11" s="169">
        <f>N14+'CF 2026'!P41</f>
        <v>12587404.380800003</v>
      </c>
      <c r="P11" s="169">
        <f>O14+'CF 2026'!Q41</f>
        <v>13066168.780800004</v>
      </c>
      <c r="Q11" s="169">
        <f>P14+'CF 2026'!R41</f>
        <v>13545694.380800003</v>
      </c>
      <c r="R11" s="169">
        <f>'BS 2027'!F11</f>
        <v>14030098.780800004</v>
      </c>
      <c r="S11" s="169">
        <f>'BS 2027'!G11</f>
        <v>14517511.180800004</v>
      </c>
      <c r="T11" s="169">
        <f>'BS 2027'!H11</f>
        <v>15017759.580800004</v>
      </c>
      <c r="V11" s="1"/>
    </row>
    <row r="12" spans="1:25" x14ac:dyDescent="0.3">
      <c r="C12" s="168" t="s">
        <v>172</v>
      </c>
      <c r="F12" s="169"/>
      <c r="G12" s="168"/>
      <c r="H12" s="168"/>
      <c r="I12" s="168" t="s">
        <v>189</v>
      </c>
      <c r="J12" s="168"/>
      <c r="K12" s="168" t="s">
        <v>189</v>
      </c>
      <c r="L12" s="168"/>
      <c r="M12" s="168"/>
      <c r="N12" s="168"/>
      <c r="O12" s="168"/>
      <c r="P12" s="168"/>
      <c r="Q12" s="168"/>
      <c r="R12" s="168"/>
      <c r="S12" s="168" t="s">
        <v>189</v>
      </c>
      <c r="T12" s="168" t="s">
        <v>189</v>
      </c>
      <c r="V12" s="1"/>
    </row>
    <row r="13" spans="1:25" x14ac:dyDescent="0.3">
      <c r="C13" s="168" t="s">
        <v>173</v>
      </c>
      <c r="F13"/>
      <c r="I13" s="169"/>
      <c r="K13" s="169"/>
      <c r="S13" s="169"/>
      <c r="T13" s="169"/>
      <c r="V13" s="1"/>
    </row>
    <row r="14" spans="1:25" x14ac:dyDescent="0.3">
      <c r="C14" s="168" t="s">
        <v>174</v>
      </c>
      <c r="F14" s="169">
        <f>SUM(F11:F13)</f>
        <v>8502244.7807999998</v>
      </c>
      <c r="G14" s="169">
        <f t="shared" ref="G14:Q14" si="0">SUM(G11:G13)</f>
        <v>8941529.1808000002</v>
      </c>
      <c r="H14" s="169">
        <f t="shared" si="0"/>
        <v>9383821.5808000006</v>
      </c>
      <c r="I14" s="169">
        <f t="shared" si="0"/>
        <v>9829121.980800001</v>
      </c>
      <c r="J14" s="169">
        <f t="shared" si="0"/>
        <v>10277054.380800001</v>
      </c>
      <c r="K14" s="169">
        <f t="shared" si="0"/>
        <v>10727994.780800002</v>
      </c>
      <c r="L14" s="169">
        <f t="shared" si="0"/>
        <v>11181943.180800002</v>
      </c>
      <c r="M14" s="169">
        <f t="shared" si="0"/>
        <v>11647547.580800002</v>
      </c>
      <c r="N14" s="169">
        <f t="shared" si="0"/>
        <v>12116159.980800003</v>
      </c>
      <c r="O14" s="169">
        <f t="shared" si="0"/>
        <v>12587404.380800003</v>
      </c>
      <c r="P14" s="169">
        <f t="shared" si="0"/>
        <v>13066168.780800004</v>
      </c>
      <c r="Q14" s="169">
        <f t="shared" si="0"/>
        <v>13545694.380800003</v>
      </c>
      <c r="R14" s="169">
        <f t="shared" ref="R14" si="1">SUM(R11:R13)</f>
        <v>14030098.780800004</v>
      </c>
      <c r="S14" s="169">
        <f t="shared" ref="S14" si="2">SUM(S11:S13)</f>
        <v>14517511.180800004</v>
      </c>
      <c r="T14" s="169">
        <f t="shared" ref="T14" si="3">SUM(T11:T13)</f>
        <v>15017759.580800004</v>
      </c>
      <c r="U14" s="208">
        <f>SUM(F14:Q14)</f>
        <v>131806684.96960002</v>
      </c>
      <c r="V14" s="1"/>
    </row>
    <row r="15" spans="1:25" x14ac:dyDescent="0.3">
      <c r="C15" s="167" t="s">
        <v>49</v>
      </c>
      <c r="F15"/>
      <c r="G15" s="168"/>
      <c r="H15" s="168"/>
      <c r="I15" s="168"/>
      <c r="J15" s="171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V15" s="1"/>
    </row>
    <row r="16" spans="1:25" x14ac:dyDescent="0.3">
      <c r="C16" s="170" t="s">
        <v>175</v>
      </c>
      <c r="F16" s="169">
        <f>'BS 2025'!Q16-'IS 2026'!F54</f>
        <v>511392</v>
      </c>
      <c r="G16" s="169">
        <f>F16-'IS 2026'!G54</f>
        <v>513303</v>
      </c>
      <c r="H16" s="169">
        <f>G16-'IS 2026'!H54</f>
        <v>515214</v>
      </c>
      <c r="I16" s="169">
        <f>H16-'IS 2026'!I54</f>
        <v>516970</v>
      </c>
      <c r="J16" s="169">
        <f>I16-'IS 2026'!J54</f>
        <v>518726</v>
      </c>
      <c r="K16" s="169">
        <f>J16-'IS 2026'!K54</f>
        <v>520482</v>
      </c>
      <c r="L16" s="169">
        <f>K16-'IS 2026'!L54</f>
        <v>522238</v>
      </c>
      <c r="M16" s="169">
        <f>L16-'IS 2026'!M54</f>
        <v>523994</v>
      </c>
      <c r="N16" s="169">
        <f>M16-'IS 2026'!N54</f>
        <v>525750</v>
      </c>
      <c r="O16" s="169">
        <f>N16-'IS 2026'!O54</f>
        <v>527506</v>
      </c>
      <c r="P16" s="169">
        <f>O16-'IS 2026'!P54</f>
        <v>529262</v>
      </c>
      <c r="Q16" s="169">
        <f>P16-'IS 2026'!Q54</f>
        <v>531018</v>
      </c>
      <c r="R16" s="169">
        <f>'BS 2027'!F16</f>
        <v>532774</v>
      </c>
      <c r="S16" s="176">
        <f>R16-'IS 2025'!G56</f>
        <v>534624</v>
      </c>
      <c r="T16" s="176">
        <f>S16-'IS 2025'!H56</f>
        <v>536474</v>
      </c>
      <c r="V16" s="1"/>
    </row>
    <row r="17" spans="1:22" x14ac:dyDescent="0.3">
      <c r="C17" s="170" t="s">
        <v>176</v>
      </c>
      <c r="F17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V17" s="1"/>
    </row>
    <row r="18" spans="1:22" x14ac:dyDescent="0.3">
      <c r="C18" s="170" t="s">
        <v>177</v>
      </c>
      <c r="F18" s="176">
        <f>SUM(F16:F17)</f>
        <v>511392</v>
      </c>
      <c r="G18" s="176">
        <f t="shared" ref="G18:T19" si="4">SUM(G16:G17)</f>
        <v>513303</v>
      </c>
      <c r="H18" s="176">
        <f t="shared" si="4"/>
        <v>515214</v>
      </c>
      <c r="I18" s="176">
        <f t="shared" si="4"/>
        <v>516970</v>
      </c>
      <c r="J18" s="176">
        <f t="shared" si="4"/>
        <v>518726</v>
      </c>
      <c r="K18" s="176">
        <f t="shared" si="4"/>
        <v>520482</v>
      </c>
      <c r="L18" s="176">
        <f t="shared" si="4"/>
        <v>522238</v>
      </c>
      <c r="M18" s="176">
        <f t="shared" si="4"/>
        <v>523994</v>
      </c>
      <c r="N18" s="176">
        <f t="shared" si="4"/>
        <v>525750</v>
      </c>
      <c r="O18" s="176">
        <f t="shared" si="4"/>
        <v>527506</v>
      </c>
      <c r="P18" s="176">
        <f t="shared" si="4"/>
        <v>529262</v>
      </c>
      <c r="Q18" s="176">
        <f t="shared" si="4"/>
        <v>531018</v>
      </c>
      <c r="R18" s="176">
        <f t="shared" si="4"/>
        <v>532774</v>
      </c>
      <c r="S18" s="176">
        <f t="shared" si="4"/>
        <v>534624</v>
      </c>
      <c r="T18" s="176">
        <f t="shared" si="4"/>
        <v>536474</v>
      </c>
      <c r="V18" s="1"/>
    </row>
    <row r="19" spans="1:22" x14ac:dyDescent="0.3">
      <c r="A19" s="140"/>
      <c r="B19" s="145"/>
      <c r="C19" s="179" t="s">
        <v>178</v>
      </c>
      <c r="D19" s="145"/>
      <c r="E19" s="145"/>
      <c r="F19" s="180">
        <f>SUM(F17:F18)</f>
        <v>511392</v>
      </c>
      <c r="G19" s="180">
        <f t="shared" si="4"/>
        <v>513303</v>
      </c>
      <c r="H19" s="180">
        <f t="shared" si="4"/>
        <v>515214</v>
      </c>
      <c r="I19" s="180">
        <f t="shared" si="4"/>
        <v>516970</v>
      </c>
      <c r="J19" s="180">
        <f t="shared" si="4"/>
        <v>518726</v>
      </c>
      <c r="K19" s="180">
        <f t="shared" si="4"/>
        <v>520482</v>
      </c>
      <c r="L19" s="180">
        <f t="shared" si="4"/>
        <v>522238</v>
      </c>
      <c r="M19" s="180">
        <f t="shared" si="4"/>
        <v>523994</v>
      </c>
      <c r="N19" s="180">
        <f t="shared" si="4"/>
        <v>525750</v>
      </c>
      <c r="O19" s="180">
        <f t="shared" si="4"/>
        <v>527506</v>
      </c>
      <c r="P19" s="180">
        <f t="shared" si="4"/>
        <v>529262</v>
      </c>
      <c r="Q19" s="180">
        <f t="shared" si="4"/>
        <v>531018</v>
      </c>
      <c r="R19" s="180">
        <f t="shared" si="4"/>
        <v>532774</v>
      </c>
      <c r="S19" s="180">
        <f t="shared" si="4"/>
        <v>534624</v>
      </c>
      <c r="T19" s="180">
        <f t="shared" si="4"/>
        <v>536474</v>
      </c>
      <c r="U19" s="153">
        <f>SUM(F19:Q19)</f>
        <v>6255855</v>
      </c>
      <c r="V19" s="1"/>
    </row>
    <row r="20" spans="1:22" x14ac:dyDescent="0.3">
      <c r="A20" s="157"/>
      <c r="B20" s="146"/>
      <c r="C20" s="181" t="s">
        <v>50</v>
      </c>
      <c r="D20" s="146"/>
      <c r="E20" s="146"/>
      <c r="F20" s="182">
        <f>F14+F19</f>
        <v>9013636.7807999998</v>
      </c>
      <c r="G20" s="182">
        <f>G14+G19</f>
        <v>9454832.1808000002</v>
      </c>
      <c r="H20" s="182">
        <f t="shared" ref="H20:T20" si="5">H14+H19</f>
        <v>9899035.5808000006</v>
      </c>
      <c r="I20" s="182">
        <f t="shared" si="5"/>
        <v>10346091.980800001</v>
      </c>
      <c r="J20" s="182">
        <f t="shared" si="5"/>
        <v>10795780.380800001</v>
      </c>
      <c r="K20" s="182">
        <f t="shared" si="5"/>
        <v>11248476.780800002</v>
      </c>
      <c r="L20" s="182">
        <f t="shared" si="5"/>
        <v>11704181.180800002</v>
      </c>
      <c r="M20" s="182">
        <f t="shared" si="5"/>
        <v>12171541.580800002</v>
      </c>
      <c r="N20" s="182">
        <f t="shared" si="5"/>
        <v>12641909.980800003</v>
      </c>
      <c r="O20" s="182">
        <f t="shared" si="5"/>
        <v>13114910.380800003</v>
      </c>
      <c r="P20" s="182">
        <f t="shared" si="5"/>
        <v>13595430.780800004</v>
      </c>
      <c r="Q20" s="182">
        <f t="shared" si="5"/>
        <v>14076712.380800003</v>
      </c>
      <c r="R20" s="182">
        <f t="shared" si="5"/>
        <v>14562872.780800004</v>
      </c>
      <c r="S20" s="182">
        <f t="shared" si="5"/>
        <v>15052135.180800004</v>
      </c>
      <c r="T20" s="182">
        <f t="shared" si="5"/>
        <v>15554233.580800004</v>
      </c>
      <c r="U20" s="147">
        <f>SUM(F20:Q20)</f>
        <v>138062539.96960002</v>
      </c>
      <c r="V20" s="1"/>
    </row>
    <row r="21" spans="1:22" x14ac:dyDescent="0.3">
      <c r="C21" s="178" t="s">
        <v>51</v>
      </c>
      <c r="F21"/>
      <c r="I21" s="171"/>
      <c r="K21" s="171"/>
      <c r="S21" s="171"/>
      <c r="T21" s="171"/>
      <c r="V21" s="1"/>
    </row>
    <row r="22" spans="1:22" x14ac:dyDescent="0.3">
      <c r="C22" s="170" t="s">
        <v>179</v>
      </c>
      <c r="F22" s="171"/>
      <c r="G22" s="171"/>
      <c r="Q22" s="171"/>
      <c r="V22" s="1"/>
    </row>
    <row r="23" spans="1:22" x14ac:dyDescent="0.3">
      <c r="C23" s="170" t="s">
        <v>180</v>
      </c>
      <c r="F23"/>
      <c r="H23" s="171"/>
      <c r="J23" s="171"/>
      <c r="V23" s="1"/>
    </row>
    <row r="24" spans="1:22" x14ac:dyDescent="0.3">
      <c r="C24" s="168" t="s">
        <v>181</v>
      </c>
      <c r="F24" s="208">
        <f>'CF 2026'!G49</f>
        <v>-90062.6</v>
      </c>
      <c r="G24" s="208">
        <f>'CF 2026'!H49</f>
        <v>-92600.6</v>
      </c>
      <c r="H24" s="208">
        <f>'CF 2026'!I49</f>
        <v>-93352.6</v>
      </c>
      <c r="I24" s="208">
        <f>'CF 2026'!J49</f>
        <v>-94104.6</v>
      </c>
      <c r="J24" s="208">
        <f>'CF 2026'!K49</f>
        <v>-94762.6</v>
      </c>
      <c r="K24" s="208">
        <f>'CF 2026'!L49</f>
        <v>-95514.6</v>
      </c>
      <c r="L24" s="208">
        <f>'CF 2026'!M49</f>
        <v>-96266.6</v>
      </c>
      <c r="M24" s="208">
        <f>'CF 2026'!N49</f>
        <v>-99180.6</v>
      </c>
      <c r="N24" s="208">
        <f>'CF 2026'!O49</f>
        <v>-99932.6</v>
      </c>
      <c r="O24" s="208">
        <f>'CF 2026'!P49</f>
        <v>-100590.6</v>
      </c>
      <c r="P24" s="208">
        <f>'CF 2026'!Q49</f>
        <v>-102470.6</v>
      </c>
      <c r="Q24" s="208">
        <f>'CF 2026'!R49</f>
        <v>-105469.40000000001</v>
      </c>
      <c r="R24" s="208">
        <f>'CF 2026'!S49</f>
        <v>-108244.6</v>
      </c>
      <c r="S24" s="208">
        <f>'CF 2026'!T49</f>
        <v>-108996.6</v>
      </c>
      <c r="T24" s="208">
        <f>'CF 2026'!U49</f>
        <v>-111910.6</v>
      </c>
      <c r="V24" s="1"/>
    </row>
    <row r="25" spans="1:22" x14ac:dyDescent="0.3">
      <c r="A25" s="145"/>
      <c r="B25" s="145"/>
      <c r="C25" s="172" t="s">
        <v>182</v>
      </c>
      <c r="D25" s="145"/>
      <c r="E25" s="145"/>
      <c r="F25" s="153">
        <f>SUM(F22:F24)</f>
        <v>-90062.6</v>
      </c>
      <c r="G25" s="153">
        <f t="shared" ref="G25:T25" si="6">SUM(G22:G24)</f>
        <v>-92600.6</v>
      </c>
      <c r="H25" s="153">
        <f t="shared" si="6"/>
        <v>-93352.6</v>
      </c>
      <c r="I25" s="153">
        <f t="shared" si="6"/>
        <v>-94104.6</v>
      </c>
      <c r="J25" s="153">
        <f t="shared" si="6"/>
        <v>-94762.6</v>
      </c>
      <c r="K25" s="153">
        <f t="shared" si="6"/>
        <v>-95514.6</v>
      </c>
      <c r="L25" s="153">
        <f t="shared" si="6"/>
        <v>-96266.6</v>
      </c>
      <c r="M25" s="153">
        <f t="shared" si="6"/>
        <v>-99180.6</v>
      </c>
      <c r="N25" s="153">
        <f t="shared" si="6"/>
        <v>-99932.6</v>
      </c>
      <c r="O25" s="153">
        <f t="shared" si="6"/>
        <v>-100590.6</v>
      </c>
      <c r="P25" s="153">
        <f t="shared" si="6"/>
        <v>-102470.6</v>
      </c>
      <c r="Q25" s="153">
        <f t="shared" si="6"/>
        <v>-105469.40000000001</v>
      </c>
      <c r="R25" s="153">
        <f t="shared" si="6"/>
        <v>-108244.6</v>
      </c>
      <c r="S25" s="153">
        <f t="shared" si="6"/>
        <v>-108996.6</v>
      </c>
      <c r="T25" s="153">
        <f t="shared" si="6"/>
        <v>-111910.6</v>
      </c>
      <c r="U25" s="153">
        <f>SUM(F25:Q25)</f>
        <v>-1164307.9999999998</v>
      </c>
      <c r="V25" s="1"/>
    </row>
    <row r="26" spans="1:22" x14ac:dyDescent="0.3">
      <c r="A26" s="146"/>
      <c r="B26" s="146"/>
      <c r="C26" s="183" t="s">
        <v>52</v>
      </c>
      <c r="D26" s="146"/>
      <c r="E26" s="146"/>
      <c r="F26" s="147"/>
      <c r="G26" s="146"/>
      <c r="H26" s="146"/>
      <c r="I26" s="147"/>
      <c r="J26" s="146"/>
      <c r="K26" s="147"/>
      <c r="L26" s="184"/>
      <c r="M26" s="184"/>
      <c r="N26" s="184"/>
      <c r="O26" s="184"/>
      <c r="P26" s="184"/>
      <c r="Q26" s="146"/>
      <c r="R26" s="184"/>
      <c r="S26" s="147"/>
      <c r="T26" s="147"/>
      <c r="U26" s="146"/>
      <c r="V26" s="1"/>
    </row>
    <row r="27" spans="1:22" x14ac:dyDescent="0.3">
      <c r="C27" s="167" t="s">
        <v>183</v>
      </c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208">
        <f>SUM(F27:Q27)</f>
        <v>0</v>
      </c>
      <c r="V27" s="1"/>
    </row>
    <row r="28" spans="1:22" ht="12.6" customHeight="1" x14ac:dyDescent="0.3">
      <c r="C28" s="168"/>
      <c r="F28"/>
      <c r="J28" s="169" t="s">
        <v>189</v>
      </c>
      <c r="U28" s="308"/>
      <c r="V28" s="1"/>
    </row>
    <row r="29" spans="1:22" x14ac:dyDescent="0.3">
      <c r="C29" s="167" t="s">
        <v>184</v>
      </c>
      <c r="F29" s="169"/>
      <c r="G29" s="169"/>
      <c r="H29" s="169"/>
      <c r="Q29" s="169"/>
      <c r="U29" s="308"/>
      <c r="V29" s="1"/>
    </row>
    <row r="30" spans="1:22" x14ac:dyDescent="0.3">
      <c r="C30" s="170" t="s">
        <v>192</v>
      </c>
      <c r="F30" s="169"/>
      <c r="G30" s="169"/>
      <c r="H30" s="169"/>
      <c r="Q30" s="169"/>
      <c r="U30" s="308"/>
      <c r="V30" s="1"/>
    </row>
    <row r="31" spans="1:22" x14ac:dyDescent="0.3">
      <c r="C31" s="167" t="s">
        <v>185</v>
      </c>
      <c r="F31" s="176">
        <f>SUM(F27:F29)</f>
        <v>0</v>
      </c>
      <c r="G31" s="176">
        <f t="shared" ref="G31:T31" si="7">SUM(G27:G29)</f>
        <v>0</v>
      </c>
      <c r="H31" s="176">
        <f t="shared" si="7"/>
        <v>0</v>
      </c>
      <c r="I31" s="176">
        <f t="shared" si="7"/>
        <v>0</v>
      </c>
      <c r="J31" s="176">
        <f t="shared" si="7"/>
        <v>0</v>
      </c>
      <c r="K31" s="176">
        <f t="shared" si="7"/>
        <v>0</v>
      </c>
      <c r="L31" s="176">
        <f t="shared" si="7"/>
        <v>0</v>
      </c>
      <c r="M31" s="176">
        <f t="shared" si="7"/>
        <v>0</v>
      </c>
      <c r="N31" s="176">
        <f t="shared" si="7"/>
        <v>0</v>
      </c>
      <c r="O31" s="176">
        <f t="shared" si="7"/>
        <v>0</v>
      </c>
      <c r="P31" s="176">
        <f t="shared" si="7"/>
        <v>0</v>
      </c>
      <c r="Q31" s="176">
        <f t="shared" si="7"/>
        <v>0</v>
      </c>
      <c r="R31" s="176">
        <f t="shared" si="7"/>
        <v>0</v>
      </c>
      <c r="S31" s="176">
        <f t="shared" si="7"/>
        <v>0</v>
      </c>
      <c r="T31" s="176">
        <f t="shared" si="7"/>
        <v>0</v>
      </c>
      <c r="U31" s="308"/>
      <c r="V31" s="1"/>
    </row>
    <row r="32" spans="1:22" x14ac:dyDescent="0.3">
      <c r="C32" s="167" t="s">
        <v>53</v>
      </c>
      <c r="F32" s="176">
        <f>F31+F24</f>
        <v>-90062.6</v>
      </c>
      <c r="G32" s="176">
        <f t="shared" ref="G32:T32" si="8">G31+G24</f>
        <v>-92600.6</v>
      </c>
      <c r="H32" s="176">
        <f t="shared" si="8"/>
        <v>-93352.6</v>
      </c>
      <c r="I32" s="176">
        <f t="shared" si="8"/>
        <v>-94104.6</v>
      </c>
      <c r="J32" s="176">
        <f t="shared" si="8"/>
        <v>-94762.6</v>
      </c>
      <c r="K32" s="176">
        <f t="shared" si="8"/>
        <v>-95514.6</v>
      </c>
      <c r="L32" s="176">
        <f t="shared" si="8"/>
        <v>-96266.6</v>
      </c>
      <c r="M32" s="176">
        <f t="shared" si="8"/>
        <v>-99180.6</v>
      </c>
      <c r="N32" s="176">
        <f t="shared" si="8"/>
        <v>-99932.6</v>
      </c>
      <c r="O32" s="176">
        <f t="shared" si="8"/>
        <v>-100590.6</v>
      </c>
      <c r="P32" s="176">
        <f t="shared" si="8"/>
        <v>-102470.6</v>
      </c>
      <c r="Q32" s="176">
        <f t="shared" si="8"/>
        <v>-105469.40000000001</v>
      </c>
      <c r="R32" s="176">
        <f t="shared" si="8"/>
        <v>-108244.6</v>
      </c>
      <c r="S32" s="176">
        <f t="shared" si="8"/>
        <v>-108996.6</v>
      </c>
      <c r="T32" s="176">
        <f t="shared" si="8"/>
        <v>-111910.6</v>
      </c>
      <c r="U32" s="308"/>
      <c r="V32" s="1"/>
    </row>
    <row r="33" spans="3:22" x14ac:dyDescent="0.3">
      <c r="C33" s="167" t="s">
        <v>54</v>
      </c>
      <c r="F33" s="207">
        <f>F20+F32</f>
        <v>8923574.1808000002</v>
      </c>
      <c r="G33" s="207">
        <f>G20+G32</f>
        <v>9362231.5808000006</v>
      </c>
      <c r="H33" s="207">
        <f t="shared" ref="H33:T33" si="9">H20+H32</f>
        <v>9805682.980800001</v>
      </c>
      <c r="I33" s="207">
        <f t="shared" si="9"/>
        <v>10251987.380800001</v>
      </c>
      <c r="J33" s="207">
        <f t="shared" si="9"/>
        <v>10701017.780800002</v>
      </c>
      <c r="K33" s="207">
        <f t="shared" si="9"/>
        <v>11152962.180800002</v>
      </c>
      <c r="L33" s="207">
        <f t="shared" si="9"/>
        <v>11607914.580800002</v>
      </c>
      <c r="M33" s="207">
        <f t="shared" si="9"/>
        <v>12072360.980800003</v>
      </c>
      <c r="N33" s="207">
        <f t="shared" si="9"/>
        <v>12541977.380800003</v>
      </c>
      <c r="O33" s="207">
        <f t="shared" si="9"/>
        <v>13014319.780800004</v>
      </c>
      <c r="P33" s="207">
        <f t="shared" si="9"/>
        <v>13492960.180800004</v>
      </c>
      <c r="Q33" s="207">
        <f t="shared" si="9"/>
        <v>13971242.980800003</v>
      </c>
      <c r="R33" s="207">
        <f t="shared" si="9"/>
        <v>14454628.180800004</v>
      </c>
      <c r="S33" s="207">
        <f t="shared" si="9"/>
        <v>14943138.580800004</v>
      </c>
      <c r="T33" s="207">
        <f t="shared" si="9"/>
        <v>15442322.980800005</v>
      </c>
      <c r="U33" s="330">
        <f>SUM(F33:Q33)</f>
        <v>136898231.96960002</v>
      </c>
      <c r="V33" s="1"/>
    </row>
    <row r="34" spans="3:22" x14ac:dyDescent="0.3">
      <c r="C34" s="170" t="s">
        <v>56</v>
      </c>
      <c r="F34" s="168"/>
      <c r="G34" s="168"/>
      <c r="H34" s="168"/>
      <c r="I34" s="168"/>
      <c r="J34" s="169"/>
      <c r="K34" s="169"/>
      <c r="L34" s="169"/>
      <c r="M34" s="169"/>
      <c r="N34" s="169"/>
      <c r="O34" s="169"/>
      <c r="P34" s="169"/>
      <c r="Q34" s="168"/>
      <c r="R34" s="169"/>
      <c r="S34" s="169"/>
      <c r="T34" s="169"/>
      <c r="V34" s="1"/>
    </row>
    <row r="35" spans="3:22" x14ac:dyDescent="0.3">
      <c r="C35" s="170" t="s">
        <v>58</v>
      </c>
      <c r="F35" s="169">
        <f>SUM(F33:F34)</f>
        <v>8923574.1808000002</v>
      </c>
      <c r="G35" s="169">
        <f t="shared" ref="G35:T35" si="10">SUM(G33:G34)</f>
        <v>9362231.5808000006</v>
      </c>
      <c r="H35" s="169">
        <f t="shared" si="10"/>
        <v>9805682.980800001</v>
      </c>
      <c r="I35" s="169">
        <f t="shared" si="10"/>
        <v>10251987.380800001</v>
      </c>
      <c r="J35" s="169">
        <f t="shared" si="10"/>
        <v>10701017.780800002</v>
      </c>
      <c r="K35" s="169">
        <f t="shared" si="10"/>
        <v>11152962.180800002</v>
      </c>
      <c r="L35" s="169">
        <f t="shared" si="10"/>
        <v>11607914.580800002</v>
      </c>
      <c r="M35" s="169">
        <f t="shared" si="10"/>
        <v>12072360.980800003</v>
      </c>
      <c r="N35" s="169">
        <f t="shared" si="10"/>
        <v>12541977.380800003</v>
      </c>
      <c r="O35" s="169">
        <f t="shared" si="10"/>
        <v>13014319.780800004</v>
      </c>
      <c r="P35" s="169">
        <f t="shared" si="10"/>
        <v>13492960.180800004</v>
      </c>
      <c r="Q35" s="169">
        <f t="shared" si="10"/>
        <v>13971242.980800003</v>
      </c>
      <c r="R35" s="169">
        <f t="shared" si="10"/>
        <v>14454628.180800004</v>
      </c>
      <c r="S35" s="169">
        <f t="shared" si="10"/>
        <v>14943138.580800004</v>
      </c>
      <c r="T35" s="169">
        <f t="shared" si="10"/>
        <v>15442322.980800005</v>
      </c>
      <c r="V35" s="1"/>
    </row>
    <row r="36" spans="3:22" x14ac:dyDescent="0.3">
      <c r="C36" s="177" t="s">
        <v>59</v>
      </c>
      <c r="F36" s="169">
        <f>F34+F35</f>
        <v>8923574.1808000002</v>
      </c>
      <c r="G36" s="169">
        <f t="shared" ref="G36:T36" si="11">G34+G35</f>
        <v>9362231.5808000006</v>
      </c>
      <c r="H36" s="169">
        <f t="shared" si="11"/>
        <v>9805682.980800001</v>
      </c>
      <c r="I36" s="169">
        <f t="shared" si="11"/>
        <v>10251987.380800001</v>
      </c>
      <c r="J36" s="169">
        <f t="shared" si="11"/>
        <v>10701017.780800002</v>
      </c>
      <c r="K36" s="169">
        <f t="shared" si="11"/>
        <v>11152962.180800002</v>
      </c>
      <c r="L36" s="169">
        <f t="shared" si="11"/>
        <v>11607914.580800002</v>
      </c>
      <c r="M36" s="169">
        <f t="shared" si="11"/>
        <v>12072360.980800003</v>
      </c>
      <c r="N36" s="169">
        <f t="shared" si="11"/>
        <v>12541977.380800003</v>
      </c>
      <c r="O36" s="169">
        <f t="shared" si="11"/>
        <v>13014319.780800004</v>
      </c>
      <c r="P36" s="169">
        <f t="shared" si="11"/>
        <v>13492960.180800004</v>
      </c>
      <c r="Q36" s="169">
        <f t="shared" si="11"/>
        <v>13971242.980800003</v>
      </c>
      <c r="R36" s="169">
        <f t="shared" si="11"/>
        <v>14454628.180800004</v>
      </c>
      <c r="S36" s="169">
        <f t="shared" si="11"/>
        <v>14943138.580800004</v>
      </c>
      <c r="T36" s="169">
        <f t="shared" si="11"/>
        <v>15442322.980800005</v>
      </c>
      <c r="V36" s="1"/>
    </row>
    <row r="37" spans="3:22" x14ac:dyDescent="0.3">
      <c r="C37" s="170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V37" s="1"/>
    </row>
    <row r="38" spans="3:22" x14ac:dyDescent="0.3">
      <c r="C38" s="170" t="s">
        <v>186</v>
      </c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V38" s="1"/>
    </row>
    <row r="39" spans="3:22" x14ac:dyDescent="0.3">
      <c r="C39" s="170" t="s">
        <v>187</v>
      </c>
      <c r="F39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V39" s="1"/>
    </row>
    <row r="40" spans="3:22" x14ac:dyDescent="0.3">
      <c r="C40" s="170" t="s">
        <v>188</v>
      </c>
      <c r="F40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V40" s="1"/>
    </row>
    <row r="41" spans="3:22" x14ac:dyDescent="0.3">
      <c r="C41" s="170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730D-B4C0-4EB7-B0AE-D7039DAD3DD5}">
  <sheetPr codeName="Sheet37"/>
  <dimension ref="B2:V101"/>
  <sheetViews>
    <sheetView showGridLines="0" topLeftCell="B43" zoomScale="97" zoomScaleNormal="97" workbookViewId="0">
      <selection activeCell="L51" sqref="L51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72" t="s">
        <v>224</v>
      </c>
      <c r="C2" s="172"/>
      <c r="D2" s="172"/>
      <c r="E2" s="172"/>
      <c r="F2" s="145"/>
      <c r="G2" s="145"/>
      <c r="H2" s="145"/>
      <c r="I2" s="145"/>
      <c r="J2" s="145"/>
      <c r="K2" s="334" t="s">
        <v>232</v>
      </c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4" spans="2:22" x14ac:dyDescent="0.3">
      <c r="B4" s="185" t="s">
        <v>20</v>
      </c>
      <c r="C4" s="185"/>
      <c r="D4" s="185"/>
      <c r="E4" s="186">
        <v>2023</v>
      </c>
      <c r="F4" s="186">
        <v>2024</v>
      </c>
      <c r="G4" s="186">
        <v>2025</v>
      </c>
      <c r="H4" s="186">
        <v>2026</v>
      </c>
      <c r="I4" s="186">
        <v>2027</v>
      </c>
      <c r="J4" s="185"/>
      <c r="K4" s="186" t="s">
        <v>25</v>
      </c>
      <c r="L4" s="186" t="s">
        <v>26</v>
      </c>
      <c r="M4" s="186" t="s">
        <v>27</v>
      </c>
      <c r="N4" s="186" t="s">
        <v>28</v>
      </c>
      <c r="O4" s="186" t="s">
        <v>29</v>
      </c>
      <c r="P4" s="186" t="s">
        <v>30</v>
      </c>
      <c r="Q4" s="186" t="s">
        <v>31</v>
      </c>
      <c r="R4" s="186" t="s">
        <v>32</v>
      </c>
      <c r="S4" s="186" t="s">
        <v>33</v>
      </c>
      <c r="T4" s="186" t="s">
        <v>34</v>
      </c>
      <c r="U4" s="186" t="s">
        <v>35</v>
      </c>
      <c r="V4" s="186" t="s">
        <v>36</v>
      </c>
    </row>
    <row r="5" spans="2:22" x14ac:dyDescent="0.3">
      <c r="B5" t="s">
        <v>37</v>
      </c>
      <c r="E5" s="197">
        <f>'Statements Summary 2023'!V5</f>
        <v>300123</v>
      </c>
      <c r="F5" s="197">
        <f>'Statements Summary 2024'!V5</f>
        <v>366450.91200000001</v>
      </c>
      <c r="G5" s="197">
        <f>'Statements Summary 2025'!V5</f>
        <v>425730</v>
      </c>
      <c r="H5" s="197">
        <f t="shared" ref="H5:H17" si="0">V5</f>
        <v>585620</v>
      </c>
      <c r="I5" s="197">
        <f>'Statements Summary 2027'!V5</f>
        <v>656590</v>
      </c>
      <c r="K5" s="197">
        <f>'CF 2026'!G11</f>
        <v>519820</v>
      </c>
      <c r="L5" s="197">
        <f>'CF 2026'!H11</f>
        <v>532510</v>
      </c>
      <c r="M5" s="197">
        <f>'CF 2026'!I11</f>
        <v>536270</v>
      </c>
      <c r="N5" s="197">
        <f>'CF 2026'!J11</f>
        <v>540030</v>
      </c>
      <c r="O5" s="197">
        <f>'CF 2026'!K11</f>
        <v>543320</v>
      </c>
      <c r="P5" s="197">
        <f>'CF 2026'!L11</f>
        <v>547080</v>
      </c>
      <c r="Q5" s="197">
        <f>'CF 2026'!M11</f>
        <v>550840</v>
      </c>
      <c r="R5" s="197">
        <f>'CF 2026'!N11</f>
        <v>565410</v>
      </c>
      <c r="S5" s="197">
        <f>'CF 2026'!O11</f>
        <v>569170</v>
      </c>
      <c r="T5" s="197">
        <f>'CF 2026'!P11</f>
        <v>572460</v>
      </c>
      <c r="U5" s="197">
        <f>'CF 2026'!Q11</f>
        <v>581860</v>
      </c>
      <c r="V5" s="197">
        <f>'CF 2026'!R11</f>
        <v>585620</v>
      </c>
    </row>
    <row r="6" spans="2:22" x14ac:dyDescent="0.3">
      <c r="B6" t="s">
        <v>38</v>
      </c>
      <c r="E6" s="197">
        <f>'Statements Summary 2023'!V6</f>
        <v>-625</v>
      </c>
      <c r="F6" s="197">
        <f>'Statements Summary 2024'!V6</f>
        <v>-625</v>
      </c>
      <c r="G6" s="197">
        <f>'Statements Summary 2025'!V6</f>
        <v>-625</v>
      </c>
      <c r="H6" s="197">
        <f t="shared" si="0"/>
        <v>-625</v>
      </c>
      <c r="I6" s="197">
        <f>'Statements Summary 2027'!V6</f>
        <v>-625</v>
      </c>
      <c r="K6" s="197">
        <f>'CF 2026'!G15</f>
        <v>-625</v>
      </c>
      <c r="L6" s="197">
        <f>'CF 2026'!H15</f>
        <v>-625</v>
      </c>
      <c r="M6" s="197">
        <f>'CF 2026'!I15</f>
        <v>-625</v>
      </c>
      <c r="N6" s="197">
        <f>'CF 2026'!J15</f>
        <v>-625</v>
      </c>
      <c r="O6" s="197">
        <f>'CF 2026'!K15</f>
        <v>-625</v>
      </c>
      <c r="P6" s="197">
        <f>'CF 2026'!L15</f>
        <v>-625</v>
      </c>
      <c r="Q6" s="197">
        <f>'CF 2026'!M15</f>
        <v>-625</v>
      </c>
      <c r="R6" s="197">
        <f>'CF 2026'!N15</f>
        <v>-625</v>
      </c>
      <c r="S6" s="197">
        <f>'CF 2026'!O15</f>
        <v>-625</v>
      </c>
      <c r="T6" s="197">
        <f>'CF 2026'!P15</f>
        <v>-625</v>
      </c>
      <c r="U6" s="197">
        <f>'CF 2026'!Q15</f>
        <v>-625</v>
      </c>
      <c r="V6" s="197">
        <f>'CF 2026'!R15</f>
        <v>-625</v>
      </c>
    </row>
    <row r="7" spans="2:22" x14ac:dyDescent="0.3">
      <c r="B7" t="s">
        <v>39</v>
      </c>
      <c r="E7" s="197">
        <f>'Statements Summary 2023'!V7</f>
        <v>-16818</v>
      </c>
      <c r="F7" s="197">
        <f>'Statements Summary 2024'!V7</f>
        <v>-16818</v>
      </c>
      <c r="G7" s="197">
        <f>'Statements Summary 2025'!V7</f>
        <v>0</v>
      </c>
      <c r="H7" s="197">
        <f t="shared" si="0"/>
        <v>0</v>
      </c>
      <c r="I7" s="197">
        <f>'Statements Summary 2027'!V7</f>
        <v>0</v>
      </c>
      <c r="K7" s="197" t="s">
        <v>189</v>
      </c>
      <c r="L7" s="197">
        <f>'CF 2026'!H31</f>
        <v>0</v>
      </c>
      <c r="M7" s="197">
        <f>'CF 2026'!I31</f>
        <v>0</v>
      </c>
      <c r="N7" s="197">
        <f>'CF 2026'!J31</f>
        <v>0</v>
      </c>
      <c r="O7" s="197">
        <f>'CF 2026'!K31</f>
        <v>0</v>
      </c>
      <c r="P7" s="197">
        <f>'CF 2026'!L31</f>
        <v>0</v>
      </c>
      <c r="Q7" s="197">
        <f>'CF 2026'!M31</f>
        <v>0</v>
      </c>
      <c r="R7" s="197">
        <f>'CF 2026'!N31</f>
        <v>0</v>
      </c>
      <c r="S7" s="197">
        <f>'CF 2026'!O31</f>
        <v>0</v>
      </c>
      <c r="T7" s="197">
        <f>'CF 2026'!P31</f>
        <v>0</v>
      </c>
      <c r="U7" s="197">
        <f>'CF 2026'!Q31</f>
        <v>0</v>
      </c>
      <c r="V7" s="197">
        <f>'CF 2026'!R31</f>
        <v>0</v>
      </c>
    </row>
    <row r="8" spans="2:22" x14ac:dyDescent="0.3">
      <c r="B8" t="s">
        <v>14</v>
      </c>
      <c r="E8" s="197">
        <f>'Statements Summary 2023'!V8</f>
        <v>170658</v>
      </c>
      <c r="F8" s="197">
        <f>'Statements Summary 2024'!V8</f>
        <v>264083.52960000001</v>
      </c>
      <c r="G8" s="197">
        <f>'Statements Summary 2025'!V8</f>
        <v>340344</v>
      </c>
      <c r="H8" s="197">
        <f t="shared" si="0"/>
        <v>479525.6</v>
      </c>
      <c r="I8" s="197">
        <f>'Statements Summary 2027'!V8</f>
        <v>537481.6</v>
      </c>
      <c r="K8" s="197">
        <f>'CF 2026'!G20</f>
        <v>429132.4</v>
      </c>
      <c r="L8" s="197">
        <f>'CF 2026'!H20</f>
        <v>439284.4</v>
      </c>
      <c r="M8" s="197">
        <f>'CF 2026'!I20</f>
        <v>442292.4</v>
      </c>
      <c r="N8" s="197">
        <f>'CF 2026'!J20</f>
        <v>445300.4</v>
      </c>
      <c r="O8" s="197">
        <f>'CF 2026'!K20</f>
        <v>447932.4</v>
      </c>
      <c r="P8" s="197">
        <f>'CF 2026'!L20</f>
        <v>450940.4</v>
      </c>
      <c r="Q8" s="197">
        <f>'CF 2026'!M20</f>
        <v>453948.4</v>
      </c>
      <c r="R8" s="197">
        <f>'CF 2026'!N20</f>
        <v>465604.4</v>
      </c>
      <c r="S8" s="197">
        <f>'CF 2026'!O20</f>
        <v>468612.4</v>
      </c>
      <c r="T8" s="197">
        <f>'CF 2026'!P20</f>
        <v>471244.4</v>
      </c>
      <c r="U8" s="197">
        <f>'CF 2026'!Q20</f>
        <v>478764.4</v>
      </c>
      <c r="V8" s="197">
        <f>'CF 2026'!R20</f>
        <v>479525.6</v>
      </c>
    </row>
    <row r="9" spans="2:22" x14ac:dyDescent="0.3">
      <c r="B9" t="s">
        <v>40</v>
      </c>
      <c r="E9" s="197" t="str">
        <f>'Statements Summary 2023'!V9</f>
        <v>-</v>
      </c>
      <c r="F9" s="197" t="str">
        <f>'Statements Summary 2024'!V9</f>
        <v>-</v>
      </c>
      <c r="G9" s="197">
        <f>'Statements Summary 2025'!V9</f>
        <v>0</v>
      </c>
      <c r="H9" s="197">
        <f t="shared" si="0"/>
        <v>0</v>
      </c>
      <c r="I9" s="197">
        <f>'Statements Summary 2027'!V9</f>
        <v>0</v>
      </c>
      <c r="K9" s="197">
        <f>'CF 2026'!G25</f>
        <v>0</v>
      </c>
      <c r="L9" s="197">
        <f>'CF 2026'!H25</f>
        <v>0</v>
      </c>
      <c r="M9" s="197">
        <f>'CF 2026'!I25</f>
        <v>0</v>
      </c>
      <c r="N9" s="197">
        <f>'CF 2026'!J25</f>
        <v>0</v>
      </c>
      <c r="O9" s="197">
        <f>'CF 2026'!K25</f>
        <v>0</v>
      </c>
      <c r="P9" s="197">
        <f>'CF 2026'!L25</f>
        <v>0</v>
      </c>
      <c r="Q9" s="197">
        <f>'CF 2026'!M25</f>
        <v>0</v>
      </c>
      <c r="R9" s="197">
        <f>'CF 2026'!N25</f>
        <v>0</v>
      </c>
      <c r="S9" s="197">
        <f>'CF 2026'!O25</f>
        <v>0</v>
      </c>
      <c r="T9" s="197">
        <f>'CF 2026'!P25</f>
        <v>0</v>
      </c>
      <c r="U9" s="197">
        <f>'CF 2026'!Q25</f>
        <v>0</v>
      </c>
      <c r="V9" s="197">
        <f>'CF 2026'!R25</f>
        <v>0</v>
      </c>
    </row>
    <row r="10" spans="2:22" x14ac:dyDescent="0.3">
      <c r="B10" t="s">
        <v>41</v>
      </c>
      <c r="E10" s="197" t="str">
        <f>'Statements Summary 2023'!V10</f>
        <v>-</v>
      </c>
      <c r="F10" s="197" t="str">
        <f>'Statements Summary 2024'!V10</f>
        <v>-</v>
      </c>
      <c r="G10" s="197" t="str">
        <f>'Statements Summary 2025'!V10</f>
        <v>-</v>
      </c>
      <c r="H10" s="197" t="str">
        <f t="shared" si="0"/>
        <v>-</v>
      </c>
      <c r="I10" s="197" t="str">
        <f>'Statements Summary 2027'!V10</f>
        <v>-</v>
      </c>
      <c r="K10" s="197" t="s">
        <v>189</v>
      </c>
      <c r="L10" s="197" t="s">
        <v>189</v>
      </c>
      <c r="M10" s="197" t="s">
        <v>189</v>
      </c>
      <c r="N10" s="197" t="s">
        <v>189</v>
      </c>
      <c r="O10" s="197" t="s">
        <v>189</v>
      </c>
      <c r="P10" s="197" t="s">
        <v>189</v>
      </c>
      <c r="Q10" s="197" t="s">
        <v>189</v>
      </c>
      <c r="R10" s="197" t="s">
        <v>189</v>
      </c>
      <c r="S10" s="197" t="s">
        <v>189</v>
      </c>
      <c r="T10" s="197" t="s">
        <v>189</v>
      </c>
      <c r="U10" s="197" t="s">
        <v>189</v>
      </c>
      <c r="V10" s="197" t="s">
        <v>189</v>
      </c>
    </row>
    <row r="11" spans="2:22" x14ac:dyDescent="0.3">
      <c r="B11" t="s">
        <v>42</v>
      </c>
      <c r="E11" s="197" t="str">
        <f>'Statements Summary 2023'!V11</f>
        <v>-</v>
      </c>
      <c r="F11" s="197" t="str">
        <f>'Statements Summary 2024'!V11</f>
        <v>-</v>
      </c>
      <c r="G11" s="197" t="str">
        <f>'Statements Summary 2025'!V11</f>
        <v>-</v>
      </c>
      <c r="H11" s="197" t="str">
        <f t="shared" si="0"/>
        <v>-</v>
      </c>
      <c r="I11" s="197" t="str">
        <f>'Statements Summary 2027'!V11</f>
        <v>-</v>
      </c>
      <c r="K11" s="197">
        <f>'CF 2026'!G25</f>
        <v>0</v>
      </c>
      <c r="L11" s="197" t="s">
        <v>189</v>
      </c>
      <c r="M11" s="197" t="s">
        <v>189</v>
      </c>
      <c r="N11" s="197" t="s">
        <v>189</v>
      </c>
      <c r="O11" s="197" t="s">
        <v>189</v>
      </c>
      <c r="P11" s="197" t="s">
        <v>189</v>
      </c>
      <c r="Q11" s="197" t="s">
        <v>189</v>
      </c>
      <c r="R11" s="197" t="s">
        <v>189</v>
      </c>
      <c r="S11" s="197" t="s">
        <v>189</v>
      </c>
      <c r="T11" s="197" t="s">
        <v>189</v>
      </c>
      <c r="U11" s="197" t="s">
        <v>189</v>
      </c>
      <c r="V11" s="197" t="s">
        <v>189</v>
      </c>
    </row>
    <row r="12" spans="2:22" x14ac:dyDescent="0.3">
      <c r="B12" t="s">
        <v>43</v>
      </c>
      <c r="E12" s="197">
        <f>'Statements Summary 2023'!V12</f>
        <v>-16818</v>
      </c>
      <c r="F12" s="197">
        <f>'Statements Summary 2024'!V12</f>
        <v>-16818</v>
      </c>
      <c r="G12" s="197">
        <f>'Statements Summary 2025'!V12</f>
        <v>0</v>
      </c>
      <c r="H12" s="197">
        <f t="shared" si="0"/>
        <v>0</v>
      </c>
      <c r="I12" s="197">
        <f>'Statements Summary 2027'!V12</f>
        <v>0</v>
      </c>
      <c r="K12" s="197" t="s">
        <v>189</v>
      </c>
      <c r="L12" s="197">
        <f>'CF 2026'!H31</f>
        <v>0</v>
      </c>
      <c r="M12" s="197">
        <f>'CF 2026'!I31</f>
        <v>0</v>
      </c>
      <c r="N12" s="197">
        <f>'CF 2026'!J31</f>
        <v>0</v>
      </c>
      <c r="O12" s="197">
        <f>'CF 2026'!K31</f>
        <v>0</v>
      </c>
      <c r="P12" s="197">
        <f>'CF 2026'!L31</f>
        <v>0</v>
      </c>
      <c r="Q12" s="197">
        <f>'CF 2026'!M31</f>
        <v>0</v>
      </c>
      <c r="R12" s="197">
        <f>'CF 2026'!N31</f>
        <v>0</v>
      </c>
      <c r="S12" s="197">
        <f>'CF 2026'!O31</f>
        <v>0</v>
      </c>
      <c r="T12" s="197">
        <f>'CF 2026'!P31</f>
        <v>0</v>
      </c>
      <c r="U12" s="197">
        <f>'CF 2026'!Q31</f>
        <v>0</v>
      </c>
      <c r="V12" s="197">
        <f>'CF 2026'!R31</f>
        <v>0</v>
      </c>
    </row>
    <row r="13" spans="2:22" x14ac:dyDescent="0.3">
      <c r="B13" t="s">
        <v>44</v>
      </c>
      <c r="E13" s="197" t="str">
        <f>'Statements Summary 2023'!V13</f>
        <v>-</v>
      </c>
      <c r="F13" s="197" t="str">
        <f>'Statements Summary 2024'!V13</f>
        <v>-</v>
      </c>
      <c r="G13" s="197" t="str">
        <f>'Statements Summary 2025'!V13</f>
        <v>-</v>
      </c>
      <c r="H13" s="197" t="str">
        <f t="shared" si="0"/>
        <v>-</v>
      </c>
      <c r="I13" s="197" t="str">
        <f>'Statements Summary 2027'!V13</f>
        <v>-</v>
      </c>
      <c r="K13" s="197" t="s">
        <v>189</v>
      </c>
      <c r="L13" s="197" t="s">
        <v>189</v>
      </c>
      <c r="M13" s="197" t="s">
        <v>189</v>
      </c>
      <c r="N13" s="197" t="s">
        <v>189</v>
      </c>
      <c r="O13" s="197" t="s">
        <v>189</v>
      </c>
      <c r="P13" s="197" t="s">
        <v>189</v>
      </c>
      <c r="Q13" s="197" t="s">
        <v>189</v>
      </c>
      <c r="R13" s="197" t="s">
        <v>189</v>
      </c>
      <c r="S13" s="197" t="s">
        <v>189</v>
      </c>
      <c r="T13" s="197" t="s">
        <v>189</v>
      </c>
      <c r="U13" s="197" t="s">
        <v>189</v>
      </c>
      <c r="V13" s="197" t="s">
        <v>189</v>
      </c>
    </row>
    <row r="14" spans="2:22" x14ac:dyDescent="0.3">
      <c r="B14" t="s">
        <v>45</v>
      </c>
      <c r="E14" s="197" t="str">
        <f>'Statements Summary 2023'!V14</f>
        <v>-</v>
      </c>
      <c r="F14" s="197" t="str">
        <f>'Statements Summary 2024'!V14</f>
        <v>-</v>
      </c>
      <c r="G14" s="197" t="str">
        <f>'Statements Summary 2025'!V14</f>
        <v>-</v>
      </c>
      <c r="H14" s="197" t="str">
        <f t="shared" si="0"/>
        <v>-</v>
      </c>
      <c r="I14" s="197" t="str">
        <f>'Statements Summary 2027'!V14</f>
        <v>-</v>
      </c>
      <c r="K14" s="197" t="s">
        <v>189</v>
      </c>
      <c r="L14" s="197" t="s">
        <v>189</v>
      </c>
      <c r="M14" s="197" t="s">
        <v>189</v>
      </c>
      <c r="N14" s="197" t="s">
        <v>189</v>
      </c>
      <c r="O14" s="197" t="s">
        <v>189</v>
      </c>
      <c r="P14" s="197" t="s">
        <v>189</v>
      </c>
      <c r="Q14" s="197" t="s">
        <v>189</v>
      </c>
      <c r="R14" s="197" t="s">
        <v>189</v>
      </c>
      <c r="S14" s="197" t="s">
        <v>189</v>
      </c>
      <c r="T14" s="197" t="s">
        <v>189</v>
      </c>
      <c r="U14" s="197" t="s">
        <v>189</v>
      </c>
      <c r="V14" s="197" t="s">
        <v>189</v>
      </c>
    </row>
    <row r="15" spans="2:22" x14ac:dyDescent="0.3">
      <c r="B15" t="s">
        <v>46</v>
      </c>
      <c r="E15" s="197">
        <f>'Statements Summary 2023'!V15</f>
        <v>-16818</v>
      </c>
      <c r="F15" s="197">
        <f>'Statements Summary 2024'!V15</f>
        <v>-16818</v>
      </c>
      <c r="G15" s="197">
        <f>'Statements Summary 2025'!V15</f>
        <v>0</v>
      </c>
      <c r="H15" s="197">
        <f t="shared" si="0"/>
        <v>0</v>
      </c>
      <c r="I15" s="197">
        <f>'Statements Summary 2027'!V15</f>
        <v>0</v>
      </c>
      <c r="K15" s="197" t="s">
        <v>189</v>
      </c>
      <c r="L15" s="197">
        <f>'CF 2026'!H31</f>
        <v>0</v>
      </c>
      <c r="M15" s="197">
        <f>'CF 2026'!I31</f>
        <v>0</v>
      </c>
      <c r="N15" s="197">
        <f>'CF 2026'!J31</f>
        <v>0</v>
      </c>
      <c r="O15" s="197">
        <f>'CF 2026'!K31</f>
        <v>0</v>
      </c>
      <c r="P15" s="197">
        <f>'CF 2026'!L31</f>
        <v>0</v>
      </c>
      <c r="Q15" s="197">
        <f>'CF 2026'!M31</f>
        <v>0</v>
      </c>
      <c r="R15" s="197">
        <f>'CF 2026'!N31</f>
        <v>0</v>
      </c>
      <c r="S15" s="197">
        <f>'CF 2026'!O31</f>
        <v>0</v>
      </c>
      <c r="T15" s="197">
        <f>'CF 2026'!P31</f>
        <v>0</v>
      </c>
      <c r="U15" s="197">
        <f>'CF 2026'!Q31</f>
        <v>0</v>
      </c>
      <c r="V15" s="197">
        <f>'CF 2026'!R31</f>
        <v>0</v>
      </c>
    </row>
    <row r="16" spans="2:22" x14ac:dyDescent="0.3">
      <c r="B16" t="s">
        <v>194</v>
      </c>
      <c r="E16" s="197">
        <f>'Statements Summary 2023'!V16</f>
        <v>170658</v>
      </c>
      <c r="F16" s="197">
        <f>'Statements Summary 2024'!V16</f>
        <v>264083.52960000001</v>
      </c>
      <c r="G16" s="197">
        <f>'Statements Summary 2025'!V16</f>
        <v>340344</v>
      </c>
      <c r="H16" s="197">
        <f t="shared" si="0"/>
        <v>479525.6</v>
      </c>
      <c r="I16" s="197">
        <f>'Statements Summary 2027'!V16</f>
        <v>537481.6</v>
      </c>
      <c r="K16" s="197">
        <f>'CF 2026'!G20</f>
        <v>429132.4</v>
      </c>
      <c r="L16" s="197">
        <f>'CF 2026'!H20</f>
        <v>439284.4</v>
      </c>
      <c r="M16" s="197">
        <f>'CF 2026'!I20</f>
        <v>442292.4</v>
      </c>
      <c r="N16" s="197">
        <f>'CF 2026'!J20</f>
        <v>445300.4</v>
      </c>
      <c r="O16" s="197">
        <f>'CF 2026'!K20</f>
        <v>447932.4</v>
      </c>
      <c r="P16" s="197">
        <f>'CF 2026'!L20</f>
        <v>450940.4</v>
      </c>
      <c r="Q16" s="197">
        <f>'CF 2026'!M20</f>
        <v>453948.4</v>
      </c>
      <c r="R16" s="197">
        <f>'CF 2026'!N20</f>
        <v>465604.4</v>
      </c>
      <c r="S16" s="197">
        <f>'CF 2026'!O20</f>
        <v>468612.4</v>
      </c>
      <c r="T16" s="197">
        <f>'CF 2026'!P20</f>
        <v>471244.4</v>
      </c>
      <c r="U16" s="197">
        <f>'CF 2026'!Q20</f>
        <v>478764.4</v>
      </c>
      <c r="V16" s="197">
        <f>'CF 2026'!R20</f>
        <v>479525.6</v>
      </c>
    </row>
    <row r="17" spans="2:22" x14ac:dyDescent="0.3">
      <c r="B17" t="s">
        <v>47</v>
      </c>
      <c r="E17" s="197">
        <f>'Statements Summary 2023'!V17</f>
        <v>324498</v>
      </c>
      <c r="F17" s="197">
        <f>'Statements Summary 2024'!V17</f>
        <v>511349.05920000002</v>
      </c>
      <c r="G17" s="197">
        <f>'Statements Summary 2025'!V17</f>
        <v>680688</v>
      </c>
      <c r="H17" s="197">
        <f t="shared" si="0"/>
        <v>959051.20000000007</v>
      </c>
      <c r="I17" s="197">
        <f>'Statements Summary 2027'!V17</f>
        <v>1074963.2000000002</v>
      </c>
      <c r="K17" s="197">
        <f>'CF 2026'!G41+'CF 2026'!G18+'CF 2026'!G19</f>
        <v>858264.8</v>
      </c>
      <c r="L17" s="197">
        <f>'CF 2026'!H41+'CF 2026'!H18+'CF 2026'!H19</f>
        <v>878568.8</v>
      </c>
      <c r="M17" s="197">
        <f>'CF 2026'!I41+'CF 2026'!I18+'CF 2026'!I19</f>
        <v>884584.8</v>
      </c>
      <c r="N17" s="197">
        <f>'CF 2026'!J41+'CF 2026'!J18+'CF 2026'!J19</f>
        <v>890600.8</v>
      </c>
      <c r="O17" s="197">
        <f>'CF 2026'!K41+'CF 2026'!K18+'CF 2026'!K19</f>
        <v>895864.8</v>
      </c>
      <c r="P17" s="197">
        <f>'CF 2026'!L41+'CF 2026'!L18+'CF 2026'!L19</f>
        <v>901880.8</v>
      </c>
      <c r="Q17" s="197">
        <f>'CF 2026'!M41+'CF 2026'!M18+'CF 2026'!M19</f>
        <v>907896.8</v>
      </c>
      <c r="R17" s="197">
        <f>'CF 2026'!N41+'CF 2026'!N18+'CF 2026'!N19</f>
        <v>931208.8</v>
      </c>
      <c r="S17" s="197">
        <f>'CF 2026'!O41+'CF 2026'!O18+'CF 2026'!O19</f>
        <v>937224.8</v>
      </c>
      <c r="T17" s="197">
        <f>'CF 2026'!P41+'CF 2026'!P18+'CF 2026'!P19</f>
        <v>942488.8</v>
      </c>
      <c r="U17" s="197">
        <f>'CF 2026'!Q41+'CF 2026'!Q18+'CF 2026'!Q19</f>
        <v>957528.79999999993</v>
      </c>
      <c r="V17" s="197">
        <f>'CF 2026'!R41+'CF 2026'!R18+'CF 2026'!R19</f>
        <v>959051.20000000007</v>
      </c>
    </row>
    <row r="19" spans="2:22" x14ac:dyDescent="0.3">
      <c r="B19" s="172" t="s">
        <v>224</v>
      </c>
      <c r="C19" s="145"/>
      <c r="D19" s="145"/>
      <c r="E19" s="145"/>
      <c r="F19" s="145"/>
      <c r="G19" s="145"/>
      <c r="H19" s="145"/>
      <c r="I19" s="145"/>
      <c r="K19" s="334" t="s">
        <v>232</v>
      </c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</row>
    <row r="42" spans="2:22" x14ac:dyDescent="0.3">
      <c r="B42" s="172" t="s">
        <v>225</v>
      </c>
      <c r="C42" s="172"/>
      <c r="D42" s="172"/>
      <c r="E42" s="172"/>
      <c r="F42" s="145"/>
      <c r="G42" s="145"/>
      <c r="H42" s="145"/>
      <c r="I42" s="145"/>
      <c r="J42" s="145"/>
      <c r="K42" s="334" t="s">
        <v>233</v>
      </c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</row>
    <row r="44" spans="2:22" x14ac:dyDescent="0.3">
      <c r="B44" s="185" t="s">
        <v>20</v>
      </c>
      <c r="C44" s="185"/>
      <c r="D44" s="185"/>
      <c r="E44" s="186">
        <v>2023</v>
      </c>
      <c r="F44" s="186">
        <v>2024</v>
      </c>
      <c r="G44" s="186">
        <v>2025</v>
      </c>
      <c r="H44" s="186">
        <v>2026</v>
      </c>
      <c r="I44" s="186">
        <v>2027</v>
      </c>
      <c r="J44" s="185"/>
      <c r="K44" s="185" t="s">
        <v>25</v>
      </c>
      <c r="L44" s="185" t="s">
        <v>26</v>
      </c>
      <c r="M44" s="185" t="s">
        <v>27</v>
      </c>
      <c r="N44" s="185" t="s">
        <v>28</v>
      </c>
      <c r="O44" s="185" t="s">
        <v>29</v>
      </c>
      <c r="P44" s="185" t="s">
        <v>30</v>
      </c>
      <c r="Q44" s="185" t="s">
        <v>31</v>
      </c>
      <c r="R44" s="185" t="s">
        <v>32</v>
      </c>
      <c r="S44" s="185" t="s">
        <v>33</v>
      </c>
      <c r="T44" s="185" t="s">
        <v>34</v>
      </c>
      <c r="U44" s="185" t="s">
        <v>35</v>
      </c>
      <c r="V44" s="185" t="s">
        <v>36</v>
      </c>
    </row>
    <row r="45" spans="2:22" x14ac:dyDescent="0.3">
      <c r="B45" s="14" t="s">
        <v>2</v>
      </c>
      <c r="C45" s="14"/>
      <c r="D45" s="14"/>
      <c r="E45" s="187">
        <f>'Statements Summary 2023'!V44</f>
        <v>300123</v>
      </c>
      <c r="F45" s="187">
        <f>'Statements Summary 2024'!V45</f>
        <v>366450.91200000001</v>
      </c>
      <c r="G45" s="187">
        <f>'Statements Summary 2025'!V45</f>
        <v>425730</v>
      </c>
      <c r="H45" s="187">
        <f t="shared" ref="H45:H65" si="1">V45</f>
        <v>585620</v>
      </c>
      <c r="I45" s="187">
        <f>'Statements Summary 2027'!V45</f>
        <v>656590</v>
      </c>
      <c r="K45" s="187">
        <f>'IS 2026'!F13</f>
        <v>519820</v>
      </c>
      <c r="L45" s="187">
        <f>'IS 2026'!G13</f>
        <v>532510</v>
      </c>
      <c r="M45" s="187">
        <f>'IS 2026'!H13</f>
        <v>536270</v>
      </c>
      <c r="N45" s="187">
        <f>'IS 2026'!I13</f>
        <v>540030</v>
      </c>
      <c r="O45" s="187">
        <f>'IS 2026'!J13</f>
        <v>543320</v>
      </c>
      <c r="P45" s="187">
        <f>'IS 2026'!K13</f>
        <v>547080</v>
      </c>
      <c r="Q45" s="187">
        <f>'IS 2026'!L13</f>
        <v>550840</v>
      </c>
      <c r="R45" s="187">
        <f>'IS 2026'!M13</f>
        <v>565410</v>
      </c>
      <c r="S45" s="187">
        <f>'IS 2026'!N13</f>
        <v>569170</v>
      </c>
      <c r="T45" s="187">
        <f>'IS 2026'!O13</f>
        <v>572460</v>
      </c>
      <c r="U45" s="187">
        <f>'IS 2026'!P13</f>
        <v>581860</v>
      </c>
      <c r="V45" s="187">
        <f>'IS 2026'!Q13</f>
        <v>585620</v>
      </c>
    </row>
    <row r="46" spans="2:22" x14ac:dyDescent="0.3">
      <c r="B46" t="s">
        <v>21</v>
      </c>
      <c r="E46" s="1">
        <f>'Statements Summary 2023'!V45</f>
        <v>-4.1174271830702436E-2</v>
      </c>
      <c r="F46" s="2">
        <f>'Statements Summary 2024'!V46</f>
        <v>4.0916530278233172E-3</v>
      </c>
      <c r="G46" s="2">
        <f>'Statements Summary 2025'!V46</f>
        <v>7.8671328671328672E-2</v>
      </c>
      <c r="H46" s="2">
        <f t="shared" si="1"/>
        <v>6.462035541195477E-3</v>
      </c>
      <c r="I46" s="2">
        <f>'Statements Summary 2027'!V46</f>
        <v>5.7595392368610509E-3</v>
      </c>
      <c r="K46" s="2"/>
      <c r="L46" s="2">
        <f t="shared" ref="L46" si="2">(L45-K45)/K45</f>
        <v>2.4412296564195298E-2</v>
      </c>
      <c r="M46" s="2">
        <f>(M45-L45)/L45</f>
        <v>7.0609002647837602E-3</v>
      </c>
      <c r="N46" s="2">
        <f>(N45-M45)/M45</f>
        <v>7.0113935144609993E-3</v>
      </c>
      <c r="O46" s="2">
        <f t="shared" ref="O46:T46" si="3">(O45-N45)/N45</f>
        <v>6.0922541340295913E-3</v>
      </c>
      <c r="P46" s="2">
        <f t="shared" si="3"/>
        <v>6.920415224913495E-3</v>
      </c>
      <c r="Q46" s="2">
        <f t="shared" si="3"/>
        <v>6.8728522336769758E-3</v>
      </c>
      <c r="R46" s="2">
        <f t="shared" si="3"/>
        <v>2.6450511945392493E-2</v>
      </c>
      <c r="S46" s="2">
        <f t="shared" si="3"/>
        <v>6.6500415627597674E-3</v>
      </c>
      <c r="T46" s="2">
        <f t="shared" si="3"/>
        <v>5.7803468208092483E-3</v>
      </c>
      <c r="U46" s="2">
        <f>(U45-T45)/T45</f>
        <v>1.6420361247947456E-2</v>
      </c>
      <c r="V46" s="2">
        <f t="shared" ref="V46" si="4">(V45-U45)/U45</f>
        <v>6.462035541195477E-3</v>
      </c>
    </row>
    <row r="47" spans="2:22" x14ac:dyDescent="0.3">
      <c r="B47" t="s">
        <v>3</v>
      </c>
      <c r="E47" s="1">
        <f>'Statements Summary 2023'!V46</f>
        <v>-10390</v>
      </c>
      <c r="F47" s="1">
        <f>'Statements Summary 2024'!V47</f>
        <v>-10390</v>
      </c>
      <c r="G47" s="1">
        <f>'Statements Summary 2025'!V47</f>
        <v>8610</v>
      </c>
      <c r="H47" s="1">
        <f t="shared" si="1"/>
        <v>-32544</v>
      </c>
      <c r="I47" s="1">
        <f>'Statements Summary 2027'!V47</f>
        <v>-38444</v>
      </c>
      <c r="K47" s="1">
        <f>'IS 2026'!F14</f>
        <v>-32544</v>
      </c>
      <c r="L47" s="1">
        <f>'IS 2026'!G14</f>
        <v>-32544</v>
      </c>
      <c r="M47" s="1">
        <f>'IS 2026'!H14</f>
        <v>-32544</v>
      </c>
      <c r="N47" s="1">
        <f>'IS 2026'!I14</f>
        <v>-32544</v>
      </c>
      <c r="O47" s="1">
        <f>'IS 2026'!J14</f>
        <v>-32544</v>
      </c>
      <c r="P47" s="1">
        <f>'IS 2026'!K14</f>
        <v>-32544</v>
      </c>
      <c r="Q47" s="1">
        <f>'IS 2026'!L14</f>
        <v>-32544</v>
      </c>
      <c r="R47" s="1">
        <f>'IS 2026'!M14</f>
        <v>-32544</v>
      </c>
      <c r="S47" s="1">
        <f>'IS 2026'!N14</f>
        <v>-32544</v>
      </c>
      <c r="T47" s="1">
        <f>'IS 2026'!O14</f>
        <v>-32544</v>
      </c>
      <c r="U47" s="1">
        <f>'IS 2026'!P14</f>
        <v>-32544</v>
      </c>
      <c r="V47" s="1">
        <f>'IS 2026'!Q14</f>
        <v>-32544</v>
      </c>
    </row>
    <row r="48" spans="2:22" x14ac:dyDescent="0.3">
      <c r="B48" t="s">
        <v>22</v>
      </c>
      <c r="E48" s="2">
        <f>'Statements Summary 2023'!V47</f>
        <v>-3.4619139486144014E-2</v>
      </c>
      <c r="F48" s="2">
        <f>'Statements Summary 2024'!V48</f>
        <v>-2.8353047187940957E-2</v>
      </c>
      <c r="G48" s="2">
        <f>'Statements Summary 2025'!V48</f>
        <v>2.0224085688112185E-2</v>
      </c>
      <c r="H48" s="2">
        <f t="shared" si="1"/>
        <v>-5.5571872545336569E-2</v>
      </c>
      <c r="I48" s="2">
        <f>'Statements Summary 2027'!V48</f>
        <v>-5.8550998339907706E-2</v>
      </c>
      <c r="K48" s="2">
        <f>K47/K45</f>
        <v>-6.26062867915817E-2</v>
      </c>
      <c r="L48" s="2">
        <f t="shared" ref="L48:V48" si="5">L47/L45</f>
        <v>-6.111434527051135E-2</v>
      </c>
      <c r="M48" s="2">
        <f t="shared" si="5"/>
        <v>-6.0685848546441157E-2</v>
      </c>
      <c r="N48" s="2">
        <f t="shared" si="5"/>
        <v>-6.0263318704516414E-2</v>
      </c>
      <c r="O48" s="2">
        <f t="shared" si="5"/>
        <v>-5.9898402414783183E-2</v>
      </c>
      <c r="P48" s="2">
        <f t="shared" si="5"/>
        <v>-5.9486729545953063E-2</v>
      </c>
      <c r="Q48" s="2">
        <f t="shared" si="5"/>
        <v>-5.9080676784547238E-2</v>
      </c>
      <c r="R48" s="2">
        <f t="shared" si="5"/>
        <v>-5.7558232079376027E-2</v>
      </c>
      <c r="S48" s="2">
        <f t="shared" si="5"/>
        <v>-5.717799602930583E-2</v>
      </c>
      <c r="T48" s="2">
        <f t="shared" si="5"/>
        <v>-5.684938685672361E-2</v>
      </c>
      <c r="U48" s="2">
        <f t="shared" si="5"/>
        <v>-5.5930979960815315E-2</v>
      </c>
      <c r="V48" s="2">
        <f t="shared" si="5"/>
        <v>-5.5571872545336569E-2</v>
      </c>
    </row>
    <row r="49" spans="2:22" x14ac:dyDescent="0.3">
      <c r="B49" t="s">
        <v>4</v>
      </c>
      <c r="E49" s="1">
        <f>'Statements Summary 2023'!V48</f>
        <v>289733</v>
      </c>
      <c r="F49" s="1">
        <f>'Statements Summary 2024'!V49</f>
        <v>356060.91200000001</v>
      </c>
      <c r="G49" s="1">
        <f>'Statements Summary 2025'!V49</f>
        <v>434340</v>
      </c>
      <c r="H49" s="1">
        <f t="shared" si="1"/>
        <v>553076</v>
      </c>
      <c r="I49" s="1">
        <f>'Statements Summary 2027'!V49</f>
        <v>618146</v>
      </c>
      <c r="K49" s="1">
        <f>'IS 2026'!F22</f>
        <v>487276</v>
      </c>
      <c r="L49" s="1">
        <f>'IS 2026'!G22</f>
        <v>499966</v>
      </c>
      <c r="M49" s="1">
        <f>'IS 2026'!H22</f>
        <v>503726</v>
      </c>
      <c r="N49" s="1">
        <f>'IS 2026'!I22</f>
        <v>507486</v>
      </c>
      <c r="O49" s="1">
        <f>'IS 2026'!J22</f>
        <v>510776</v>
      </c>
      <c r="P49" s="1">
        <f>'IS 2026'!K22</f>
        <v>514536</v>
      </c>
      <c r="Q49" s="1">
        <f>'IS 2026'!L22</f>
        <v>518296</v>
      </c>
      <c r="R49" s="1">
        <f>'IS 2026'!M22</f>
        <v>532866</v>
      </c>
      <c r="S49" s="1">
        <f>'IS 2026'!N22</f>
        <v>536626</v>
      </c>
      <c r="T49" s="1">
        <f>'IS 2026'!O22</f>
        <v>539916</v>
      </c>
      <c r="U49" s="1">
        <f>'IS 2026'!P22</f>
        <v>549316</v>
      </c>
      <c r="V49" s="1">
        <f>'IS 2026'!Q22</f>
        <v>553076</v>
      </c>
    </row>
    <row r="50" spans="2:22" x14ac:dyDescent="0.3">
      <c r="B50" t="s">
        <v>23</v>
      </c>
      <c r="E50" s="2">
        <f>'Statements Summary 2023'!V49</f>
        <v>0.96538086051385597</v>
      </c>
      <c r="F50" s="2">
        <f>'Statements Summary 2024'!V50</f>
        <v>0.97164695281205904</v>
      </c>
      <c r="G50" s="2">
        <f>'Statements Summary 2025'!V50</f>
        <v>1.0202240856881122</v>
      </c>
      <c r="H50" s="2">
        <f t="shared" si="1"/>
        <v>0.94442812745466342</v>
      </c>
      <c r="I50" s="2">
        <f>'Statements Summary 2027'!V50</f>
        <v>0.94144900166009227</v>
      </c>
      <c r="K50" s="2">
        <f>K49/K45</f>
        <v>0.93739371320841824</v>
      </c>
      <c r="L50" s="2">
        <f t="shared" ref="L50:V50" si="6">L49/L45</f>
        <v>0.93888565472948859</v>
      </c>
      <c r="M50" s="2">
        <f t="shared" si="6"/>
        <v>0.93931415145355879</v>
      </c>
      <c r="N50" s="2">
        <f t="shared" si="6"/>
        <v>0.9397366812954836</v>
      </c>
      <c r="O50" s="2">
        <f t="shared" si="6"/>
        <v>0.94010159758521683</v>
      </c>
      <c r="P50" s="2">
        <f t="shared" si="6"/>
        <v>0.94051327045404698</v>
      </c>
      <c r="Q50" s="2">
        <f t="shared" si="6"/>
        <v>0.9409193232154528</v>
      </c>
      <c r="R50" s="2">
        <f t="shared" si="6"/>
        <v>0.94244176792062395</v>
      </c>
      <c r="S50" s="2">
        <f t="shared" si="6"/>
        <v>0.94282200397069416</v>
      </c>
      <c r="T50" s="2">
        <f t="shared" si="6"/>
        <v>0.94315061314327642</v>
      </c>
      <c r="U50" s="2">
        <f t="shared" si="6"/>
        <v>0.94406902003918469</v>
      </c>
      <c r="V50" s="2">
        <f t="shared" si="6"/>
        <v>0.94442812745466342</v>
      </c>
    </row>
    <row r="51" spans="2:22" x14ac:dyDescent="0.3">
      <c r="B51" t="s">
        <v>5</v>
      </c>
      <c r="E51" s="1">
        <f>'Statements Summary 2023'!V50</f>
        <v>-2285</v>
      </c>
      <c r="F51" s="1">
        <f>'Statements Summary 2024'!V51</f>
        <v>-2285</v>
      </c>
      <c r="G51" s="1">
        <f>'Statements Summary 2025'!V51</f>
        <v>-2285</v>
      </c>
      <c r="H51" s="1">
        <f t="shared" si="1"/>
        <v>-17479</v>
      </c>
      <c r="I51" s="1">
        <f>'Statements Summary 2027'!V51</f>
        <v>-17479</v>
      </c>
      <c r="K51" s="1">
        <f>'IS 2026'!F33</f>
        <v>-28713</v>
      </c>
      <c r="L51" s="1">
        <f>'IS 2026'!G33</f>
        <v>-28713</v>
      </c>
      <c r="M51" s="1">
        <f>'IS 2026'!H33</f>
        <v>-28713</v>
      </c>
      <c r="N51" s="1">
        <f>'IS 2026'!I33</f>
        <v>-28713</v>
      </c>
      <c r="O51" s="1">
        <f>'IS 2026'!J33</f>
        <v>-28713</v>
      </c>
      <c r="P51" s="1">
        <f>'IS 2026'!K33</f>
        <v>-28713</v>
      </c>
      <c r="Q51" s="1">
        <f>'IS 2026'!L33</f>
        <v>-28713</v>
      </c>
      <c r="R51" s="1">
        <f>'IS 2026'!M33</f>
        <v>-28713</v>
      </c>
      <c r="S51" s="1">
        <f>'IS 2026'!N33</f>
        <v>-28713</v>
      </c>
      <c r="T51" s="1">
        <f>'IS 2026'!O33</f>
        <v>-28713</v>
      </c>
      <c r="U51" s="1">
        <f>'IS 2026'!P33</f>
        <v>-28713</v>
      </c>
      <c r="V51" s="1">
        <f>'IS 2026'!Q33</f>
        <v>-17479</v>
      </c>
    </row>
    <row r="52" spans="2:22" x14ac:dyDescent="0.3">
      <c r="B52" t="s">
        <v>22</v>
      </c>
      <c r="E52" s="2">
        <f>'Statements Summary 2023'!V51</f>
        <v>-7.6135451131702668E-3</v>
      </c>
      <c r="F52" s="2">
        <f>'Statements Summary 2024'!V52</f>
        <v>-6.2354872785798932E-3</v>
      </c>
      <c r="G52" s="2">
        <f>'Statements Summary 2025'!V52</f>
        <v>-5.3672515444060792E-3</v>
      </c>
      <c r="H52" s="2">
        <f t="shared" si="1"/>
        <v>-2.9846999760937125E-2</v>
      </c>
      <c r="I52" s="2">
        <f>'Statements Summary 2027'!V52</f>
        <v>-2.6620874518344783E-2</v>
      </c>
      <c r="K52" s="2">
        <f>K51/K45</f>
        <v>-5.5236427994305719E-2</v>
      </c>
      <c r="L52" s="2">
        <f t="shared" ref="L52:V52" si="7">L51/L45</f>
        <v>-5.3920114176259602E-2</v>
      </c>
      <c r="M52" s="2">
        <f t="shared" si="7"/>
        <v>-5.3542059037425177E-2</v>
      </c>
      <c r="N52" s="2">
        <f t="shared" si="7"/>
        <v>-5.3169268373979221E-2</v>
      </c>
      <c r="O52" s="2">
        <f t="shared" si="7"/>
        <v>-5.2847309136420523E-2</v>
      </c>
      <c r="P52" s="2">
        <f t="shared" si="7"/>
        <v>-5.248409738977846E-2</v>
      </c>
      <c r="Q52" s="2">
        <f t="shared" si="7"/>
        <v>-5.2125844165274854E-2</v>
      </c>
      <c r="R52" s="2">
        <f t="shared" si="7"/>
        <v>-5.0782617923276915E-2</v>
      </c>
      <c r="S52" s="2">
        <f t="shared" si="7"/>
        <v>-5.0447142330059563E-2</v>
      </c>
      <c r="T52" s="2">
        <f t="shared" si="7"/>
        <v>-5.015721622471439E-2</v>
      </c>
      <c r="U52" s="2">
        <f t="shared" si="7"/>
        <v>-4.9346921939985564E-2</v>
      </c>
      <c r="V52" s="2">
        <f t="shared" si="7"/>
        <v>-2.9846999760937125E-2</v>
      </c>
    </row>
    <row r="53" spans="2:22" x14ac:dyDescent="0.3">
      <c r="B53" t="s">
        <v>190</v>
      </c>
      <c r="E53" s="1">
        <f>'Statements Summary 2023'!V52</f>
        <v>-4063</v>
      </c>
      <c r="F53" s="1">
        <f>'Statements Summary 2024'!V53</f>
        <v>-4063</v>
      </c>
      <c r="G53" s="1">
        <f>'Statements Summary 2025'!V53</f>
        <v>-45063</v>
      </c>
      <c r="H53" s="1">
        <f t="shared" si="1"/>
        <v>-45063</v>
      </c>
      <c r="I53" s="1">
        <f>'Statements Summary 2027'!V53</f>
        <v>-45063</v>
      </c>
      <c r="K53" s="1">
        <f>'IS 2026'!F34</f>
        <v>-45063</v>
      </c>
      <c r="L53" s="1">
        <f>'IS 2026'!G34</f>
        <v>-45063</v>
      </c>
      <c r="M53" s="1">
        <f>'IS 2026'!H34</f>
        <v>-45063</v>
      </c>
      <c r="N53" s="1">
        <f>'IS 2026'!I34</f>
        <v>-45063</v>
      </c>
      <c r="O53" s="1">
        <f>'IS 2026'!J34</f>
        <v>-45063</v>
      </c>
      <c r="P53" s="1">
        <f>'IS 2026'!K34</f>
        <v>-45063</v>
      </c>
      <c r="Q53" s="1">
        <f>'IS 2026'!L34</f>
        <v>-45063</v>
      </c>
      <c r="R53" s="1">
        <f>'IS 2026'!M34</f>
        <v>-45063</v>
      </c>
      <c r="S53" s="1">
        <f>'IS 2026'!N34</f>
        <v>-45063</v>
      </c>
      <c r="T53" s="1">
        <f>'IS 2026'!O34</f>
        <v>-45063</v>
      </c>
      <c r="U53" s="1">
        <f>'IS 2026'!P34</f>
        <v>-45063</v>
      </c>
      <c r="V53" s="1">
        <f>'IS 2026'!Q34</f>
        <v>-45063</v>
      </c>
    </row>
    <row r="54" spans="2:22" x14ac:dyDescent="0.3">
      <c r="B54" t="s">
        <v>22</v>
      </c>
      <c r="E54" s="2">
        <f>'Statements Summary 2023'!V53</f>
        <v>-1.3537782842367962E-2</v>
      </c>
      <c r="F54" s="2">
        <f>'Statements Summary 2024'!V54</f>
        <v>-1.1087433178498952E-2</v>
      </c>
      <c r="G54" s="2">
        <f>'Statements Summary 2025'!V54</f>
        <v>-0.10584877739412303</v>
      </c>
      <c r="H54" s="2">
        <f t="shared" si="1"/>
        <v>-7.6949216215293187E-2</v>
      </c>
      <c r="I54" s="2">
        <f>'Statements Summary 2027'!V54</f>
        <v>-6.863187072602385E-2</v>
      </c>
      <c r="K54" s="2">
        <f>K53/K45</f>
        <v>-8.6689623331153098E-2</v>
      </c>
      <c r="L54" s="2">
        <f t="shared" ref="L54:V54" si="8">L53/L45</f>
        <v>-8.4623762934029415E-2</v>
      </c>
      <c r="M54" s="2">
        <f t="shared" si="8"/>
        <v>-8.4030432431424468E-2</v>
      </c>
      <c r="N54" s="2">
        <f t="shared" si="8"/>
        <v>-8.3445364146436316E-2</v>
      </c>
      <c r="O54" s="2">
        <f t="shared" si="8"/>
        <v>-8.2940072149009794E-2</v>
      </c>
      <c r="P54" s="2">
        <f t="shared" si="8"/>
        <v>-8.2370037288879136E-2</v>
      </c>
      <c r="Q54" s="2">
        <f t="shared" si="8"/>
        <v>-8.1807784474620573E-2</v>
      </c>
      <c r="R54" s="2">
        <f t="shared" si="8"/>
        <v>-7.9699686952830695E-2</v>
      </c>
      <c r="S54" s="2">
        <f t="shared" si="8"/>
        <v>-7.9173182001862366E-2</v>
      </c>
      <c r="T54" s="2">
        <f t="shared" si="8"/>
        <v>-7.8718163714495332E-2</v>
      </c>
      <c r="U54" s="2">
        <f t="shared" si="8"/>
        <v>-7.7446464785343547E-2</v>
      </c>
      <c r="V54" s="2">
        <f t="shared" si="8"/>
        <v>-7.6949216215293187E-2</v>
      </c>
    </row>
    <row r="55" spans="2:22" x14ac:dyDescent="0.3">
      <c r="B55" t="s">
        <v>24</v>
      </c>
      <c r="E55" s="1">
        <f>'Statements Summary 2023'!V54</f>
        <v>-8250</v>
      </c>
      <c r="F55" s="1">
        <f>'Statements Summary 2024'!V55</f>
        <v>-8250</v>
      </c>
      <c r="G55" s="1">
        <f>'Statements Summary 2025'!V55</f>
        <v>-8250</v>
      </c>
      <c r="H55" s="1">
        <f t="shared" si="1"/>
        <v>-8250</v>
      </c>
      <c r="I55" s="1">
        <f>'Statements Summary 2027'!V55</f>
        <v>-8250</v>
      </c>
      <c r="K55" s="1">
        <f>'IS 2026'!F52</f>
        <v>-8250</v>
      </c>
      <c r="L55" s="1">
        <f>'IS 2026'!G52</f>
        <v>-8250</v>
      </c>
      <c r="M55" s="1">
        <f>'IS 2026'!H52</f>
        <v>-8250</v>
      </c>
      <c r="N55" s="1">
        <f>'IS 2026'!I52</f>
        <v>-8250</v>
      </c>
      <c r="O55" s="1">
        <f>'IS 2026'!J52</f>
        <v>-8250</v>
      </c>
      <c r="P55" s="1">
        <f>'IS 2026'!K52</f>
        <v>-8250</v>
      </c>
      <c r="Q55" s="1">
        <f>'IS 2026'!L52</f>
        <v>-8250</v>
      </c>
      <c r="R55" s="1">
        <f>'IS 2026'!M52</f>
        <v>-8250</v>
      </c>
      <c r="S55" s="1">
        <f>'IS 2026'!N52</f>
        <v>-8250</v>
      </c>
      <c r="T55" s="1">
        <f>'IS 2026'!O52</f>
        <v>-8250</v>
      </c>
      <c r="U55" s="1">
        <f>'IS 2026'!P52</f>
        <v>-8250</v>
      </c>
      <c r="V55" s="1">
        <f>'IS 2026'!Q52</f>
        <v>-8250</v>
      </c>
    </row>
    <row r="56" spans="2:22" x14ac:dyDescent="0.3">
      <c r="B56" t="s">
        <v>22</v>
      </c>
      <c r="E56" s="2">
        <f>'Statements Summary 2023'!V55</f>
        <v>-2.748872962085545E-2</v>
      </c>
      <c r="F56" s="2">
        <f>'Statements Summary 2024'!V56</f>
        <v>-2.2513247285901147E-2</v>
      </c>
      <c r="G56" s="2">
        <f>'Statements Summary 2025'!V56</f>
        <v>-1.9378479317877527E-2</v>
      </c>
      <c r="H56" s="2">
        <f t="shared" si="1"/>
        <v>-1.4087633619070387E-2</v>
      </c>
      <c r="I56" s="2">
        <f>'Statements Summary 2027'!V56</f>
        <v>-1.2564918746858771E-2</v>
      </c>
      <c r="K56" s="2">
        <f>K55/K45</f>
        <v>-1.5870878380978032E-2</v>
      </c>
      <c r="L56" s="2">
        <f t="shared" ref="L56:V56" si="9">L55/L45</f>
        <v>-1.549266680437926E-2</v>
      </c>
      <c r="M56" s="2">
        <f t="shared" si="9"/>
        <v>-1.538404162082533E-2</v>
      </c>
      <c r="N56" s="2">
        <f t="shared" si="9"/>
        <v>-1.5276929059496694E-2</v>
      </c>
      <c r="O56" s="2">
        <f t="shared" si="9"/>
        <v>-1.5184421703600088E-2</v>
      </c>
      <c r="P56" s="2">
        <f t="shared" si="9"/>
        <v>-1.5080061416977408E-2</v>
      </c>
      <c r="Q56" s="2">
        <f t="shared" si="9"/>
        <v>-1.4977125844165275E-2</v>
      </c>
      <c r="R56" s="2">
        <f t="shared" si="9"/>
        <v>-1.4591181620417042E-2</v>
      </c>
      <c r="S56" s="2">
        <f t="shared" si="9"/>
        <v>-1.4494790660083983E-2</v>
      </c>
      <c r="T56" s="2">
        <f t="shared" si="9"/>
        <v>-1.4411487265485799E-2</v>
      </c>
      <c r="U56" s="2">
        <f t="shared" si="9"/>
        <v>-1.417866840820816E-2</v>
      </c>
      <c r="V56" s="2">
        <f t="shared" si="9"/>
        <v>-1.4087633619070387E-2</v>
      </c>
    </row>
    <row r="57" spans="2:22" x14ac:dyDescent="0.3">
      <c r="B57" s="14" t="s">
        <v>6</v>
      </c>
      <c r="C57" s="14"/>
      <c r="D57" s="14"/>
      <c r="E57" s="187">
        <f>'Statements Summary 2023'!V56</f>
        <v>279198</v>
      </c>
      <c r="F57" s="187">
        <f>'Statements Summary 2024'!V57</f>
        <v>345525.91200000001</v>
      </c>
      <c r="G57" s="187">
        <f>'Statements Summary 2025'!V57</f>
        <v>423805</v>
      </c>
      <c r="H57" s="187">
        <f t="shared" si="1"/>
        <v>527347</v>
      </c>
      <c r="I57" s="187">
        <f>'Statements Summary 2027'!V57</f>
        <v>592417</v>
      </c>
      <c r="K57" s="187">
        <f>'IS 2026'!F53</f>
        <v>450313</v>
      </c>
      <c r="L57" s="187">
        <f>'IS 2026'!G53</f>
        <v>463003</v>
      </c>
      <c r="M57" s="187">
        <f>'IS 2026'!H53</f>
        <v>466763</v>
      </c>
      <c r="N57" s="187">
        <f>'IS 2026'!I53</f>
        <v>470523</v>
      </c>
      <c r="O57" s="187">
        <f>'IS 2026'!J53</f>
        <v>473813</v>
      </c>
      <c r="P57" s="187">
        <f>'IS 2026'!K53</f>
        <v>477573</v>
      </c>
      <c r="Q57" s="187">
        <f>'IS 2026'!L53</f>
        <v>481333</v>
      </c>
      <c r="R57" s="187">
        <f>'IS 2026'!M53</f>
        <v>495903</v>
      </c>
      <c r="S57" s="187">
        <f>'IS 2026'!N53</f>
        <v>499663</v>
      </c>
      <c r="T57" s="187">
        <f>'IS 2026'!O53</f>
        <v>502953</v>
      </c>
      <c r="U57" s="187">
        <f>'IS 2026'!P53</f>
        <v>512353</v>
      </c>
      <c r="V57" s="187">
        <f>'IS 2026'!Q53</f>
        <v>527347</v>
      </c>
    </row>
    <row r="58" spans="2:22" x14ac:dyDescent="0.3">
      <c r="B58" t="s">
        <v>15</v>
      </c>
      <c r="E58" s="2">
        <f>'Statements Summary 2023'!V57</f>
        <v>0.93027858577983025</v>
      </c>
      <c r="F58" s="2">
        <f>'Statements Summary 2024'!V58</f>
        <v>0.94289821824757802</v>
      </c>
      <c r="G58" s="2">
        <f>'Statements Summary 2025'!V58</f>
        <v>0.99547835482582858</v>
      </c>
      <c r="H58" s="2">
        <f t="shared" si="1"/>
        <v>0.90049349407465595</v>
      </c>
      <c r="I58" s="2">
        <f>'Statements Summary 2027'!V58</f>
        <v>0.90226320839488872</v>
      </c>
      <c r="K58" s="2">
        <f>K57/K45</f>
        <v>0.86628640683313451</v>
      </c>
      <c r="L58" s="2">
        <f t="shared" ref="L58:V58" si="10">L57/L45</f>
        <v>0.86947287374884974</v>
      </c>
      <c r="M58" s="2">
        <f t="shared" si="10"/>
        <v>0.87038805079530834</v>
      </c>
      <c r="N58" s="2">
        <f t="shared" si="10"/>
        <v>0.87129048386200769</v>
      </c>
      <c r="O58" s="2">
        <f t="shared" si="10"/>
        <v>0.87206986674519615</v>
      </c>
      <c r="P58" s="2">
        <f t="shared" si="10"/>
        <v>0.87294911164729105</v>
      </c>
      <c r="Q58" s="2">
        <f t="shared" si="10"/>
        <v>0.87381635320601259</v>
      </c>
      <c r="R58" s="2">
        <f t="shared" si="10"/>
        <v>0.87706796837693002</v>
      </c>
      <c r="S58" s="2">
        <f t="shared" si="10"/>
        <v>0.87788007098055065</v>
      </c>
      <c r="T58" s="2">
        <f t="shared" si="10"/>
        <v>0.87858190965307614</v>
      </c>
      <c r="U58" s="2">
        <f t="shared" si="10"/>
        <v>0.88054342969099098</v>
      </c>
      <c r="V58" s="2">
        <f t="shared" si="10"/>
        <v>0.90049349407465595</v>
      </c>
    </row>
    <row r="59" spans="2:22" x14ac:dyDescent="0.3">
      <c r="B59" t="s">
        <v>7</v>
      </c>
      <c r="E59" s="1">
        <f>'Statements Summary 2023'!V58</f>
        <v>-1711</v>
      </c>
      <c r="F59" s="1">
        <f>'Statements Summary 2024'!V59</f>
        <v>-1850</v>
      </c>
      <c r="G59" s="1">
        <f>'Statements Summary 2025'!V59</f>
        <v>-1911</v>
      </c>
      <c r="H59" s="1">
        <f t="shared" si="1"/>
        <v>-1756</v>
      </c>
      <c r="I59" s="1">
        <f>'Statements Summary 2027'!V59</f>
        <v>-1800</v>
      </c>
      <c r="K59">
        <f>'IS 2026'!F54</f>
        <v>-1911</v>
      </c>
      <c r="L59">
        <f>'IS 2026'!G54</f>
        <v>-1911</v>
      </c>
      <c r="M59">
        <f>'IS 2026'!H54</f>
        <v>-1911</v>
      </c>
      <c r="N59">
        <f>'IS 2026'!I54</f>
        <v>-1756</v>
      </c>
      <c r="O59">
        <f>'IS 2026'!J54</f>
        <v>-1756</v>
      </c>
      <c r="P59">
        <f>'IS 2026'!K54</f>
        <v>-1756</v>
      </c>
      <c r="Q59">
        <f>'IS 2026'!L54</f>
        <v>-1756</v>
      </c>
      <c r="R59">
        <f>'IS 2026'!M54</f>
        <v>-1756</v>
      </c>
      <c r="S59">
        <f>'IS 2026'!N54</f>
        <v>-1756</v>
      </c>
      <c r="T59">
        <f>'IS 2026'!O54</f>
        <v>-1756</v>
      </c>
      <c r="U59">
        <f>'IS 2026'!P54</f>
        <v>-1756</v>
      </c>
      <c r="V59">
        <f>'IS 2026'!Q54</f>
        <v>-1756</v>
      </c>
    </row>
    <row r="60" spans="2:22" x14ac:dyDescent="0.3">
      <c r="B60" t="s">
        <v>8</v>
      </c>
      <c r="E60" s="1">
        <f>'Statements Summary 2023'!V59</f>
        <v>277487</v>
      </c>
      <c r="F60" s="1">
        <f>'Statements Summary 2024'!V60</f>
        <v>343675.91200000001</v>
      </c>
      <c r="G60" s="1">
        <f>'Statements Summary 2025'!V60</f>
        <v>425716</v>
      </c>
      <c r="H60" s="1">
        <f t="shared" si="1"/>
        <v>525591</v>
      </c>
      <c r="I60" s="1">
        <f>'Statements Summary 2027'!V60</f>
        <v>590617</v>
      </c>
      <c r="K60" s="1">
        <f>'IS 2026'!F55</f>
        <v>448402</v>
      </c>
      <c r="L60" s="1">
        <f>'IS 2026'!G55</f>
        <v>461092</v>
      </c>
      <c r="M60" s="1">
        <f>'IS 2026'!H55</f>
        <v>464852</v>
      </c>
      <c r="N60" s="1">
        <f>'IS 2026'!I55</f>
        <v>468767</v>
      </c>
      <c r="O60" s="1">
        <f>'IS 2026'!J55</f>
        <v>472057</v>
      </c>
      <c r="P60" s="1">
        <f>'IS 2026'!K55</f>
        <v>475817</v>
      </c>
      <c r="Q60" s="1">
        <f>'IS 2026'!L55</f>
        <v>479577</v>
      </c>
      <c r="R60" s="1">
        <f>'IS 2026'!M55</f>
        <v>494147</v>
      </c>
      <c r="S60" s="1">
        <f>'IS 2026'!N55</f>
        <v>497907</v>
      </c>
      <c r="T60" s="1">
        <f>'IS 2026'!O55</f>
        <v>501197</v>
      </c>
      <c r="U60" s="1">
        <f>'IS 2026'!P55</f>
        <v>510597</v>
      </c>
      <c r="V60" s="1">
        <f>'IS 2026'!Q55</f>
        <v>525591</v>
      </c>
    </row>
    <row r="61" spans="2:22" x14ac:dyDescent="0.3">
      <c r="B61" t="s">
        <v>9</v>
      </c>
      <c r="E61" s="1">
        <f>'Statements Summary 2023'!V60</f>
        <v>-73000.400000000009</v>
      </c>
      <c r="F61" s="1">
        <f>'Statements Summary 2024'!V61</f>
        <v>-32637.200000000001</v>
      </c>
      <c r="G61" s="1">
        <f>'Statements Summary 2025'!V61</f>
        <v>0</v>
      </c>
      <c r="H61" s="1">
        <f t="shared" si="1"/>
        <v>0</v>
      </c>
      <c r="I61" s="1">
        <f>'Statements Summary 2027'!V61</f>
        <v>0</v>
      </c>
      <c r="K61" s="1">
        <f>'IS 2026'!F56</f>
        <v>0</v>
      </c>
      <c r="L61" s="1">
        <f>'IS 2026'!G56</f>
        <v>0</v>
      </c>
      <c r="M61" s="1">
        <f>'IS 2026'!H56</f>
        <v>0</v>
      </c>
      <c r="N61" s="1">
        <f>'IS 2026'!I56</f>
        <v>0</v>
      </c>
      <c r="O61" s="1">
        <f>'IS 2026'!J56</f>
        <v>0</v>
      </c>
      <c r="P61" s="1">
        <f>'IS 2026'!K56</f>
        <v>0</v>
      </c>
      <c r="Q61" s="1">
        <f>'IS 2026'!L56</f>
        <v>0</v>
      </c>
      <c r="R61" s="1">
        <f>'IS 2026'!M56</f>
        <v>0</v>
      </c>
      <c r="S61" s="1">
        <f>'IS 2026'!N56</f>
        <v>0</v>
      </c>
      <c r="T61" s="1">
        <f>'IS 2026'!O56</f>
        <v>0</v>
      </c>
      <c r="U61" s="1">
        <f>'IS 2026'!P56</f>
        <v>0</v>
      </c>
      <c r="V61" s="1">
        <f>'IS 2026'!Q56</f>
        <v>0</v>
      </c>
    </row>
    <row r="62" spans="2:22" x14ac:dyDescent="0.3">
      <c r="B62" t="s">
        <v>10</v>
      </c>
      <c r="E62" s="1">
        <f>'Statements Summary 2023'!V61</f>
        <v>279198</v>
      </c>
      <c r="F62" s="1">
        <f>'Statements Summary 2024'!V62</f>
        <v>345525.91200000001</v>
      </c>
      <c r="G62" s="1">
        <f>'Statements Summary 2025'!V62</f>
        <v>423805</v>
      </c>
      <c r="H62" s="1">
        <f t="shared" si="1"/>
        <v>527347</v>
      </c>
      <c r="I62" s="1">
        <f>'Statements Summary 2027'!V62</f>
        <v>592417</v>
      </c>
      <c r="K62" s="1">
        <f>'IS 2026'!F57</f>
        <v>450313</v>
      </c>
      <c r="L62" s="1">
        <f>'IS 2026'!G57</f>
        <v>463003</v>
      </c>
      <c r="M62" s="1">
        <f>'IS 2026'!H57</f>
        <v>466763</v>
      </c>
      <c r="N62" s="1">
        <f>'IS 2026'!I57</f>
        <v>470523</v>
      </c>
      <c r="O62" s="1">
        <f>'IS 2026'!J57</f>
        <v>473813</v>
      </c>
      <c r="P62" s="1">
        <f>'IS 2026'!K57</f>
        <v>477573</v>
      </c>
      <c r="Q62" s="1">
        <f>'IS 2026'!L57</f>
        <v>481333</v>
      </c>
      <c r="R62" s="1">
        <f>'IS 2026'!M57</f>
        <v>495903</v>
      </c>
      <c r="S62" s="1">
        <f>'IS 2026'!N57</f>
        <v>499663</v>
      </c>
      <c r="T62" s="1">
        <f>'IS 2026'!O57</f>
        <v>502953</v>
      </c>
      <c r="U62" s="1">
        <f>'IS 2026'!P57</f>
        <v>512353</v>
      </c>
      <c r="V62" s="1">
        <f>'IS 2026'!Q57</f>
        <v>527347</v>
      </c>
    </row>
    <row r="63" spans="2:22" x14ac:dyDescent="0.3">
      <c r="B63" t="s">
        <v>11</v>
      </c>
      <c r="E63" s="1">
        <f>'Statements Summary 2023'!V62</f>
        <v>-55839.600000000006</v>
      </c>
      <c r="F63" s="1">
        <f>'Statements Summary 2024'!V63</f>
        <v>-69105.182400000005</v>
      </c>
      <c r="G63" s="1">
        <f>'Statements Summary 2025'!V63</f>
        <v>-84761</v>
      </c>
      <c r="H63" s="1">
        <f t="shared" si="1"/>
        <v>-105469.40000000001</v>
      </c>
      <c r="I63" s="1">
        <f>'Statements Summary 2027'!V63</f>
        <v>-105469.40000000001</v>
      </c>
      <c r="K63" s="1">
        <f>'IS 2026'!F58</f>
        <v>-90062.6</v>
      </c>
      <c r="L63" s="1">
        <f>'IS 2026'!G58</f>
        <v>-92600.6</v>
      </c>
      <c r="M63" s="1">
        <f>'IS 2026'!H58</f>
        <v>-93352.6</v>
      </c>
      <c r="N63" s="1">
        <f>'IS 2026'!I58</f>
        <v>-94104.6</v>
      </c>
      <c r="O63" s="1">
        <f>'IS 2026'!J58</f>
        <v>-94762.6</v>
      </c>
      <c r="P63" s="1">
        <f>'IS 2026'!K58</f>
        <v>-95514.6</v>
      </c>
      <c r="Q63" s="1">
        <f>'IS 2026'!L58</f>
        <v>-96266.6</v>
      </c>
      <c r="R63" s="1">
        <f>'IS 2026'!M58</f>
        <v>-99180.6</v>
      </c>
      <c r="S63" s="1">
        <f>'IS 2026'!N58</f>
        <v>-99932.6</v>
      </c>
      <c r="T63" s="1">
        <f>'IS 2026'!O58</f>
        <v>-100590.6</v>
      </c>
      <c r="U63" s="1">
        <f>'IS 2026'!P58</f>
        <v>-102470.6</v>
      </c>
      <c r="V63" s="1">
        <f>'IS 2026'!Q58</f>
        <v>-105469.40000000001</v>
      </c>
    </row>
    <row r="64" spans="2:22" x14ac:dyDescent="0.3">
      <c r="B64" s="14" t="s">
        <v>12</v>
      </c>
      <c r="C64" s="14"/>
      <c r="D64" s="14"/>
      <c r="E64" s="187">
        <f>'Statements Summary 2023'!V63</f>
        <v>223358.4</v>
      </c>
      <c r="F64" s="187">
        <f>'Statements Summary 2024'!V64</f>
        <v>276420.72960000002</v>
      </c>
      <c r="G64" s="187">
        <f>'Statements Summary 2025'!V64</f>
        <v>339044</v>
      </c>
      <c r="H64" s="187">
        <f t="shared" si="1"/>
        <v>421877.6</v>
      </c>
      <c r="I64" s="187">
        <f>'Statements Summary 2027'!V64</f>
        <v>473933.6</v>
      </c>
      <c r="K64" s="187">
        <f>'IS 2026'!F59</f>
        <v>360250.4</v>
      </c>
      <c r="L64" s="187">
        <f>'IS 2026'!G59</f>
        <v>370402.4</v>
      </c>
      <c r="M64" s="187">
        <f>'IS 2026'!H59</f>
        <v>373410.4</v>
      </c>
      <c r="N64" s="187">
        <f>'IS 2026'!I59</f>
        <v>376418.4</v>
      </c>
      <c r="O64" s="187">
        <f>'IS 2026'!J59</f>
        <v>379050.4</v>
      </c>
      <c r="P64" s="187">
        <f>'IS 2026'!K59</f>
        <v>382058.4</v>
      </c>
      <c r="Q64" s="187">
        <f>'IS 2026'!L59</f>
        <v>385066.4</v>
      </c>
      <c r="R64" s="187">
        <f>'IS 2026'!M59</f>
        <v>396722.4</v>
      </c>
      <c r="S64" s="187">
        <f>'IS 2026'!N59</f>
        <v>399730.4</v>
      </c>
      <c r="T64" s="187">
        <f>'IS 2026'!O59</f>
        <v>402362.4</v>
      </c>
      <c r="U64" s="187">
        <f>'IS 2026'!P59</f>
        <v>409882.4</v>
      </c>
      <c r="V64" s="187">
        <f>'IS 2026'!Q59</f>
        <v>421877.6</v>
      </c>
    </row>
    <row r="65" spans="2:22" x14ac:dyDescent="0.3">
      <c r="B65" t="s">
        <v>13</v>
      </c>
      <c r="E65" s="2">
        <f>'Statements Summary 2023'!V64</f>
        <v>0.74422286862386422</v>
      </c>
      <c r="F65" s="2">
        <f>'Statements Summary 2024'!V65</f>
        <v>0.7543185745980624</v>
      </c>
      <c r="G65" s="2">
        <f>'Statements Summary 2025'!V65</f>
        <v>0.79638268386066291</v>
      </c>
      <c r="H65" s="2">
        <f t="shared" si="1"/>
        <v>0.72039479525972472</v>
      </c>
      <c r="I65" s="2">
        <f>'Statements Summary 2027'!V65</f>
        <v>0.72181056671591093</v>
      </c>
      <c r="K65" s="2">
        <f>K64/K45</f>
        <v>0.69302912546650763</v>
      </c>
      <c r="L65" s="2">
        <f t="shared" ref="L65:V65" si="11">L64/L45</f>
        <v>0.69557829899907986</v>
      </c>
      <c r="M65" s="2">
        <f t="shared" si="11"/>
        <v>0.6963104406362467</v>
      </c>
      <c r="N65" s="2">
        <f t="shared" si="11"/>
        <v>0.69703238708960613</v>
      </c>
      <c r="O65" s="2">
        <f t="shared" si="11"/>
        <v>0.69765589339615697</v>
      </c>
      <c r="P65" s="2">
        <f t="shared" si="11"/>
        <v>0.69835928931783287</v>
      </c>
      <c r="Q65" s="2">
        <f t="shared" si="11"/>
        <v>0.69905308256481014</v>
      </c>
      <c r="R65" s="2">
        <f t="shared" si="11"/>
        <v>0.70165437470154401</v>
      </c>
      <c r="S65" s="2">
        <f t="shared" si="11"/>
        <v>0.70230405678444052</v>
      </c>
      <c r="T65" s="2">
        <f t="shared" si="11"/>
        <v>0.70286552772246103</v>
      </c>
      <c r="U65" s="2">
        <f t="shared" si="11"/>
        <v>0.7044347437527928</v>
      </c>
      <c r="V65" s="2">
        <f t="shared" si="11"/>
        <v>0.72039479525972472</v>
      </c>
    </row>
    <row r="67" spans="2:22" x14ac:dyDescent="0.3">
      <c r="B67" s="172" t="s">
        <v>225</v>
      </c>
      <c r="C67" s="145"/>
      <c r="D67" s="145"/>
      <c r="E67" s="145"/>
      <c r="F67" s="145"/>
      <c r="G67" s="145"/>
      <c r="H67" s="145"/>
      <c r="I67" s="145"/>
      <c r="K67" s="334" t="s">
        <v>233</v>
      </c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</row>
    <row r="85" spans="2:22" x14ac:dyDescent="0.3">
      <c r="B85" s="172" t="s">
        <v>226</v>
      </c>
      <c r="C85" s="172"/>
      <c r="D85" s="172"/>
      <c r="E85" s="172"/>
      <c r="F85" s="145"/>
      <c r="G85" s="145"/>
      <c r="H85" s="145"/>
      <c r="I85" s="145"/>
      <c r="J85" s="145"/>
      <c r="K85" s="334" t="s">
        <v>234</v>
      </c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34"/>
    </row>
    <row r="87" spans="2:22" x14ac:dyDescent="0.3">
      <c r="B87" s="185" t="s">
        <v>20</v>
      </c>
      <c r="C87" s="185"/>
      <c r="D87" s="185"/>
      <c r="E87" s="186">
        <v>2023</v>
      </c>
      <c r="F87" s="186">
        <v>2024</v>
      </c>
      <c r="G87" s="186">
        <v>2025</v>
      </c>
      <c r="H87" s="186">
        <v>2026</v>
      </c>
      <c r="I87" s="186">
        <v>2027</v>
      </c>
      <c r="J87" s="185"/>
      <c r="K87" s="186" t="s">
        <v>25</v>
      </c>
      <c r="L87" s="186" t="s">
        <v>26</v>
      </c>
      <c r="M87" s="186" t="s">
        <v>27</v>
      </c>
      <c r="N87" s="186" t="s">
        <v>28</v>
      </c>
      <c r="O87" s="186" t="s">
        <v>29</v>
      </c>
      <c r="P87" s="186" t="s">
        <v>30</v>
      </c>
      <c r="Q87" s="186" t="s">
        <v>31</v>
      </c>
      <c r="R87" s="186" t="s">
        <v>32</v>
      </c>
      <c r="S87" s="186" t="s">
        <v>33</v>
      </c>
      <c r="T87" s="186" t="s">
        <v>34</v>
      </c>
      <c r="U87" s="186" t="s">
        <v>35</v>
      </c>
      <c r="V87" s="186" t="s">
        <v>36</v>
      </c>
    </row>
    <row r="88" spans="2:22" x14ac:dyDescent="0.3">
      <c r="B88" t="s">
        <v>48</v>
      </c>
      <c r="E88" s="197">
        <f>'Statements Summary 2023'!V86</f>
        <v>1810916.4</v>
      </c>
      <c r="F88" s="197">
        <f>'Statements Summary 2024'!V88</f>
        <v>4465791.5807999996</v>
      </c>
      <c r="G88" s="197">
        <f>'Statements Summary 2025'!V88</f>
        <v>8073112.3807999995</v>
      </c>
      <c r="H88" s="197">
        <f t="shared" ref="H88:H99" si="12">V88</f>
        <v>13545694.380800003</v>
      </c>
      <c r="I88" s="197">
        <f>'Statements Summary 2027'!V88</f>
        <v>19710636.380800001</v>
      </c>
      <c r="K88" s="197">
        <f>'BS 2026'!F14</f>
        <v>8502244.7807999998</v>
      </c>
      <c r="L88" s="197">
        <f>'BS 2026'!G14</f>
        <v>8941529.1808000002</v>
      </c>
      <c r="M88" s="197">
        <f>'BS 2026'!H14</f>
        <v>9383821.5808000006</v>
      </c>
      <c r="N88" s="197">
        <f>'BS 2026'!I14</f>
        <v>9829121.980800001</v>
      </c>
      <c r="O88" s="197">
        <f>'BS 2026'!J14</f>
        <v>10277054.380800001</v>
      </c>
      <c r="P88" s="197">
        <f>'BS 2026'!K14</f>
        <v>10727994.780800002</v>
      </c>
      <c r="Q88" s="197">
        <f>'BS 2026'!L14</f>
        <v>11181943.180800002</v>
      </c>
      <c r="R88" s="197">
        <f>'BS 2026'!M14</f>
        <v>11647547.580800002</v>
      </c>
      <c r="S88" s="197">
        <f>'BS 2026'!N14</f>
        <v>12116159.980800003</v>
      </c>
      <c r="T88" s="197">
        <f>'BS 2026'!O14</f>
        <v>12587404.380800003</v>
      </c>
      <c r="U88" s="197">
        <f>'BS 2026'!P14</f>
        <v>13066168.780800004</v>
      </c>
      <c r="V88" s="197">
        <f>'BS 2026'!Q14</f>
        <v>13545694.380800003</v>
      </c>
    </row>
    <row r="89" spans="2:22" x14ac:dyDescent="0.3">
      <c r="B89" t="s">
        <v>49</v>
      </c>
      <c r="E89" s="197">
        <f>'Statements Summary 2023'!V87</f>
        <v>470532</v>
      </c>
      <c r="F89" s="197">
        <f>'Statements Summary 2024'!V89</f>
        <v>488332</v>
      </c>
      <c r="G89" s="197">
        <f>'Statements Summary 2025'!V89</f>
        <v>509481</v>
      </c>
      <c r="H89" s="197">
        <f t="shared" si="12"/>
        <v>531018</v>
      </c>
      <c r="I89" s="197">
        <f>'Statements Summary 2027'!V89</f>
        <v>552400</v>
      </c>
      <c r="K89" s="197">
        <f>'BS 2026'!F19</f>
        <v>511392</v>
      </c>
      <c r="L89" s="197">
        <f>'BS 2026'!G19</f>
        <v>513303</v>
      </c>
      <c r="M89" s="197">
        <f>'BS 2026'!H19</f>
        <v>515214</v>
      </c>
      <c r="N89" s="197">
        <f>'BS 2026'!I19</f>
        <v>516970</v>
      </c>
      <c r="O89" s="197">
        <f>'BS 2026'!J19</f>
        <v>518726</v>
      </c>
      <c r="P89" s="197">
        <f>'BS 2026'!K19</f>
        <v>520482</v>
      </c>
      <c r="Q89" s="197">
        <f>'BS 2026'!L19</f>
        <v>522238</v>
      </c>
      <c r="R89" s="197">
        <f>'BS 2026'!M19</f>
        <v>523994</v>
      </c>
      <c r="S89" s="197">
        <f>'BS 2026'!N19</f>
        <v>525750</v>
      </c>
      <c r="T89" s="197">
        <f>'BS 2026'!O19</f>
        <v>527506</v>
      </c>
      <c r="U89" s="197">
        <f>'BS 2026'!P19</f>
        <v>529262</v>
      </c>
      <c r="V89" s="197">
        <f>'BS 2026'!Q19</f>
        <v>531018</v>
      </c>
    </row>
    <row r="90" spans="2:22" x14ac:dyDescent="0.3">
      <c r="B90" t="s">
        <v>50</v>
      </c>
      <c r="E90" s="197">
        <f>'Statements Summary 2023'!V88</f>
        <v>2281448.4</v>
      </c>
      <c r="F90" s="197">
        <f>'Statements Summary 2024'!V90</f>
        <v>4954123.5807999996</v>
      </c>
      <c r="G90" s="197">
        <f>'Statements Summary 2025'!V90</f>
        <v>8582593.3807999995</v>
      </c>
      <c r="H90" s="197">
        <f t="shared" si="12"/>
        <v>14076712.380800003</v>
      </c>
      <c r="I90" s="197">
        <f>'Statements Summary 2027'!V90</f>
        <v>20263036.380800001</v>
      </c>
      <c r="K90" s="197">
        <f>'BS 2026'!F20</f>
        <v>9013636.7807999998</v>
      </c>
      <c r="L90" s="197">
        <f>'BS 2026'!G20</f>
        <v>9454832.1808000002</v>
      </c>
      <c r="M90" s="197">
        <f>'BS 2026'!H20</f>
        <v>9899035.5808000006</v>
      </c>
      <c r="N90" s="197">
        <f>'BS 2026'!I20</f>
        <v>10346091.980800001</v>
      </c>
      <c r="O90" s="197">
        <f>'BS 2026'!J20</f>
        <v>10795780.380800001</v>
      </c>
      <c r="P90" s="197">
        <f>'BS 2026'!K20</f>
        <v>11248476.780800002</v>
      </c>
      <c r="Q90" s="197">
        <f>'BS 2026'!L20</f>
        <v>11704181.180800002</v>
      </c>
      <c r="R90" s="197">
        <f>'BS 2026'!M20</f>
        <v>12171541.580800002</v>
      </c>
      <c r="S90" s="197">
        <f>'BS 2026'!N20</f>
        <v>12641909.980800003</v>
      </c>
      <c r="T90" s="197">
        <f>'BS 2026'!O20</f>
        <v>13114910.380800003</v>
      </c>
      <c r="U90" s="197">
        <f>'BS 2026'!P20</f>
        <v>13595430.780800004</v>
      </c>
      <c r="V90" s="197">
        <f>'BS 2026'!Q20</f>
        <v>14076712.380800003</v>
      </c>
    </row>
    <row r="91" spans="2:22" x14ac:dyDescent="0.3">
      <c r="B91" t="s">
        <v>51</v>
      </c>
      <c r="E91" s="197">
        <f>'Statements Summary 2023'!V89</f>
        <v>-55839.600000000006</v>
      </c>
      <c r="F91" s="197">
        <f>'Statements Summary 2024'!V91</f>
        <v>-69105.182400000005</v>
      </c>
      <c r="G91" s="197">
        <f>'Statements Summary 2025'!V91</f>
        <v>-84761</v>
      </c>
      <c r="H91" s="197">
        <f t="shared" si="12"/>
        <v>-105469.40000000001</v>
      </c>
      <c r="I91" s="197">
        <f>'Statements Summary 2027'!V91</f>
        <v>-118483.40000000001</v>
      </c>
      <c r="K91" s="197">
        <f>'BS 2026'!F25</f>
        <v>-90062.6</v>
      </c>
      <c r="L91" s="197">
        <f>'BS 2026'!G25</f>
        <v>-92600.6</v>
      </c>
      <c r="M91" s="197">
        <f>'BS 2026'!H25</f>
        <v>-93352.6</v>
      </c>
      <c r="N91" s="197">
        <f>'BS 2026'!I25</f>
        <v>-94104.6</v>
      </c>
      <c r="O91" s="197">
        <f>'BS 2026'!J25</f>
        <v>-94762.6</v>
      </c>
      <c r="P91" s="197">
        <f>'BS 2026'!K25</f>
        <v>-95514.6</v>
      </c>
      <c r="Q91" s="197">
        <f>'BS 2026'!L25</f>
        <v>-96266.6</v>
      </c>
      <c r="R91" s="197">
        <f>'BS 2026'!M25</f>
        <v>-99180.6</v>
      </c>
      <c r="S91" s="197">
        <f>'BS 2026'!N25</f>
        <v>-99932.6</v>
      </c>
      <c r="T91" s="197">
        <f>'BS 2026'!O25</f>
        <v>-100590.6</v>
      </c>
      <c r="U91" s="197">
        <f>'BS 2026'!P25</f>
        <v>-102470.6</v>
      </c>
      <c r="V91" s="197">
        <f>'BS 2026'!Q25</f>
        <v>-105469.40000000001</v>
      </c>
    </row>
    <row r="92" spans="2:22" x14ac:dyDescent="0.3">
      <c r="B92" t="s">
        <v>195</v>
      </c>
      <c r="E92" s="197">
        <f>'Statements Summary 2023'!V90</f>
        <v>-365002</v>
      </c>
      <c r="F92" s="197">
        <f>'Statements Summary 2024'!V92</f>
        <v>-163186</v>
      </c>
      <c r="G92" s="197">
        <f>'Statements Summary 2025'!V92</f>
        <v>0</v>
      </c>
      <c r="H92" s="197">
        <f t="shared" si="12"/>
        <v>0</v>
      </c>
      <c r="I92" s="197">
        <f>'Statements Summary 2027'!V92</f>
        <v>0</v>
      </c>
      <c r="K92" s="197">
        <f>'BS 2026'!F27</f>
        <v>0</v>
      </c>
      <c r="L92" s="197">
        <f>'BS 2026'!G27</f>
        <v>0</v>
      </c>
      <c r="M92" s="197">
        <f>'BS 2026'!H27</f>
        <v>0</v>
      </c>
      <c r="N92" s="197">
        <f>'BS 2026'!I27</f>
        <v>0</v>
      </c>
      <c r="O92" s="197">
        <f>'BS 2026'!J27</f>
        <v>0</v>
      </c>
      <c r="P92" s="197">
        <f>'BS 2026'!K27</f>
        <v>0</v>
      </c>
      <c r="Q92" s="197">
        <f>'BS 2026'!L27</f>
        <v>0</v>
      </c>
      <c r="R92" s="197">
        <f>'BS 2026'!M27</f>
        <v>0</v>
      </c>
      <c r="S92" s="197">
        <f>'BS 2026'!N27</f>
        <v>0</v>
      </c>
      <c r="T92" s="197">
        <f>'BS 2026'!O27</f>
        <v>0</v>
      </c>
      <c r="U92" s="197">
        <f>'BS 2026'!P27</f>
        <v>0</v>
      </c>
      <c r="V92" s="197">
        <f>'BS 2026'!Q27</f>
        <v>0</v>
      </c>
    </row>
    <row r="93" spans="2:22" x14ac:dyDescent="0.3">
      <c r="B93" t="s">
        <v>53</v>
      </c>
      <c r="E93" s="197">
        <f>'Statements Summary 2023'!V91</f>
        <v>-420841.6</v>
      </c>
      <c r="F93" s="197">
        <f>'Statements Summary 2024'!V93</f>
        <v>-232291.18239999999</v>
      </c>
      <c r="G93" s="197">
        <f>'Statements Summary 2025'!V93</f>
        <v>-84761</v>
      </c>
      <c r="H93" s="197">
        <f t="shared" si="12"/>
        <v>-105469.40000000001</v>
      </c>
      <c r="I93" s="197">
        <f>'Statements Summary 2027'!V93</f>
        <v>-118483.40000000001</v>
      </c>
      <c r="K93" s="197">
        <f>'BS 2026'!F32</f>
        <v>-90062.6</v>
      </c>
      <c r="L93" s="197">
        <f>'BS 2026'!G32</f>
        <v>-92600.6</v>
      </c>
      <c r="M93" s="197">
        <f>'BS 2026'!H32</f>
        <v>-93352.6</v>
      </c>
      <c r="N93" s="197">
        <f>'BS 2026'!I32</f>
        <v>-94104.6</v>
      </c>
      <c r="O93" s="197">
        <f>'BS 2026'!J32</f>
        <v>-94762.6</v>
      </c>
      <c r="P93" s="197">
        <f>'BS 2026'!K32</f>
        <v>-95514.6</v>
      </c>
      <c r="Q93" s="197">
        <f>'BS 2026'!L32</f>
        <v>-96266.6</v>
      </c>
      <c r="R93" s="197">
        <f>'BS 2026'!M32</f>
        <v>-99180.6</v>
      </c>
      <c r="S93" s="197">
        <f>'BS 2026'!N32</f>
        <v>-99932.6</v>
      </c>
      <c r="T93" s="197">
        <f>'BS 2026'!O32</f>
        <v>-100590.6</v>
      </c>
      <c r="U93" s="197">
        <f>'BS 2026'!P32</f>
        <v>-102470.6</v>
      </c>
      <c r="V93" s="197">
        <f>'BS 2026'!Q32</f>
        <v>-105469.40000000001</v>
      </c>
    </row>
    <row r="94" spans="2:22" x14ac:dyDescent="0.3">
      <c r="B94" t="s">
        <v>54</v>
      </c>
      <c r="E94" s="197">
        <f>'Statements Summary 2023'!V92</f>
        <v>1860606.7999999998</v>
      </c>
      <c r="F94" s="197">
        <f>'Statements Summary 2024'!V94</f>
        <v>4721832.3983999994</v>
      </c>
      <c r="G94" s="197">
        <f>'Statements Summary 2025'!V94</f>
        <v>8497832.3807999995</v>
      </c>
      <c r="H94" s="197">
        <f t="shared" si="12"/>
        <v>13971242.980800003</v>
      </c>
      <c r="I94" s="197">
        <f>'Statements Summary 2027'!V94</f>
        <v>20144552.980800003</v>
      </c>
      <c r="K94" s="197">
        <f>'BS 2026'!F33</f>
        <v>8923574.1808000002</v>
      </c>
      <c r="L94" s="197">
        <f>'BS 2026'!G33</f>
        <v>9362231.5808000006</v>
      </c>
      <c r="M94" s="197">
        <f>'BS 2026'!H33</f>
        <v>9805682.980800001</v>
      </c>
      <c r="N94" s="197">
        <f>'BS 2026'!I33</f>
        <v>10251987.380800001</v>
      </c>
      <c r="O94" s="197">
        <f>'BS 2026'!J33</f>
        <v>10701017.780800002</v>
      </c>
      <c r="P94" s="197">
        <f>'BS 2026'!K33</f>
        <v>11152962.180800002</v>
      </c>
      <c r="Q94" s="197">
        <f>'BS 2026'!L33</f>
        <v>11607914.580800002</v>
      </c>
      <c r="R94" s="197">
        <f>'BS 2026'!M33</f>
        <v>12072360.980800003</v>
      </c>
      <c r="S94" s="197">
        <f>'BS 2026'!N33</f>
        <v>12541977.380800003</v>
      </c>
      <c r="T94" s="197">
        <f>'BS 2026'!O33</f>
        <v>13014319.780800004</v>
      </c>
      <c r="U94" s="197">
        <f>'BS 2026'!P33</f>
        <v>13492960.180800004</v>
      </c>
      <c r="V94" s="197">
        <f>'BS 2026'!Q33</f>
        <v>13971242.980800003</v>
      </c>
    </row>
    <row r="95" spans="2:22" x14ac:dyDescent="0.3">
      <c r="B95" t="s">
        <v>55</v>
      </c>
      <c r="E95" s="197">
        <f>'Statements Summary 2023'!V93</f>
        <v>1810916.4</v>
      </c>
      <c r="F95" s="197">
        <f>'Statements Summary 2024'!V95</f>
        <v>4465791.5807999996</v>
      </c>
      <c r="G95" s="197">
        <f>'Statements Summary 2025'!V95</f>
        <v>8073112.3807999995</v>
      </c>
      <c r="H95" s="197">
        <f t="shared" si="12"/>
        <v>13545694.380800003</v>
      </c>
      <c r="I95" s="197">
        <f>'Statements Summary 2027'!V95</f>
        <v>19710636.380800001</v>
      </c>
      <c r="K95" s="197">
        <f>'BS 2026'!F14</f>
        <v>8502244.7807999998</v>
      </c>
      <c r="L95" s="197">
        <f>'BS 2026'!G14</f>
        <v>8941529.1808000002</v>
      </c>
      <c r="M95" s="197">
        <f>'BS 2026'!H14</f>
        <v>9383821.5808000006</v>
      </c>
      <c r="N95" s="197">
        <f>'BS 2026'!I14</f>
        <v>9829121.980800001</v>
      </c>
      <c r="O95" s="197">
        <f>'BS 2026'!J14</f>
        <v>10277054.380800001</v>
      </c>
      <c r="P95" s="197">
        <f>'BS 2026'!K14</f>
        <v>10727994.780800002</v>
      </c>
      <c r="Q95" s="197">
        <f>'BS 2026'!L14</f>
        <v>11181943.180800002</v>
      </c>
      <c r="R95" s="197">
        <f>'BS 2026'!M14</f>
        <v>11647547.580800002</v>
      </c>
      <c r="S95" s="197">
        <f>'BS 2026'!N14</f>
        <v>12116159.980800003</v>
      </c>
      <c r="T95" s="197">
        <f>'BS 2026'!O14</f>
        <v>12587404.380800003</v>
      </c>
      <c r="U95" s="197">
        <f>'BS 2026'!P14</f>
        <v>13066168.780800004</v>
      </c>
      <c r="V95" s="197">
        <f>'BS 2026'!Q14</f>
        <v>13545694.380800003</v>
      </c>
    </row>
    <row r="96" spans="2:22" x14ac:dyDescent="0.3">
      <c r="B96" t="s">
        <v>56</v>
      </c>
      <c r="E96" s="197" t="str">
        <f>'Statements Summary 2023'!V94</f>
        <v>-</v>
      </c>
      <c r="F96" s="197" t="str">
        <f>'Statements Summary 2024'!V96</f>
        <v>-</v>
      </c>
      <c r="G96" s="197" t="str">
        <f>'Statements Summary 2025'!V96</f>
        <v>-</v>
      </c>
      <c r="H96" s="197" t="str">
        <f t="shared" si="12"/>
        <v>-</v>
      </c>
      <c r="I96" s="197" t="str">
        <f>'Statements Summary 2027'!V96</f>
        <v>-</v>
      </c>
      <c r="K96" s="197" t="s">
        <v>189</v>
      </c>
      <c r="L96" s="197" t="s">
        <v>189</v>
      </c>
      <c r="M96" s="197" t="s">
        <v>189</v>
      </c>
      <c r="N96" s="197" t="s">
        <v>189</v>
      </c>
      <c r="O96" s="197" t="s">
        <v>189</v>
      </c>
      <c r="P96" s="197" t="s">
        <v>189</v>
      </c>
      <c r="Q96" s="197" t="s">
        <v>189</v>
      </c>
      <c r="R96" s="197" t="s">
        <v>189</v>
      </c>
      <c r="S96" s="197" t="s">
        <v>189</v>
      </c>
      <c r="T96" s="197" t="s">
        <v>189</v>
      </c>
      <c r="U96" s="197" t="s">
        <v>189</v>
      </c>
      <c r="V96" s="197" t="s">
        <v>189</v>
      </c>
    </row>
    <row r="97" spans="2:22" x14ac:dyDescent="0.3">
      <c r="B97" t="s">
        <v>57</v>
      </c>
      <c r="E97" s="197">
        <f>'Statements Summary 2023'!V95</f>
        <v>0</v>
      </c>
      <c r="F97" s="197">
        <f>'Statements Summary 2024'!V97</f>
        <v>0</v>
      </c>
      <c r="G97" s="197">
        <f>'Statements Summary 2025'!V97</f>
        <v>0</v>
      </c>
      <c r="H97" s="197">
        <f t="shared" si="12"/>
        <v>0</v>
      </c>
      <c r="I97" s="197">
        <f>'Statements Summary 2027'!V97</f>
        <v>0</v>
      </c>
      <c r="K97" s="197" t="s">
        <v>189</v>
      </c>
      <c r="L97" s="197" t="s">
        <v>189</v>
      </c>
      <c r="M97" s="197" t="s">
        <v>189</v>
      </c>
      <c r="N97" s="197" t="s">
        <v>189</v>
      </c>
      <c r="O97" s="197" t="s">
        <v>189</v>
      </c>
      <c r="P97" s="197" t="s">
        <v>189</v>
      </c>
      <c r="Q97" s="197" t="s">
        <v>189</v>
      </c>
      <c r="R97" s="197" t="s">
        <v>189</v>
      </c>
      <c r="S97" s="197" t="s">
        <v>189</v>
      </c>
      <c r="T97" s="197" t="s">
        <v>189</v>
      </c>
      <c r="U97" s="197" t="s">
        <v>189</v>
      </c>
      <c r="V97" s="197"/>
    </row>
    <row r="98" spans="2:22" x14ac:dyDescent="0.3">
      <c r="B98" t="s">
        <v>58</v>
      </c>
      <c r="E98" s="197">
        <f>'Statements Summary 2023'!V96</f>
        <v>1860606.7999999998</v>
      </c>
      <c r="F98" s="197">
        <f>'Statements Summary 2024'!V98</f>
        <v>4721832.3983999994</v>
      </c>
      <c r="G98" s="197">
        <f>'Statements Summary 2025'!V98</f>
        <v>8497832.3807999995</v>
      </c>
      <c r="H98" s="197">
        <f t="shared" si="12"/>
        <v>13971242.980800003</v>
      </c>
      <c r="I98" s="197">
        <f>'Statements Summary 2027'!V98</f>
        <v>20144552.980800003</v>
      </c>
      <c r="K98" s="197">
        <f>K94</f>
        <v>8923574.1808000002</v>
      </c>
      <c r="L98" s="197">
        <f t="shared" ref="L98:V98" si="13">L94</f>
        <v>9362231.5808000006</v>
      </c>
      <c r="M98" s="197">
        <f t="shared" si="13"/>
        <v>9805682.980800001</v>
      </c>
      <c r="N98" s="197">
        <f t="shared" si="13"/>
        <v>10251987.380800001</v>
      </c>
      <c r="O98" s="197">
        <f t="shared" si="13"/>
        <v>10701017.780800002</v>
      </c>
      <c r="P98" s="197">
        <f t="shared" si="13"/>
        <v>11152962.180800002</v>
      </c>
      <c r="Q98" s="197">
        <f t="shared" si="13"/>
        <v>11607914.580800002</v>
      </c>
      <c r="R98" s="197">
        <f t="shared" si="13"/>
        <v>12072360.980800003</v>
      </c>
      <c r="S98" s="197">
        <f t="shared" si="13"/>
        <v>12541977.380800003</v>
      </c>
      <c r="T98" s="197">
        <f t="shared" si="13"/>
        <v>13014319.780800004</v>
      </c>
      <c r="U98" s="197">
        <f t="shared" si="13"/>
        <v>13492960.180800004</v>
      </c>
      <c r="V98" s="197">
        <f t="shared" si="13"/>
        <v>13971242.980800003</v>
      </c>
    </row>
    <row r="99" spans="2:22" x14ac:dyDescent="0.3">
      <c r="B99" t="s">
        <v>59</v>
      </c>
      <c r="E99" s="197">
        <f>'Statements Summary 2023'!V97</f>
        <v>1860606.7999999998</v>
      </c>
      <c r="F99" s="197">
        <f>'Statements Summary 2024'!V99</f>
        <v>4721832.3983999994</v>
      </c>
      <c r="G99" s="197">
        <f>'Statements Summary 2025'!V99</f>
        <v>8497832.3807999995</v>
      </c>
      <c r="H99" s="197">
        <f t="shared" si="12"/>
        <v>13971242.980800003</v>
      </c>
      <c r="I99" s="197">
        <f>'Statements Summary 2027'!V99</f>
        <v>20144552.980800003</v>
      </c>
      <c r="K99" s="197">
        <f>K98</f>
        <v>8923574.1808000002</v>
      </c>
      <c r="L99" s="197">
        <f t="shared" ref="L99:V99" si="14">L98</f>
        <v>9362231.5808000006</v>
      </c>
      <c r="M99" s="197">
        <f t="shared" si="14"/>
        <v>9805682.980800001</v>
      </c>
      <c r="N99" s="197">
        <f t="shared" si="14"/>
        <v>10251987.380800001</v>
      </c>
      <c r="O99" s="197">
        <f t="shared" si="14"/>
        <v>10701017.780800002</v>
      </c>
      <c r="P99" s="197">
        <f t="shared" si="14"/>
        <v>11152962.180800002</v>
      </c>
      <c r="Q99" s="197">
        <f t="shared" si="14"/>
        <v>11607914.580800002</v>
      </c>
      <c r="R99" s="197">
        <f t="shared" si="14"/>
        <v>12072360.980800003</v>
      </c>
      <c r="S99" s="197">
        <f t="shared" si="14"/>
        <v>12541977.380800003</v>
      </c>
      <c r="T99" s="197">
        <f t="shared" si="14"/>
        <v>13014319.780800004</v>
      </c>
      <c r="U99" s="197">
        <f t="shared" si="14"/>
        <v>13492960.180800004</v>
      </c>
      <c r="V99" s="197">
        <f t="shared" si="14"/>
        <v>13971242.980800003</v>
      </c>
    </row>
    <row r="101" spans="2:22" x14ac:dyDescent="0.3">
      <c r="B101" s="172" t="s">
        <v>226</v>
      </c>
      <c r="C101" s="145"/>
      <c r="D101" s="145"/>
      <c r="E101" s="145"/>
      <c r="F101" s="145"/>
      <c r="G101" s="145"/>
      <c r="H101" s="145"/>
      <c r="I101" s="145"/>
      <c r="K101" s="334" t="s">
        <v>234</v>
      </c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  <c r="V101" s="334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7180-A3C0-4165-9B6B-6F9A4C347E52}">
  <sheetPr codeName="Sheet27"/>
  <dimension ref="A1:AP163"/>
  <sheetViews>
    <sheetView showGridLines="0" topLeftCell="A2" workbookViewId="0">
      <selection activeCell="A15" sqref="A12:XFD1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27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9.88671875" customWidth="1"/>
    <col min="21" max="21" width="9.88671875" bestFit="1" customWidth="1"/>
  </cols>
  <sheetData>
    <row r="1" spans="1:42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42" ht="18" x14ac:dyDescent="0.35">
      <c r="A2" s="9"/>
      <c r="B2" s="132" t="s">
        <v>140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42" x14ac:dyDescent="0.3">
      <c r="A3" s="9"/>
      <c r="B3" s="9" t="s">
        <v>141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42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29"/>
    </row>
    <row r="5" spans="1:42" x14ac:dyDescent="0.3">
      <c r="A5" s="141"/>
      <c r="B5" s="144" t="s">
        <v>170</v>
      </c>
      <c r="C5" s="141"/>
      <c r="D5" s="141"/>
      <c r="E5" s="141"/>
      <c r="F5" s="194">
        <v>2027</v>
      </c>
      <c r="G5" s="194">
        <v>2027</v>
      </c>
      <c r="H5" s="194">
        <v>2027</v>
      </c>
      <c r="I5" s="194">
        <v>2027</v>
      </c>
      <c r="J5" s="194">
        <v>2027</v>
      </c>
      <c r="K5" s="194">
        <v>2027</v>
      </c>
      <c r="L5" s="194">
        <v>2027</v>
      </c>
      <c r="M5" s="194">
        <v>2027</v>
      </c>
      <c r="N5" s="194">
        <v>2027</v>
      </c>
      <c r="O5" s="194">
        <v>2027</v>
      </c>
      <c r="P5" s="194">
        <v>2027</v>
      </c>
      <c r="Q5" s="194">
        <v>2027</v>
      </c>
      <c r="R5" s="194">
        <v>2028</v>
      </c>
      <c r="S5" s="194">
        <v>2028</v>
      </c>
      <c r="T5" s="194">
        <v>2028</v>
      </c>
      <c r="U5" s="172" t="s">
        <v>72</v>
      </c>
    </row>
    <row r="6" spans="1:42" ht="15" thickBot="1" x14ac:dyDescent="0.35">
      <c r="A6" s="143"/>
      <c r="B6" s="151" t="s">
        <v>64</v>
      </c>
      <c r="C6" s="143"/>
      <c r="D6" s="143"/>
      <c r="E6" s="143"/>
      <c r="F6" s="193" t="s">
        <v>25</v>
      </c>
      <c r="G6" s="193" t="s">
        <v>26</v>
      </c>
      <c r="H6" s="193" t="s">
        <v>27</v>
      </c>
      <c r="I6" s="193" t="s">
        <v>28</v>
      </c>
      <c r="J6" s="193" t="s">
        <v>29</v>
      </c>
      <c r="K6" s="193" t="s">
        <v>30</v>
      </c>
      <c r="L6" s="193" t="s">
        <v>31</v>
      </c>
      <c r="M6" s="193" t="s">
        <v>32</v>
      </c>
      <c r="N6" s="193" t="s">
        <v>33</v>
      </c>
      <c r="O6" s="193" t="s">
        <v>34</v>
      </c>
      <c r="P6" s="193" t="s">
        <v>35</v>
      </c>
      <c r="Q6" s="193" t="s">
        <v>36</v>
      </c>
      <c r="R6" s="193" t="s">
        <v>25</v>
      </c>
      <c r="S6" s="193" t="s">
        <v>26</v>
      </c>
      <c r="T6" s="193" t="s">
        <v>27</v>
      </c>
      <c r="U6" s="158"/>
    </row>
    <row r="7" spans="1:42" s="126" customForma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2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9"/>
      <c r="B8" s="9"/>
      <c r="C8" s="135" t="s">
        <v>281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42" x14ac:dyDescent="0.3">
      <c r="A9" s="9"/>
      <c r="B9" s="9"/>
      <c r="C9" s="135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42" x14ac:dyDescent="0.3">
      <c r="A10" s="9"/>
      <c r="B10" s="9"/>
      <c r="C10" s="135" t="s">
        <v>2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42" ht="10.199999999999999" customHeight="1" x14ac:dyDescent="0.3">
      <c r="A11" s="9"/>
      <c r="B11" s="9"/>
      <c r="C11" s="13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42" x14ac:dyDescent="0.3">
      <c r="A12" s="9"/>
      <c r="B12" s="9"/>
      <c r="C12" s="136" t="s">
        <v>305</v>
      </c>
      <c r="D12" s="9"/>
      <c r="E12" s="9"/>
      <c r="F12" s="208">
        <v>588910</v>
      </c>
      <c r="G12" s="208">
        <v>592670</v>
      </c>
      <c r="H12" s="208">
        <v>607240</v>
      </c>
      <c r="I12" s="208">
        <v>611000</v>
      </c>
      <c r="J12" s="208">
        <v>614760</v>
      </c>
      <c r="K12" s="208">
        <v>618050</v>
      </c>
      <c r="L12" s="208">
        <v>627450</v>
      </c>
      <c r="M12" s="208">
        <v>631210</v>
      </c>
      <c r="N12" s="208">
        <v>645310</v>
      </c>
      <c r="O12" s="208">
        <v>649070</v>
      </c>
      <c r="P12" s="208">
        <v>652830</v>
      </c>
      <c r="Q12" s="208">
        <v>656590</v>
      </c>
      <c r="R12" s="148"/>
      <c r="S12" s="148"/>
      <c r="T12" s="149"/>
      <c r="U12" s="9"/>
    </row>
    <row r="13" spans="1:42" x14ac:dyDescent="0.3">
      <c r="A13" s="141"/>
      <c r="B13" s="141"/>
      <c r="C13" s="144" t="s">
        <v>115</v>
      </c>
      <c r="D13" s="141"/>
      <c r="E13" s="141"/>
      <c r="F13" s="142">
        <f t="shared" ref="F13:Q13" si="0">SUM(F12:F12)</f>
        <v>588910</v>
      </c>
      <c r="G13" s="142">
        <f t="shared" si="0"/>
        <v>592670</v>
      </c>
      <c r="H13" s="142">
        <f t="shared" si="0"/>
        <v>607240</v>
      </c>
      <c r="I13" s="142">
        <f t="shared" si="0"/>
        <v>611000</v>
      </c>
      <c r="J13" s="142">
        <f t="shared" si="0"/>
        <v>614760</v>
      </c>
      <c r="K13" s="142">
        <f t="shared" si="0"/>
        <v>618050</v>
      </c>
      <c r="L13" s="142">
        <f t="shared" si="0"/>
        <v>627450</v>
      </c>
      <c r="M13" s="142">
        <f t="shared" si="0"/>
        <v>631210</v>
      </c>
      <c r="N13" s="142">
        <f t="shared" si="0"/>
        <v>645310</v>
      </c>
      <c r="O13" s="142">
        <f t="shared" si="0"/>
        <v>649070</v>
      </c>
      <c r="P13" s="142">
        <f t="shared" si="0"/>
        <v>652830</v>
      </c>
      <c r="Q13" s="142">
        <f t="shared" si="0"/>
        <v>656590</v>
      </c>
      <c r="R13" s="142"/>
      <c r="S13" s="142"/>
      <c r="T13" s="153"/>
      <c r="U13" s="153">
        <f>SUM(F13:Q13)</f>
        <v>7495090</v>
      </c>
    </row>
    <row r="14" spans="1:42" x14ac:dyDescent="0.3">
      <c r="A14" s="143"/>
      <c r="B14" s="143"/>
      <c r="C14" s="151" t="s">
        <v>116</v>
      </c>
      <c r="D14" s="143"/>
      <c r="E14" s="143"/>
      <c r="F14" s="152">
        <f>SUM(F15:F20)</f>
        <v>-32544</v>
      </c>
      <c r="G14" s="152">
        <f t="shared" ref="G14:Q14" si="1">SUM(G15:G20)</f>
        <v>-32544</v>
      </c>
      <c r="H14" s="152">
        <f t="shared" si="1"/>
        <v>-38444</v>
      </c>
      <c r="I14" s="152">
        <f t="shared" si="1"/>
        <v>-38444</v>
      </c>
      <c r="J14" s="152">
        <f t="shared" si="1"/>
        <v>-38444</v>
      </c>
      <c r="K14" s="152">
        <f t="shared" si="1"/>
        <v>-38444</v>
      </c>
      <c r="L14" s="152">
        <f t="shared" si="1"/>
        <v>-38444</v>
      </c>
      <c r="M14" s="152">
        <f t="shared" si="1"/>
        <v>-38444</v>
      </c>
      <c r="N14" s="152">
        <f t="shared" si="1"/>
        <v>-38444</v>
      </c>
      <c r="O14" s="152">
        <f t="shared" si="1"/>
        <v>-38444</v>
      </c>
      <c r="P14" s="152">
        <f t="shared" si="1"/>
        <v>-38444</v>
      </c>
      <c r="Q14" s="152">
        <f t="shared" si="1"/>
        <v>-38444</v>
      </c>
      <c r="R14" s="152"/>
      <c r="S14" s="152"/>
      <c r="T14" s="147"/>
      <c r="U14" s="147">
        <f>SUM(F14:Q14)</f>
        <v>-449528</v>
      </c>
    </row>
    <row r="15" spans="1:42" x14ac:dyDescent="0.3">
      <c r="A15" s="9"/>
      <c r="B15" s="9"/>
      <c r="C15" s="136" t="s">
        <v>200</v>
      </c>
      <c r="D15" s="9"/>
      <c r="E15" s="9"/>
      <c r="F15" s="133">
        <v>-31654</v>
      </c>
      <c r="G15" s="133">
        <v>-31654</v>
      </c>
      <c r="H15" s="133">
        <v>-37554</v>
      </c>
      <c r="I15" s="133">
        <v>-37554</v>
      </c>
      <c r="J15" s="133">
        <v>-37554</v>
      </c>
      <c r="K15" s="133">
        <v>-37554</v>
      </c>
      <c r="L15" s="133">
        <v>-37554</v>
      </c>
      <c r="M15" s="133">
        <v>-37554</v>
      </c>
      <c r="N15" s="133">
        <v>-37554</v>
      </c>
      <c r="O15" s="133">
        <v>-37554</v>
      </c>
      <c r="P15" s="133">
        <v>-37554</v>
      </c>
      <c r="Q15" s="133">
        <v>-37554</v>
      </c>
      <c r="R15" s="133"/>
      <c r="S15" s="133"/>
      <c r="T15" s="133"/>
      <c r="U15" s="149">
        <f>SUM(F15:Q15)</f>
        <v>-438848</v>
      </c>
    </row>
    <row r="16" spans="1:42" x14ac:dyDescent="0.3">
      <c r="A16" s="9"/>
      <c r="B16" s="9"/>
      <c r="C16" s="136" t="s">
        <v>288</v>
      </c>
      <c r="D16" s="9"/>
      <c r="E16" s="9"/>
      <c r="F16" s="134">
        <v>-700</v>
      </c>
      <c r="G16" s="134">
        <v>-700</v>
      </c>
      <c r="H16" s="134">
        <v>-700</v>
      </c>
      <c r="I16" s="134">
        <v>-700</v>
      </c>
      <c r="J16" s="134">
        <v>-700</v>
      </c>
      <c r="K16" s="134">
        <v>-700</v>
      </c>
      <c r="L16" s="134">
        <v>-700</v>
      </c>
      <c r="M16" s="134">
        <v>-700</v>
      </c>
      <c r="N16" s="134">
        <v>-700</v>
      </c>
      <c r="O16" s="134">
        <v>-700</v>
      </c>
      <c r="P16" s="134">
        <v>-700</v>
      </c>
      <c r="Q16" s="134">
        <v>-700</v>
      </c>
      <c r="R16" s="134"/>
      <c r="S16" s="134"/>
      <c r="T16" s="134"/>
      <c r="U16" s="149">
        <f t="shared" ref="U16:U18" si="2">SUM(F16:Q16)</f>
        <v>-8400</v>
      </c>
    </row>
    <row r="17" spans="1:21" x14ac:dyDescent="0.3">
      <c r="A17" s="9"/>
      <c r="B17" s="9"/>
      <c r="C17" s="136" t="s">
        <v>290</v>
      </c>
      <c r="D17" s="9"/>
      <c r="E17" s="9"/>
      <c r="F17" s="134">
        <v>-125</v>
      </c>
      <c r="G17" s="134">
        <v>-125</v>
      </c>
      <c r="H17" s="134">
        <v>-125</v>
      </c>
      <c r="I17" s="134">
        <v>-125</v>
      </c>
      <c r="J17" s="134">
        <v>-125</v>
      </c>
      <c r="K17" s="134">
        <v>-125</v>
      </c>
      <c r="L17" s="134">
        <v>-125</v>
      </c>
      <c r="M17" s="134">
        <v>-125</v>
      </c>
      <c r="N17" s="134">
        <v>-125</v>
      </c>
      <c r="O17" s="134">
        <v>-125</v>
      </c>
      <c r="P17" s="134">
        <v>-125</v>
      </c>
      <c r="Q17" s="134">
        <v>-125</v>
      </c>
      <c r="R17" s="134"/>
      <c r="S17" s="134"/>
      <c r="T17" s="134"/>
      <c r="U17" s="149">
        <f t="shared" si="2"/>
        <v>-1500</v>
      </c>
    </row>
    <row r="18" spans="1:21" x14ac:dyDescent="0.3">
      <c r="A18" s="9"/>
      <c r="B18" s="9"/>
      <c r="C18" s="136" t="s">
        <v>291</v>
      </c>
      <c r="D18" s="9"/>
      <c r="E18" s="9"/>
      <c r="F18" s="134">
        <v>-65</v>
      </c>
      <c r="G18" s="134">
        <v>-65</v>
      </c>
      <c r="H18" s="134">
        <v>-65</v>
      </c>
      <c r="I18" s="134">
        <v>-65</v>
      </c>
      <c r="J18" s="134">
        <v>-65</v>
      </c>
      <c r="K18" s="134">
        <v>-65</v>
      </c>
      <c r="L18" s="134">
        <v>-65</v>
      </c>
      <c r="M18" s="134">
        <v>-65</v>
      </c>
      <c r="N18" s="134">
        <v>-65</v>
      </c>
      <c r="O18" s="134">
        <v>-65</v>
      </c>
      <c r="P18" s="134">
        <v>-65</v>
      </c>
      <c r="Q18" s="134">
        <v>-65</v>
      </c>
      <c r="R18" s="134"/>
      <c r="S18" s="134"/>
      <c r="T18" s="134"/>
      <c r="U18" s="149">
        <f t="shared" si="2"/>
        <v>-780</v>
      </c>
    </row>
    <row r="19" spans="1:21" x14ac:dyDescent="0.3">
      <c r="A19" s="9"/>
      <c r="B19" s="9"/>
      <c r="C19" s="136" t="s">
        <v>204</v>
      </c>
      <c r="D19" s="9"/>
      <c r="E19" s="9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1"/>
    </row>
    <row r="20" spans="1:21" x14ac:dyDescent="0.3">
      <c r="A20" s="9"/>
      <c r="B20" s="9"/>
      <c r="C20" s="136" t="s">
        <v>205</v>
      </c>
      <c r="D20" s="9"/>
      <c r="E20" s="9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1"/>
    </row>
    <row r="21" spans="1:21" x14ac:dyDescent="0.3">
      <c r="A21" s="9"/>
      <c r="B21" s="9"/>
      <c r="C21" s="134"/>
      <c r="D21" s="9"/>
      <c r="E21" s="9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1"/>
    </row>
    <row r="22" spans="1:21" x14ac:dyDescent="0.3">
      <c r="A22" s="154"/>
      <c r="B22" s="154"/>
      <c r="C22" s="155" t="s">
        <v>4</v>
      </c>
      <c r="D22" s="154"/>
      <c r="E22" s="154"/>
      <c r="F22" s="156">
        <f>SUM(F13+F14)</f>
        <v>556366</v>
      </c>
      <c r="G22" s="156">
        <f t="shared" ref="G22:Q22" si="3">SUM(G13+G14)</f>
        <v>560126</v>
      </c>
      <c r="H22" s="156">
        <f t="shared" si="3"/>
        <v>568796</v>
      </c>
      <c r="I22" s="156">
        <f t="shared" si="3"/>
        <v>572556</v>
      </c>
      <c r="J22" s="156">
        <f t="shared" si="3"/>
        <v>576316</v>
      </c>
      <c r="K22" s="156">
        <f t="shared" si="3"/>
        <v>579606</v>
      </c>
      <c r="L22" s="156">
        <f t="shared" si="3"/>
        <v>589006</v>
      </c>
      <c r="M22" s="156">
        <f t="shared" si="3"/>
        <v>592766</v>
      </c>
      <c r="N22" s="156">
        <f t="shared" si="3"/>
        <v>606866</v>
      </c>
      <c r="O22" s="156">
        <f t="shared" si="3"/>
        <v>610626</v>
      </c>
      <c r="P22" s="156">
        <f t="shared" si="3"/>
        <v>614386</v>
      </c>
      <c r="Q22" s="156">
        <f t="shared" si="3"/>
        <v>618146</v>
      </c>
      <c r="R22" s="156"/>
      <c r="S22" s="156"/>
      <c r="T22" s="156"/>
      <c r="U22" s="209">
        <f>SUM(F22:Q22)</f>
        <v>7045562</v>
      </c>
    </row>
    <row r="23" spans="1:21" x14ac:dyDescent="0.3">
      <c r="A23" s="9"/>
      <c r="B23" s="9"/>
      <c r="C23" s="134"/>
      <c r="D23" s="9"/>
      <c r="E23" s="9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1"/>
    </row>
    <row r="24" spans="1:21" x14ac:dyDescent="0.3">
      <c r="A24" s="9"/>
      <c r="B24" s="9"/>
      <c r="C24" s="135" t="s">
        <v>5</v>
      </c>
      <c r="D24" s="9"/>
      <c r="E24" s="9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1"/>
    </row>
    <row r="25" spans="1:21" x14ac:dyDescent="0.3">
      <c r="A25" s="9"/>
      <c r="B25" s="9"/>
      <c r="C25" s="136" t="s">
        <v>292</v>
      </c>
      <c r="D25" s="9"/>
      <c r="E25" s="9"/>
      <c r="F25" s="149">
        <v>-3493</v>
      </c>
      <c r="G25" s="149">
        <v>-3493</v>
      </c>
      <c r="H25" s="149">
        <v>-3493</v>
      </c>
      <c r="I25" s="149">
        <v>-3493</v>
      </c>
      <c r="J25" s="149">
        <v>-3493</v>
      </c>
      <c r="K25" s="149">
        <v>-3493</v>
      </c>
      <c r="L25" s="149">
        <v>-3493</v>
      </c>
      <c r="M25" s="149">
        <v>-3493</v>
      </c>
      <c r="N25" s="149">
        <v>-3493</v>
      </c>
      <c r="O25" s="149">
        <v>-3493</v>
      </c>
      <c r="P25" s="149">
        <v>-3493</v>
      </c>
      <c r="Q25" s="149">
        <v>-3493</v>
      </c>
      <c r="R25" s="149">
        <v>-3493</v>
      </c>
      <c r="S25" s="149">
        <v>-3493</v>
      </c>
      <c r="T25" s="149">
        <v>-3493</v>
      </c>
      <c r="U25" s="149">
        <f>SUM(F25:Q25)</f>
        <v>-41916</v>
      </c>
    </row>
    <row r="26" spans="1:21" x14ac:dyDescent="0.3">
      <c r="A26" s="9"/>
      <c r="B26" s="9"/>
      <c r="C26" s="136" t="s">
        <v>293</v>
      </c>
      <c r="D26" s="9"/>
      <c r="E26" s="9"/>
      <c r="F26" s="149">
        <v>-13493</v>
      </c>
      <c r="G26" s="149">
        <v>-13493</v>
      </c>
      <c r="H26" s="149">
        <v>-13493</v>
      </c>
      <c r="I26" s="149">
        <v>-13493</v>
      </c>
      <c r="J26" s="149">
        <v>-13493</v>
      </c>
      <c r="K26" s="149">
        <v>-13493</v>
      </c>
      <c r="L26" s="149">
        <v>-13493</v>
      </c>
      <c r="M26" s="149">
        <v>-13493</v>
      </c>
      <c r="N26" s="149">
        <v>-13493</v>
      </c>
      <c r="O26" s="149">
        <v>-13493</v>
      </c>
      <c r="P26" s="149">
        <v>-13493</v>
      </c>
      <c r="Q26" s="149">
        <v>-13493</v>
      </c>
      <c r="R26" s="331">
        <v>-3400</v>
      </c>
      <c r="S26" s="331">
        <v>-3400</v>
      </c>
      <c r="T26" s="331">
        <v>-3400</v>
      </c>
      <c r="U26" s="149">
        <f t="shared" ref="U26:U28" si="4">SUM(F26:Q26)</f>
        <v>-161916</v>
      </c>
    </row>
    <row r="27" spans="1:21" x14ac:dyDescent="0.3">
      <c r="A27" s="9"/>
      <c r="B27" s="9"/>
      <c r="C27" s="136" t="s">
        <v>294</v>
      </c>
      <c r="D27" s="9"/>
      <c r="E27" s="9"/>
      <c r="F27" s="149">
        <v>-493</v>
      </c>
      <c r="G27" s="149">
        <v>-493</v>
      </c>
      <c r="H27" s="149">
        <v>-493</v>
      </c>
      <c r="I27" s="149">
        <v>-493</v>
      </c>
      <c r="J27" s="149">
        <v>-493</v>
      </c>
      <c r="K27" s="149">
        <v>-493</v>
      </c>
      <c r="L27" s="149">
        <v>-493</v>
      </c>
      <c r="M27" s="149">
        <v>-493</v>
      </c>
      <c r="N27" s="149">
        <v>-493</v>
      </c>
      <c r="O27" s="149">
        <v>-493</v>
      </c>
      <c r="P27" s="149">
        <v>-493</v>
      </c>
      <c r="Q27" s="149">
        <v>-493</v>
      </c>
      <c r="R27" s="291" t="s">
        <v>142</v>
      </c>
      <c r="S27" s="291" t="s">
        <v>142</v>
      </c>
      <c r="T27" s="291" t="s">
        <v>142</v>
      </c>
      <c r="U27" s="149">
        <f t="shared" si="4"/>
        <v>-5916</v>
      </c>
    </row>
    <row r="28" spans="1:21" x14ac:dyDescent="0.3">
      <c r="A28" s="9"/>
      <c r="B28" s="9"/>
      <c r="C28" s="136" t="s">
        <v>295</v>
      </c>
      <c r="D28" s="9"/>
      <c r="E28" s="9"/>
      <c r="F28" s="331">
        <v>-11234</v>
      </c>
      <c r="G28" s="331">
        <v>-11234</v>
      </c>
      <c r="H28" s="331">
        <v>-11234</v>
      </c>
      <c r="I28" s="331">
        <v>-11234</v>
      </c>
      <c r="J28" s="331">
        <v>-11234</v>
      </c>
      <c r="K28" s="331">
        <v>-11234</v>
      </c>
      <c r="L28" s="331">
        <v>-11234</v>
      </c>
      <c r="M28" s="331">
        <v>-11234</v>
      </c>
      <c r="N28" s="331">
        <v>-11234</v>
      </c>
      <c r="O28" s="331">
        <v>-11234</v>
      </c>
      <c r="P28" s="331">
        <v>-11234</v>
      </c>
      <c r="Q28" s="291" t="s">
        <v>142</v>
      </c>
      <c r="R28" s="291" t="s">
        <v>142</v>
      </c>
      <c r="S28" s="291" t="s">
        <v>142</v>
      </c>
      <c r="T28" s="291" t="s">
        <v>142</v>
      </c>
      <c r="U28" s="149">
        <f t="shared" si="4"/>
        <v>-123574</v>
      </c>
    </row>
    <row r="29" spans="1:21" x14ac:dyDescent="0.3">
      <c r="A29" s="9"/>
      <c r="B29" s="9"/>
      <c r="C29" s="136" t="s">
        <v>120</v>
      </c>
      <c r="D29" s="9"/>
      <c r="E29" s="9"/>
      <c r="F29" s="150" t="s">
        <v>142</v>
      </c>
      <c r="G29" s="150" t="s">
        <v>142</v>
      </c>
      <c r="H29" s="150" t="s">
        <v>142</v>
      </c>
      <c r="I29" s="150" t="s">
        <v>142</v>
      </c>
      <c r="J29" s="150" t="s">
        <v>142</v>
      </c>
      <c r="K29" s="150" t="s">
        <v>142</v>
      </c>
      <c r="L29" s="150" t="s">
        <v>142</v>
      </c>
      <c r="M29" s="150" t="s">
        <v>142</v>
      </c>
      <c r="N29" s="150" t="s">
        <v>142</v>
      </c>
      <c r="O29" s="150" t="s">
        <v>142</v>
      </c>
      <c r="P29" s="150" t="s">
        <v>142</v>
      </c>
      <c r="Q29" s="150" t="s">
        <v>142</v>
      </c>
      <c r="R29" s="150" t="s">
        <v>142</v>
      </c>
      <c r="S29" s="150" t="s">
        <v>142</v>
      </c>
      <c r="T29" s="150" t="s">
        <v>142</v>
      </c>
      <c r="U29" s="131"/>
    </row>
    <row r="30" spans="1:21" x14ac:dyDescent="0.3">
      <c r="A30" s="9"/>
      <c r="B30" s="9"/>
      <c r="C30" s="136" t="s">
        <v>121</v>
      </c>
      <c r="D30" s="9"/>
      <c r="E30" s="9"/>
      <c r="F30" s="150" t="s">
        <v>142</v>
      </c>
      <c r="G30" s="150" t="s">
        <v>142</v>
      </c>
      <c r="H30" s="150" t="s">
        <v>142</v>
      </c>
      <c r="I30" s="150" t="s">
        <v>142</v>
      </c>
      <c r="J30" s="150" t="s">
        <v>142</v>
      </c>
      <c r="K30" s="150" t="s">
        <v>142</v>
      </c>
      <c r="L30" s="150" t="s">
        <v>142</v>
      </c>
      <c r="M30" s="150" t="s">
        <v>142</v>
      </c>
      <c r="N30" s="150" t="s">
        <v>142</v>
      </c>
      <c r="O30" s="150" t="s">
        <v>142</v>
      </c>
      <c r="P30" s="150" t="s">
        <v>142</v>
      </c>
      <c r="Q30" s="150" t="s">
        <v>142</v>
      </c>
      <c r="R30" s="150"/>
      <c r="S30" s="150"/>
      <c r="T30" s="150"/>
      <c r="U30" s="131"/>
    </row>
    <row r="31" spans="1:21" x14ac:dyDescent="0.3">
      <c r="A31" s="9"/>
      <c r="B31" s="9"/>
      <c r="C31" s="136" t="s">
        <v>122</v>
      </c>
      <c r="D31" s="9"/>
      <c r="E31" s="9"/>
      <c r="F31" s="150" t="s">
        <v>142</v>
      </c>
      <c r="G31" s="150" t="s">
        <v>142</v>
      </c>
      <c r="H31" s="150" t="s">
        <v>142</v>
      </c>
      <c r="I31" s="150" t="s">
        <v>142</v>
      </c>
      <c r="J31" s="150" t="s">
        <v>142</v>
      </c>
      <c r="K31" s="150" t="s">
        <v>142</v>
      </c>
      <c r="L31" s="150" t="s">
        <v>142</v>
      </c>
      <c r="M31" s="150" t="s">
        <v>142</v>
      </c>
      <c r="N31" s="150" t="s">
        <v>142</v>
      </c>
      <c r="O31" s="150" t="s">
        <v>142</v>
      </c>
      <c r="P31" s="150" t="s">
        <v>142</v>
      </c>
      <c r="Q31" s="150" t="s">
        <v>142</v>
      </c>
      <c r="R31" s="150"/>
      <c r="S31" s="150"/>
      <c r="T31" s="150"/>
      <c r="U31" s="131"/>
    </row>
    <row r="32" spans="1:21" x14ac:dyDescent="0.3">
      <c r="A32" s="9"/>
      <c r="B32" s="9"/>
      <c r="C32" s="136" t="s">
        <v>123</v>
      </c>
      <c r="D32" s="9"/>
      <c r="E32" s="9"/>
      <c r="F32" s="150" t="s">
        <v>142</v>
      </c>
      <c r="G32" s="150" t="s">
        <v>142</v>
      </c>
      <c r="H32" s="150" t="s">
        <v>142</v>
      </c>
      <c r="I32" s="150" t="s">
        <v>142</v>
      </c>
      <c r="J32" s="150" t="s">
        <v>142</v>
      </c>
      <c r="K32" s="150" t="s">
        <v>142</v>
      </c>
      <c r="L32" s="150" t="s">
        <v>142</v>
      </c>
      <c r="M32" s="150" t="s">
        <v>142</v>
      </c>
      <c r="N32" s="150" t="s">
        <v>142</v>
      </c>
      <c r="O32" s="150" t="s">
        <v>142</v>
      </c>
      <c r="P32" s="150" t="s">
        <v>142</v>
      </c>
      <c r="Q32" s="150" t="s">
        <v>142</v>
      </c>
      <c r="R32" s="150"/>
      <c r="S32" s="150"/>
      <c r="T32" s="150"/>
      <c r="U32" s="131"/>
    </row>
    <row r="33" spans="1:21" x14ac:dyDescent="0.3">
      <c r="A33" s="145"/>
      <c r="B33" s="145"/>
      <c r="C33" s="172" t="s">
        <v>124</v>
      </c>
      <c r="D33" s="145"/>
      <c r="E33" s="145"/>
      <c r="F33" s="153">
        <f>SUM(F25:F32)</f>
        <v>-28713</v>
      </c>
      <c r="G33" s="153">
        <f t="shared" ref="G33:Q33" si="5">SUM(G25:G32)</f>
        <v>-28713</v>
      </c>
      <c r="H33" s="153">
        <f t="shared" si="5"/>
        <v>-28713</v>
      </c>
      <c r="I33" s="153">
        <f t="shared" si="5"/>
        <v>-28713</v>
      </c>
      <c r="J33" s="153">
        <f t="shared" si="5"/>
        <v>-28713</v>
      </c>
      <c r="K33" s="153">
        <f t="shared" si="5"/>
        <v>-28713</v>
      </c>
      <c r="L33" s="153">
        <f t="shared" si="5"/>
        <v>-28713</v>
      </c>
      <c r="M33" s="153">
        <f t="shared" si="5"/>
        <v>-28713</v>
      </c>
      <c r="N33" s="153">
        <f t="shared" si="5"/>
        <v>-28713</v>
      </c>
      <c r="O33" s="153">
        <f t="shared" si="5"/>
        <v>-28713</v>
      </c>
      <c r="P33" s="153">
        <f t="shared" si="5"/>
        <v>-28713</v>
      </c>
      <c r="Q33" s="153">
        <f t="shared" si="5"/>
        <v>-17479</v>
      </c>
      <c r="R33" s="153"/>
      <c r="S33" s="153"/>
      <c r="T33" s="153"/>
      <c r="U33" s="153">
        <f>SUM(F33:Q33)</f>
        <v>-333322</v>
      </c>
    </row>
    <row r="34" spans="1:21" x14ac:dyDescent="0.3">
      <c r="A34" s="146"/>
      <c r="B34" s="146"/>
      <c r="C34" s="183" t="s">
        <v>125</v>
      </c>
      <c r="D34" s="146"/>
      <c r="E34" s="146"/>
      <c r="F34" s="147">
        <v>-45063</v>
      </c>
      <c r="G34" s="147">
        <v>-45063</v>
      </c>
      <c r="H34" s="147">
        <v>-45063</v>
      </c>
      <c r="I34" s="147">
        <v>-45063</v>
      </c>
      <c r="J34" s="147">
        <v>-45063</v>
      </c>
      <c r="K34" s="147">
        <v>-45063</v>
      </c>
      <c r="L34" s="147">
        <v>-45063</v>
      </c>
      <c r="M34" s="147">
        <v>-45063</v>
      </c>
      <c r="N34" s="147">
        <v>-45063</v>
      </c>
      <c r="O34" s="147">
        <v>-45063</v>
      </c>
      <c r="P34" s="147">
        <v>-45063</v>
      </c>
      <c r="Q34" s="147">
        <v>-45063</v>
      </c>
      <c r="R34" s="147"/>
      <c r="S34" s="147"/>
      <c r="T34" s="147"/>
      <c r="U34" s="147">
        <f>SUM(F34:Q34)</f>
        <v>-540756</v>
      </c>
    </row>
    <row r="35" spans="1:21" x14ac:dyDescent="0.3">
      <c r="A35" s="9"/>
      <c r="B35" s="9"/>
      <c r="C35" s="134"/>
      <c r="D35" s="9"/>
      <c r="E35" s="9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1"/>
    </row>
    <row r="36" spans="1:21" x14ac:dyDescent="0.3">
      <c r="A36" s="9"/>
      <c r="B36" s="9"/>
      <c r="C36" s="135" t="s">
        <v>24</v>
      </c>
      <c r="D36" s="9"/>
      <c r="E36" s="9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1"/>
    </row>
    <row r="37" spans="1:21" x14ac:dyDescent="0.3">
      <c r="A37" s="9"/>
      <c r="B37" s="9"/>
      <c r="C37" s="134" t="s">
        <v>73</v>
      </c>
      <c r="D37" s="9"/>
      <c r="E37" s="9"/>
      <c r="F37" s="149">
        <v>-1750</v>
      </c>
      <c r="G37" s="149">
        <v>-1750</v>
      </c>
      <c r="H37" s="149">
        <v>-1750</v>
      </c>
      <c r="I37" s="149">
        <v>-1750</v>
      </c>
      <c r="J37" s="149">
        <v>-1750</v>
      </c>
      <c r="K37" s="149">
        <v>-1750</v>
      </c>
      <c r="L37" s="149">
        <v>-1750</v>
      </c>
      <c r="M37" s="149">
        <v>-1750</v>
      </c>
      <c r="N37" s="149">
        <v>-1750</v>
      </c>
      <c r="O37" s="149">
        <v>-1750</v>
      </c>
      <c r="P37" s="149">
        <v>-1750</v>
      </c>
      <c r="Q37" s="149">
        <v>-1750</v>
      </c>
      <c r="R37" s="149"/>
      <c r="S37" s="149"/>
      <c r="T37" s="149"/>
      <c r="U37" s="149">
        <f>SUM(F37:Q37)</f>
        <v>-21000</v>
      </c>
    </row>
    <row r="38" spans="1:21" x14ac:dyDescent="0.3">
      <c r="A38" s="9"/>
      <c r="B38" s="9"/>
      <c r="C38" s="134" t="s">
        <v>261</v>
      </c>
      <c r="D38" s="9"/>
      <c r="E38" s="9"/>
      <c r="F38" s="149">
        <v>-2550</v>
      </c>
      <c r="G38" s="149">
        <v>-2550</v>
      </c>
      <c r="H38" s="149">
        <v>-2550</v>
      </c>
      <c r="I38" s="149">
        <v>-2550</v>
      </c>
      <c r="J38" s="149">
        <v>-2550</v>
      </c>
      <c r="K38" s="149">
        <v>-2550</v>
      </c>
      <c r="L38" s="149">
        <v>-2550</v>
      </c>
      <c r="M38" s="149">
        <v>-2550</v>
      </c>
      <c r="N38" s="149">
        <v>-2550</v>
      </c>
      <c r="O38" s="149">
        <v>-2550</v>
      </c>
      <c r="P38" s="149">
        <v>-2550</v>
      </c>
      <c r="Q38" s="149">
        <v>-2550</v>
      </c>
      <c r="R38" s="149"/>
      <c r="S38" s="149"/>
      <c r="T38" s="149"/>
      <c r="U38" s="149">
        <f t="shared" ref="U38:U51" si="6">SUM(F38:Q38)</f>
        <v>-30600</v>
      </c>
    </row>
    <row r="39" spans="1:21" x14ac:dyDescent="0.3">
      <c r="A39" s="9"/>
      <c r="B39" s="9"/>
      <c r="C39" s="134" t="s">
        <v>284</v>
      </c>
      <c r="D39" s="9"/>
      <c r="E39" s="9"/>
      <c r="F39" s="149">
        <v>-700</v>
      </c>
      <c r="G39" s="149">
        <v>-700</v>
      </c>
      <c r="H39" s="149">
        <v>-700</v>
      </c>
      <c r="I39" s="149">
        <v>-700</v>
      </c>
      <c r="J39" s="149">
        <v>-700</v>
      </c>
      <c r="K39" s="149">
        <v>-700</v>
      </c>
      <c r="L39" s="149">
        <v>-700</v>
      </c>
      <c r="M39" s="149">
        <v>-700</v>
      </c>
      <c r="N39" s="149">
        <v>-700</v>
      </c>
      <c r="O39" s="149">
        <v>-700</v>
      </c>
      <c r="P39" s="149">
        <v>-700</v>
      </c>
      <c r="Q39" s="149">
        <v>-700</v>
      </c>
      <c r="R39" s="149"/>
      <c r="S39" s="149"/>
      <c r="T39" s="149"/>
      <c r="U39" s="149">
        <f t="shared" si="6"/>
        <v>-8400</v>
      </c>
    </row>
    <row r="40" spans="1:21" x14ac:dyDescent="0.3">
      <c r="A40" s="9"/>
      <c r="B40" s="9"/>
      <c r="C40" s="134" t="s">
        <v>223</v>
      </c>
      <c r="D40" s="9"/>
      <c r="E40" s="9"/>
      <c r="F40" s="149">
        <v>-1350</v>
      </c>
      <c r="G40" s="149">
        <v>-1350</v>
      </c>
      <c r="H40" s="149">
        <v>-1350</v>
      </c>
      <c r="I40" s="149">
        <v>-1350</v>
      </c>
      <c r="J40" s="149">
        <v>-1350</v>
      </c>
      <c r="K40" s="149">
        <v>-1350</v>
      </c>
      <c r="L40" s="149">
        <v>-1350</v>
      </c>
      <c r="M40" s="149">
        <v>-1350</v>
      </c>
      <c r="N40" s="149">
        <v>-1350</v>
      </c>
      <c r="O40" s="149">
        <v>-1350</v>
      </c>
      <c r="P40" s="149">
        <v>-1350</v>
      </c>
      <c r="Q40" s="149">
        <v>-1350</v>
      </c>
      <c r="R40" s="149"/>
      <c r="S40" s="149"/>
      <c r="T40" s="149"/>
      <c r="U40" s="149">
        <f t="shared" si="6"/>
        <v>-16200</v>
      </c>
    </row>
    <row r="41" spans="1:21" x14ac:dyDescent="0.3">
      <c r="A41" s="9"/>
      <c r="B41" s="9"/>
      <c r="C41" s="134" t="s">
        <v>262</v>
      </c>
      <c r="D41" s="9"/>
      <c r="E41" s="9"/>
      <c r="F41" s="149">
        <v>-1900</v>
      </c>
      <c r="G41" s="149">
        <v>-1900</v>
      </c>
      <c r="H41" s="149">
        <v>-1900</v>
      </c>
      <c r="I41" s="149">
        <v>-1900</v>
      </c>
      <c r="J41" s="149">
        <v>-1900</v>
      </c>
      <c r="K41" s="149">
        <v>-1900</v>
      </c>
      <c r="L41" s="149">
        <v>-1900</v>
      </c>
      <c r="M41" s="149">
        <v>-1900</v>
      </c>
      <c r="N41" s="149">
        <v>-1900</v>
      </c>
      <c r="O41" s="149">
        <v>-1900</v>
      </c>
      <c r="P41" s="149">
        <v>-1900</v>
      </c>
      <c r="Q41" s="149">
        <v>-1900</v>
      </c>
      <c r="R41" s="149"/>
      <c r="S41" s="149"/>
      <c r="T41" s="149"/>
      <c r="U41" s="149">
        <f t="shared" si="6"/>
        <v>-22800</v>
      </c>
    </row>
    <row r="42" spans="1:21" x14ac:dyDescent="0.3">
      <c r="A42" s="9"/>
      <c r="B42" s="9"/>
      <c r="C42" s="134" t="s">
        <v>127</v>
      </c>
      <c r="D42" s="9"/>
      <c r="E42" s="9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9">
        <f t="shared" si="6"/>
        <v>0</v>
      </c>
    </row>
    <row r="43" spans="1:21" x14ac:dyDescent="0.3">
      <c r="A43" s="9"/>
      <c r="B43" s="9"/>
      <c r="C43" s="136" t="s">
        <v>128</v>
      </c>
      <c r="D43" s="9"/>
      <c r="E43" s="9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9">
        <f t="shared" si="6"/>
        <v>0</v>
      </c>
    </row>
    <row r="44" spans="1:21" x14ac:dyDescent="0.3">
      <c r="A44" s="9"/>
      <c r="B44" s="9"/>
      <c r="C44" s="136" t="s">
        <v>129</v>
      </c>
      <c r="D44" s="9"/>
      <c r="E44" s="9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9">
        <f t="shared" si="6"/>
        <v>0</v>
      </c>
    </row>
    <row r="45" spans="1:21" x14ac:dyDescent="0.3">
      <c r="A45" s="9"/>
      <c r="B45" s="9"/>
      <c r="C45" s="136" t="s">
        <v>130</v>
      </c>
      <c r="D45" s="9"/>
      <c r="E45" s="9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9">
        <f t="shared" si="6"/>
        <v>0</v>
      </c>
    </row>
    <row r="46" spans="1:21" x14ac:dyDescent="0.3">
      <c r="A46" s="9"/>
      <c r="B46" s="9"/>
      <c r="C46" s="136" t="s">
        <v>131</v>
      </c>
      <c r="D46" s="9"/>
      <c r="E46" s="9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9">
        <f t="shared" si="6"/>
        <v>0</v>
      </c>
    </row>
    <row r="47" spans="1:21" x14ac:dyDescent="0.3">
      <c r="A47" s="9"/>
      <c r="B47" s="9"/>
      <c r="C47" s="136" t="s">
        <v>132</v>
      </c>
      <c r="D47" s="9"/>
      <c r="E47" s="9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9">
        <f t="shared" si="6"/>
        <v>0</v>
      </c>
    </row>
    <row r="48" spans="1:21" x14ac:dyDescent="0.3">
      <c r="A48" s="9"/>
      <c r="B48" s="9"/>
      <c r="C48" s="136" t="s">
        <v>133</v>
      </c>
      <c r="D48" s="9"/>
      <c r="E48" s="9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9">
        <f t="shared" si="6"/>
        <v>0</v>
      </c>
    </row>
    <row r="49" spans="1:21" x14ac:dyDescent="0.3">
      <c r="A49" s="9"/>
      <c r="B49" s="9"/>
      <c r="C49" s="136" t="s">
        <v>134</v>
      </c>
      <c r="D49" s="9"/>
      <c r="E49" s="9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9">
        <f t="shared" si="6"/>
        <v>0</v>
      </c>
    </row>
    <row r="50" spans="1:21" x14ac:dyDescent="0.3">
      <c r="A50" s="9"/>
      <c r="B50" s="9"/>
      <c r="C50" s="136" t="s">
        <v>135</v>
      </c>
      <c r="D50" s="9"/>
      <c r="E50" s="9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9">
        <f t="shared" si="6"/>
        <v>0</v>
      </c>
    </row>
    <row r="51" spans="1:21" x14ac:dyDescent="0.3">
      <c r="A51" s="9"/>
      <c r="B51" s="9"/>
      <c r="C51" s="136" t="s">
        <v>136</v>
      </c>
      <c r="D51" s="9"/>
      <c r="E51" s="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9">
        <f t="shared" si="6"/>
        <v>0</v>
      </c>
    </row>
    <row r="52" spans="1:21" s="110" customFormat="1" ht="14.4" customHeight="1" x14ac:dyDescent="0.3">
      <c r="A52" s="159"/>
      <c r="B52" s="159"/>
      <c r="C52" s="160" t="s">
        <v>137</v>
      </c>
      <c r="D52" s="159"/>
      <c r="E52" s="159"/>
      <c r="F52" s="161">
        <f>SUM(F37:F51)</f>
        <v>-8250</v>
      </c>
      <c r="G52" s="161">
        <f>SUM(G37:G51)</f>
        <v>-8250</v>
      </c>
      <c r="H52" s="161">
        <f t="shared" ref="H52:Q52" si="7">SUM(H37:H51)</f>
        <v>-8250</v>
      </c>
      <c r="I52" s="161">
        <f t="shared" si="7"/>
        <v>-8250</v>
      </c>
      <c r="J52" s="161">
        <f t="shared" si="7"/>
        <v>-8250</v>
      </c>
      <c r="K52" s="161">
        <f t="shared" si="7"/>
        <v>-8250</v>
      </c>
      <c r="L52" s="161">
        <f t="shared" si="7"/>
        <v>-8250</v>
      </c>
      <c r="M52" s="161">
        <f t="shared" si="7"/>
        <v>-8250</v>
      </c>
      <c r="N52" s="161">
        <f t="shared" si="7"/>
        <v>-8250</v>
      </c>
      <c r="O52" s="161">
        <f t="shared" si="7"/>
        <v>-8250</v>
      </c>
      <c r="P52" s="161">
        <f t="shared" si="7"/>
        <v>-8250</v>
      </c>
      <c r="Q52" s="161">
        <f t="shared" si="7"/>
        <v>-8250</v>
      </c>
      <c r="R52" s="161"/>
      <c r="S52" s="161"/>
      <c r="T52" s="161"/>
      <c r="U52" s="153">
        <f>SUM(F52:Q52)</f>
        <v>-99000</v>
      </c>
    </row>
    <row r="53" spans="1:21" s="110" customFormat="1" ht="14.4" customHeight="1" x14ac:dyDescent="0.3">
      <c r="A53" s="162"/>
      <c r="B53" s="162"/>
      <c r="C53" s="163" t="s">
        <v>6</v>
      </c>
      <c r="D53" s="162"/>
      <c r="E53" s="162"/>
      <c r="F53" s="164">
        <f>F13+F14+F33+F52</f>
        <v>519403</v>
      </c>
      <c r="G53" s="164">
        <f>G13+G14+G33+G52</f>
        <v>523163</v>
      </c>
      <c r="H53" s="164">
        <f t="shared" ref="H53:Q53" si="8">H13+H14+H33+H52</f>
        <v>531833</v>
      </c>
      <c r="I53" s="164">
        <f t="shared" si="8"/>
        <v>535593</v>
      </c>
      <c r="J53" s="164">
        <f t="shared" si="8"/>
        <v>539353</v>
      </c>
      <c r="K53" s="164">
        <f t="shared" si="8"/>
        <v>542643</v>
      </c>
      <c r="L53" s="164">
        <f t="shared" si="8"/>
        <v>552043</v>
      </c>
      <c r="M53" s="164">
        <f t="shared" si="8"/>
        <v>555803</v>
      </c>
      <c r="N53" s="164">
        <f t="shared" si="8"/>
        <v>569903</v>
      </c>
      <c r="O53" s="164">
        <f t="shared" si="8"/>
        <v>573663</v>
      </c>
      <c r="P53" s="164">
        <f t="shared" si="8"/>
        <v>577423</v>
      </c>
      <c r="Q53" s="164">
        <f t="shared" si="8"/>
        <v>592417</v>
      </c>
      <c r="R53" s="164"/>
      <c r="S53" s="164"/>
      <c r="T53" s="164"/>
      <c r="U53" s="147">
        <f>SUM(F53:Q53)</f>
        <v>6613240</v>
      </c>
    </row>
    <row r="54" spans="1:21" s="110" customFormat="1" ht="14.4" customHeight="1" x14ac:dyDescent="0.3">
      <c r="A54" s="108"/>
      <c r="B54" s="108"/>
      <c r="C54" s="137" t="s">
        <v>138</v>
      </c>
      <c r="D54" s="108"/>
      <c r="E54" s="108"/>
      <c r="F54" s="333">
        <v>-1756</v>
      </c>
      <c r="G54" s="333">
        <v>-1756</v>
      </c>
      <c r="H54" s="333">
        <v>-1756</v>
      </c>
      <c r="I54" s="333">
        <v>-1756</v>
      </c>
      <c r="J54" s="333">
        <v>-1756</v>
      </c>
      <c r="K54" s="333">
        <v>-1756</v>
      </c>
      <c r="L54" s="333">
        <v>-1756</v>
      </c>
      <c r="M54" s="333">
        <v>-1800</v>
      </c>
      <c r="N54" s="333">
        <v>-1800</v>
      </c>
      <c r="O54" s="333">
        <v>-1800</v>
      </c>
      <c r="P54" s="333">
        <v>-1800</v>
      </c>
      <c r="Q54" s="333">
        <v>-1800</v>
      </c>
      <c r="R54" s="332"/>
      <c r="S54" s="332"/>
      <c r="T54" s="332"/>
      <c r="U54" s="333">
        <f>SUM(F54:Q54)</f>
        <v>-21292</v>
      </c>
    </row>
    <row r="55" spans="1:21" s="110" customFormat="1" ht="25.05" customHeight="1" x14ac:dyDescent="0.3">
      <c r="A55" s="108"/>
      <c r="B55" s="108"/>
      <c r="C55" s="137" t="s">
        <v>8</v>
      </c>
      <c r="D55" s="108"/>
      <c r="E55" s="108"/>
      <c r="F55" s="333">
        <f>F53+F54</f>
        <v>517647</v>
      </c>
      <c r="G55" s="333">
        <f t="shared" ref="G55:Q55" si="9">G53+G54</f>
        <v>521407</v>
      </c>
      <c r="H55" s="333">
        <f t="shared" si="9"/>
        <v>530077</v>
      </c>
      <c r="I55" s="333">
        <f t="shared" si="9"/>
        <v>533837</v>
      </c>
      <c r="J55" s="333">
        <f t="shared" si="9"/>
        <v>537597</v>
      </c>
      <c r="K55" s="333">
        <f t="shared" si="9"/>
        <v>540887</v>
      </c>
      <c r="L55" s="333">
        <f t="shared" si="9"/>
        <v>550287</v>
      </c>
      <c r="M55" s="333">
        <f t="shared" si="9"/>
        <v>554003</v>
      </c>
      <c r="N55" s="333">
        <f t="shared" si="9"/>
        <v>568103</v>
      </c>
      <c r="O55" s="333">
        <f t="shared" si="9"/>
        <v>571863</v>
      </c>
      <c r="P55" s="333">
        <f t="shared" si="9"/>
        <v>575623</v>
      </c>
      <c r="Q55" s="333">
        <f t="shared" si="9"/>
        <v>590617</v>
      </c>
      <c r="R55" s="333"/>
      <c r="S55" s="333"/>
      <c r="T55" s="333"/>
      <c r="U55" s="333">
        <f t="shared" ref="U55:U58" si="10">SUM(F55:Q55)</f>
        <v>6591948</v>
      </c>
    </row>
    <row r="56" spans="1:21" s="110" customFormat="1" ht="25.05" customHeight="1" x14ac:dyDescent="0.3">
      <c r="A56" s="108"/>
      <c r="B56" s="108"/>
      <c r="C56" s="138" t="s">
        <v>139</v>
      </c>
      <c r="D56" s="139"/>
      <c r="E56" s="108"/>
      <c r="F56" s="333">
        <f>('BS 2027'!F27*0.2)</f>
        <v>0</v>
      </c>
      <c r="G56" s="333">
        <f>('BS 2027'!G27*0.2)</f>
        <v>0</v>
      </c>
      <c r="H56" s="333">
        <f>('BS 2027'!H27*0.2)</f>
        <v>0</v>
      </c>
      <c r="I56" s="333">
        <f>('BS 2027'!I27*0.2)</f>
        <v>0</v>
      </c>
      <c r="J56" s="333">
        <f>('BS 2027'!J27*0.2)</f>
        <v>0</v>
      </c>
      <c r="K56" s="333">
        <f>('BS 2027'!K27*0.2)</f>
        <v>0</v>
      </c>
      <c r="L56" s="333">
        <f>('BS 2027'!L27*0.2)</f>
        <v>0</v>
      </c>
      <c r="M56" s="333">
        <f>('BS 2027'!M27*0.2)</f>
        <v>0</v>
      </c>
      <c r="N56" s="333">
        <f>('BS 2027'!N27*0.2)</f>
        <v>0</v>
      </c>
      <c r="O56" s="333">
        <f>('BS 2027'!O27*0.2)</f>
        <v>0</v>
      </c>
      <c r="P56" s="333">
        <f>('BS 2027'!P27*0.2)</f>
        <v>0</v>
      </c>
      <c r="Q56" s="333">
        <f>('BS 2027'!Q27*0.2)</f>
        <v>0</v>
      </c>
      <c r="R56" s="333"/>
      <c r="S56" s="333"/>
      <c r="T56" s="333"/>
      <c r="U56" s="333">
        <f t="shared" si="10"/>
        <v>0</v>
      </c>
    </row>
    <row r="57" spans="1:21" s="110" customFormat="1" ht="25.05" customHeight="1" x14ac:dyDescent="0.3">
      <c r="A57" s="108"/>
      <c r="B57" s="108"/>
      <c r="C57" s="137" t="s">
        <v>10</v>
      </c>
      <c r="D57" s="108"/>
      <c r="E57" s="108"/>
      <c r="F57" s="333">
        <f>F53</f>
        <v>519403</v>
      </c>
      <c r="G57" s="333">
        <f>G53</f>
        <v>523163</v>
      </c>
      <c r="H57" s="333">
        <f t="shared" ref="H57:Q57" si="11">H53</f>
        <v>531833</v>
      </c>
      <c r="I57" s="333">
        <f t="shared" si="11"/>
        <v>535593</v>
      </c>
      <c r="J57" s="333">
        <f t="shared" si="11"/>
        <v>539353</v>
      </c>
      <c r="K57" s="333">
        <f t="shared" si="11"/>
        <v>542643</v>
      </c>
      <c r="L57" s="333">
        <f t="shared" si="11"/>
        <v>552043</v>
      </c>
      <c r="M57" s="333">
        <f t="shared" si="11"/>
        <v>555803</v>
      </c>
      <c r="N57" s="333">
        <f t="shared" si="11"/>
        <v>569903</v>
      </c>
      <c r="O57" s="333">
        <f t="shared" si="11"/>
        <v>573663</v>
      </c>
      <c r="P57" s="333">
        <f t="shared" si="11"/>
        <v>577423</v>
      </c>
      <c r="Q57" s="333">
        <f t="shared" si="11"/>
        <v>592417</v>
      </c>
      <c r="R57" s="333"/>
      <c r="S57" s="333"/>
      <c r="T57" s="333"/>
      <c r="U57" s="333">
        <f t="shared" si="10"/>
        <v>6613240</v>
      </c>
    </row>
    <row r="58" spans="1:21" s="110" customFormat="1" ht="25.05" customHeight="1" x14ac:dyDescent="0.3">
      <c r="A58" s="108"/>
      <c r="B58" s="108"/>
      <c r="C58" s="138" t="s">
        <v>11</v>
      </c>
      <c r="D58" s="108"/>
      <c r="E58" s="108"/>
      <c r="F58" s="333">
        <f>(F57*0.2)*-1</f>
        <v>-103880.6</v>
      </c>
      <c r="G58" s="333">
        <f t="shared" ref="G58:Q58" si="12">(G57*0.2)*-1</f>
        <v>-104632.6</v>
      </c>
      <c r="H58" s="333">
        <f t="shared" si="12"/>
        <v>-106366.6</v>
      </c>
      <c r="I58" s="333">
        <f t="shared" si="12"/>
        <v>-107118.6</v>
      </c>
      <c r="J58" s="333">
        <f t="shared" si="12"/>
        <v>-107870.6</v>
      </c>
      <c r="K58" s="333">
        <f t="shared" si="12"/>
        <v>-108528.6</v>
      </c>
      <c r="L58" s="333">
        <f t="shared" si="12"/>
        <v>-110408.6</v>
      </c>
      <c r="M58" s="333">
        <f t="shared" si="12"/>
        <v>-111160.6</v>
      </c>
      <c r="N58" s="333">
        <f t="shared" si="12"/>
        <v>-113980.6</v>
      </c>
      <c r="O58" s="333">
        <f t="shared" si="12"/>
        <v>-114732.6</v>
      </c>
      <c r="P58" s="333">
        <f t="shared" si="12"/>
        <v>-115484.6</v>
      </c>
      <c r="Q58" s="333">
        <f t="shared" si="12"/>
        <v>-118483.40000000001</v>
      </c>
      <c r="R58" s="333"/>
      <c r="S58" s="333"/>
      <c r="T58" s="333"/>
      <c r="U58" s="333">
        <f t="shared" si="10"/>
        <v>-1322648</v>
      </c>
    </row>
    <row r="59" spans="1:21" s="110" customFormat="1" ht="14.4" customHeight="1" x14ac:dyDescent="0.3">
      <c r="A59" s="165"/>
      <c r="B59" s="165"/>
      <c r="C59" s="166" t="s">
        <v>12</v>
      </c>
      <c r="D59" s="165"/>
      <c r="E59" s="165"/>
      <c r="F59" s="296">
        <f>F57+F58</f>
        <v>415522.4</v>
      </c>
      <c r="G59" s="296">
        <f>G57+G58</f>
        <v>418530.4</v>
      </c>
      <c r="H59" s="296">
        <f>H57+H58</f>
        <v>425466.4</v>
      </c>
      <c r="I59" s="296">
        <f>I57+I58</f>
        <v>428474.4</v>
      </c>
      <c r="J59" s="296">
        <f>J57+J58</f>
        <v>431482.4</v>
      </c>
      <c r="K59" s="296">
        <f t="shared" ref="K59:M59" si="13">K57+K58</f>
        <v>434114.4</v>
      </c>
      <c r="L59" s="296">
        <f t="shared" si="13"/>
        <v>441634.4</v>
      </c>
      <c r="M59" s="296">
        <f t="shared" si="13"/>
        <v>444642.4</v>
      </c>
      <c r="N59" s="296">
        <f>N57+N58</f>
        <v>455922.4</v>
      </c>
      <c r="O59" s="296">
        <f>O57+O58</f>
        <v>458930.4</v>
      </c>
      <c r="P59" s="296">
        <f t="shared" ref="P59" si="14">P57+P58</f>
        <v>461938.4</v>
      </c>
      <c r="Q59" s="296">
        <f t="shared" ref="Q59" si="15">Q57+Q58</f>
        <v>473933.6</v>
      </c>
      <c r="R59" s="296"/>
      <c r="S59" s="296"/>
      <c r="T59" s="297"/>
      <c r="U59" s="298">
        <f>SUM(F59:Q59)</f>
        <v>5290592</v>
      </c>
    </row>
    <row r="60" spans="1:21" x14ac:dyDescent="0.3">
      <c r="F60"/>
    </row>
    <row r="61" spans="1:21" x14ac:dyDescent="0.3">
      <c r="F61"/>
    </row>
    <row r="62" spans="1:21" x14ac:dyDescent="0.3">
      <c r="F62"/>
    </row>
    <row r="63" spans="1:21" x14ac:dyDescent="0.3">
      <c r="F63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</sheetData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1416-8E71-4F03-B75B-AC895B084448}">
  <sheetPr codeName="Sheet34"/>
  <dimension ref="A2:V56"/>
  <sheetViews>
    <sheetView showGridLines="0" workbookViewId="0">
      <selection activeCell="A15" sqref="A12:XFD15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0" t="s">
        <v>143</v>
      </c>
      <c r="C2" s="129"/>
      <c r="D2" s="9"/>
    </row>
    <row r="3" spans="1:22" x14ac:dyDescent="0.3">
      <c r="A3" s="128" t="s">
        <v>144</v>
      </c>
      <c r="C3" s="14"/>
    </row>
    <row r="4" spans="1:22" x14ac:dyDescent="0.3">
      <c r="A4" s="128" t="s">
        <v>145</v>
      </c>
      <c r="C4" s="14"/>
    </row>
    <row r="6" spans="1:22" x14ac:dyDescent="0.3">
      <c r="B6" s="14" t="s">
        <v>191</v>
      </c>
    </row>
    <row r="7" spans="1:22" x14ac:dyDescent="0.3">
      <c r="A7" s="140"/>
      <c r="B7" s="172" t="s">
        <v>64</v>
      </c>
      <c r="C7" s="145"/>
      <c r="D7" s="145"/>
      <c r="E7" s="145"/>
      <c r="F7" s="145"/>
      <c r="G7" s="173">
        <v>46388</v>
      </c>
      <c r="H7" s="173">
        <v>46419</v>
      </c>
      <c r="I7" s="173">
        <v>46447</v>
      </c>
      <c r="J7" s="173">
        <v>46478</v>
      </c>
      <c r="K7" s="173">
        <v>46508</v>
      </c>
      <c r="L7" s="173">
        <v>46539</v>
      </c>
      <c r="M7" s="173">
        <v>46569</v>
      </c>
      <c r="N7" s="173">
        <v>46600</v>
      </c>
      <c r="O7" s="173">
        <v>46631</v>
      </c>
      <c r="P7" s="173">
        <v>46661</v>
      </c>
      <c r="Q7" s="173">
        <v>46692</v>
      </c>
      <c r="R7" s="173">
        <v>46722</v>
      </c>
      <c r="S7" s="173">
        <v>46753</v>
      </c>
      <c r="T7" s="173">
        <v>46784</v>
      </c>
      <c r="U7" s="173">
        <v>46813</v>
      </c>
      <c r="V7" s="174" t="s">
        <v>72</v>
      </c>
    </row>
    <row r="9" spans="1:22" x14ac:dyDescent="0.3">
      <c r="B9" s="14" t="s">
        <v>143</v>
      </c>
    </row>
    <row r="10" spans="1:22" x14ac:dyDescent="0.3">
      <c r="A10" s="145"/>
      <c r="B10" s="172" t="s">
        <v>146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</row>
    <row r="11" spans="1:22" x14ac:dyDescent="0.3">
      <c r="B11" s="307" t="s">
        <v>37</v>
      </c>
      <c r="C11" s="308"/>
      <c r="D11" s="308"/>
      <c r="E11" s="308"/>
      <c r="F11" s="308"/>
      <c r="G11" s="208">
        <f t="shared" ref="G11:R11" si="0">SUM(G12:G13)</f>
        <v>588910</v>
      </c>
      <c r="H11" s="208">
        <f t="shared" si="0"/>
        <v>592670</v>
      </c>
      <c r="I11" s="208">
        <f t="shared" si="0"/>
        <v>607240</v>
      </c>
      <c r="J11" s="208">
        <f t="shared" si="0"/>
        <v>611000</v>
      </c>
      <c r="K11" s="208">
        <f t="shared" si="0"/>
        <v>614760</v>
      </c>
      <c r="L11" s="208">
        <f t="shared" si="0"/>
        <v>618050</v>
      </c>
      <c r="M11" s="208">
        <f t="shared" si="0"/>
        <v>627450</v>
      </c>
      <c r="N11" s="208">
        <f t="shared" si="0"/>
        <v>631210</v>
      </c>
      <c r="O11" s="208">
        <f t="shared" si="0"/>
        <v>645310</v>
      </c>
      <c r="P11" s="208">
        <f t="shared" si="0"/>
        <v>649070</v>
      </c>
      <c r="Q11" s="208">
        <f t="shared" si="0"/>
        <v>652830</v>
      </c>
      <c r="R11" s="208">
        <f t="shared" si="0"/>
        <v>656590</v>
      </c>
      <c r="S11" s="208"/>
      <c r="T11" s="208"/>
      <c r="U11" s="208"/>
      <c r="V11" s="208">
        <f>SUM(G11:R11)</f>
        <v>7495090</v>
      </c>
    </row>
    <row r="12" spans="1:22" x14ac:dyDescent="0.3">
      <c r="B12" s="136" t="s">
        <v>305</v>
      </c>
      <c r="C12" s="308"/>
      <c r="D12" s="308"/>
      <c r="E12" s="308"/>
      <c r="F12" s="308"/>
      <c r="G12" s="208">
        <f>'IS 2027'!F12</f>
        <v>588910</v>
      </c>
      <c r="H12" s="208">
        <f>'IS 2027'!G12</f>
        <v>592670</v>
      </c>
      <c r="I12" s="208">
        <f>'IS 2027'!H12</f>
        <v>607240</v>
      </c>
      <c r="J12" s="208">
        <f>'IS 2027'!I12</f>
        <v>611000</v>
      </c>
      <c r="K12" s="208">
        <f>'IS 2027'!J12</f>
        <v>614760</v>
      </c>
      <c r="L12" s="208">
        <f>'IS 2027'!K12</f>
        <v>618050</v>
      </c>
      <c r="M12" s="208">
        <f>'IS 2027'!L12</f>
        <v>627450</v>
      </c>
      <c r="N12" s="208">
        <f>'IS 2027'!M12</f>
        <v>631210</v>
      </c>
      <c r="O12" s="208">
        <f>'IS 2027'!N12</f>
        <v>645310</v>
      </c>
      <c r="P12" s="208">
        <f>'IS 2027'!O12</f>
        <v>649070</v>
      </c>
      <c r="Q12" s="208">
        <f>'IS 2027'!P12</f>
        <v>652830</v>
      </c>
      <c r="R12" s="208">
        <f>'IS 2027'!Q12</f>
        <v>656590</v>
      </c>
      <c r="S12" s="208"/>
      <c r="T12" s="208"/>
      <c r="U12" s="208"/>
      <c r="V12" s="308"/>
    </row>
    <row r="13" spans="1:22" x14ac:dyDescent="0.3">
      <c r="B13" s="311"/>
      <c r="C13" s="308"/>
      <c r="D13" s="308"/>
      <c r="E13" s="308"/>
      <c r="F13" s="308"/>
      <c r="G13" s="208"/>
      <c r="H13" s="208"/>
      <c r="I13" s="208"/>
      <c r="J13" s="208"/>
      <c r="K13" s="208"/>
      <c r="L13" s="208"/>
      <c r="M13" s="208"/>
      <c r="N13" s="208"/>
      <c r="O13" s="208"/>
      <c r="P13" s="308"/>
      <c r="Q13" s="208"/>
      <c r="R13" s="208"/>
      <c r="S13" s="208"/>
      <c r="T13" s="208"/>
      <c r="U13" s="208"/>
      <c r="V13" s="308"/>
    </row>
    <row r="14" spans="1:22" x14ac:dyDescent="0.3">
      <c r="B14" s="307" t="s">
        <v>38</v>
      </c>
      <c r="C14" s="308"/>
      <c r="D14" s="308"/>
      <c r="E14" s="308"/>
      <c r="F14" s="308"/>
      <c r="G14" s="208">
        <f>'CF 2026'!S15</f>
        <v>-625</v>
      </c>
      <c r="H14" s="208">
        <f>'CF 2026'!T15</f>
        <v>-625</v>
      </c>
      <c r="I14" s="208">
        <f>'CF 2026'!U15</f>
        <v>-625</v>
      </c>
      <c r="J14" s="208">
        <v>-625</v>
      </c>
      <c r="K14" s="208">
        <v>-625</v>
      </c>
      <c r="L14" s="208">
        <v>-625</v>
      </c>
      <c r="M14" s="208">
        <v>-625</v>
      </c>
      <c r="N14" s="208">
        <v>-625</v>
      </c>
      <c r="O14" s="208">
        <v>-625</v>
      </c>
      <c r="P14" s="208">
        <v>-625</v>
      </c>
      <c r="Q14" s="208">
        <v>-625</v>
      </c>
      <c r="R14" s="208">
        <v>-625</v>
      </c>
      <c r="S14" s="208"/>
      <c r="T14" s="208"/>
      <c r="U14" s="208"/>
      <c r="V14" s="208">
        <f>SUM(G14:R14)</f>
        <v>-7500</v>
      </c>
    </row>
    <row r="15" spans="1:22" x14ac:dyDescent="0.3">
      <c r="B15" s="307" t="s">
        <v>147</v>
      </c>
      <c r="C15" s="308"/>
      <c r="D15" s="308"/>
      <c r="E15" s="308"/>
      <c r="F15" s="308"/>
      <c r="G15" s="208">
        <f>'IS 2027'!F56</f>
        <v>0</v>
      </c>
      <c r="H15" s="208">
        <f>'IS 2027'!G56</f>
        <v>0</v>
      </c>
      <c r="I15" s="208">
        <f>'IS 2027'!H56</f>
        <v>0</v>
      </c>
      <c r="J15" s="208">
        <f>'IS 2027'!I56</f>
        <v>0</v>
      </c>
      <c r="K15" s="208">
        <f>'IS 2027'!J56</f>
        <v>0</v>
      </c>
      <c r="L15" s="208">
        <f>'IS 2027'!K56</f>
        <v>0</v>
      </c>
      <c r="M15" s="208">
        <f>'IS 2027'!L56</f>
        <v>0</v>
      </c>
      <c r="N15" s="208">
        <f>'IS 2027'!M56</f>
        <v>0</v>
      </c>
      <c r="O15" s="208">
        <f>'IS 2027'!N56</f>
        <v>0</v>
      </c>
      <c r="P15" s="208">
        <f>'IS 2027'!O56</f>
        <v>0</v>
      </c>
      <c r="Q15" s="208">
        <f>'IS 2027'!P56</f>
        <v>0</v>
      </c>
      <c r="R15" s="208">
        <f>'IS 2027'!Q56</f>
        <v>0</v>
      </c>
      <c r="S15" s="208"/>
      <c r="T15" s="208"/>
      <c r="U15" s="208"/>
      <c r="V15" s="308"/>
    </row>
    <row r="16" spans="1:22" x14ac:dyDescent="0.3">
      <c r="B16" s="307" t="s">
        <v>148</v>
      </c>
      <c r="C16" s="308"/>
      <c r="D16" s="308"/>
      <c r="E16" s="308"/>
      <c r="F16" s="308"/>
      <c r="G16" s="208">
        <f>'IS 2027'!F58</f>
        <v>-103880.6</v>
      </c>
      <c r="H16" s="208">
        <f>'IS 2027'!G58</f>
        <v>-104632.6</v>
      </c>
      <c r="I16" s="208">
        <f>'IS 2027'!H58</f>
        <v>-106366.6</v>
      </c>
      <c r="J16" s="208">
        <f>'IS 2027'!I58</f>
        <v>-107118.6</v>
      </c>
      <c r="K16" s="208">
        <f>'IS 2027'!J58</f>
        <v>-107870.6</v>
      </c>
      <c r="L16" s="208">
        <f>'IS 2027'!K58</f>
        <v>-108528.6</v>
      </c>
      <c r="M16" s="208">
        <f>'IS 2027'!L58</f>
        <v>-110408.6</v>
      </c>
      <c r="N16" s="208">
        <f>'IS 2027'!M58</f>
        <v>-111160.6</v>
      </c>
      <c r="O16" s="208">
        <f>'IS 2027'!N58</f>
        <v>-113980.6</v>
      </c>
      <c r="P16" s="208">
        <f>'IS 2027'!O58</f>
        <v>-114732.6</v>
      </c>
      <c r="Q16" s="208">
        <f>'IS 2027'!P58</f>
        <v>-115484.6</v>
      </c>
      <c r="R16" s="208">
        <f>'IS 2027'!Q58</f>
        <v>-118483.40000000001</v>
      </c>
      <c r="S16" s="308"/>
      <c r="T16" s="308"/>
      <c r="U16" s="308"/>
      <c r="V16" s="308"/>
    </row>
    <row r="17" spans="1:22" x14ac:dyDescent="0.3">
      <c r="A17" s="145"/>
      <c r="B17" s="175" t="s">
        <v>149</v>
      </c>
      <c r="C17" s="145"/>
      <c r="D17" s="145"/>
      <c r="E17" s="145"/>
      <c r="F17" s="145"/>
      <c r="G17" s="153">
        <f t="shared" ref="G17:R17" si="1">G11</f>
        <v>588910</v>
      </c>
      <c r="H17" s="153">
        <f t="shared" si="1"/>
        <v>592670</v>
      </c>
      <c r="I17" s="153">
        <f t="shared" si="1"/>
        <v>607240</v>
      </c>
      <c r="J17" s="153">
        <f t="shared" si="1"/>
        <v>611000</v>
      </c>
      <c r="K17" s="153">
        <f t="shared" si="1"/>
        <v>614760</v>
      </c>
      <c r="L17" s="153">
        <f t="shared" si="1"/>
        <v>618050</v>
      </c>
      <c r="M17" s="153">
        <f t="shared" si="1"/>
        <v>627450</v>
      </c>
      <c r="N17" s="153">
        <f t="shared" si="1"/>
        <v>631210</v>
      </c>
      <c r="O17" s="153">
        <f t="shared" si="1"/>
        <v>645310</v>
      </c>
      <c r="P17" s="153">
        <f t="shared" si="1"/>
        <v>649070</v>
      </c>
      <c r="Q17" s="153">
        <f t="shared" si="1"/>
        <v>652830</v>
      </c>
      <c r="R17" s="153">
        <f t="shared" si="1"/>
        <v>656590</v>
      </c>
      <c r="S17" s="153"/>
      <c r="T17" s="153"/>
      <c r="U17" s="153"/>
      <c r="V17" s="153">
        <f>SUM(G17:R17)</f>
        <v>7495090</v>
      </c>
    </row>
    <row r="18" spans="1:22" x14ac:dyDescent="0.3">
      <c r="A18" s="146"/>
      <c r="B18" s="196" t="s">
        <v>150</v>
      </c>
      <c r="C18" s="146"/>
      <c r="D18" s="146"/>
      <c r="E18" s="146"/>
      <c r="F18" s="146"/>
      <c r="G18" s="147">
        <f>SUM(G14:G16)</f>
        <v>-104505.60000000001</v>
      </c>
      <c r="H18" s="147">
        <f t="shared" ref="H18:R18" si="2">SUM(H14:H16)</f>
        <v>-105257.60000000001</v>
      </c>
      <c r="I18" s="147">
        <f t="shared" si="2"/>
        <v>-106991.6</v>
      </c>
      <c r="J18" s="147">
        <f t="shared" si="2"/>
        <v>-107743.6</v>
      </c>
      <c r="K18" s="147">
        <f t="shared" si="2"/>
        <v>-108495.6</v>
      </c>
      <c r="L18" s="147">
        <f t="shared" si="2"/>
        <v>-109153.60000000001</v>
      </c>
      <c r="M18" s="147">
        <f t="shared" si="2"/>
        <v>-111033.60000000001</v>
      </c>
      <c r="N18" s="147">
        <f t="shared" si="2"/>
        <v>-111785.60000000001</v>
      </c>
      <c r="O18" s="147">
        <f t="shared" si="2"/>
        <v>-114605.6</v>
      </c>
      <c r="P18" s="147">
        <f t="shared" si="2"/>
        <v>-115357.6</v>
      </c>
      <c r="Q18" s="147">
        <f t="shared" si="2"/>
        <v>-116109.6</v>
      </c>
      <c r="R18" s="147">
        <f t="shared" si="2"/>
        <v>-119108.40000000001</v>
      </c>
      <c r="S18" s="147"/>
      <c r="T18" s="147"/>
      <c r="U18" s="147"/>
      <c r="V18" s="147">
        <f>SUM(G18:R18)</f>
        <v>-1330148</v>
      </c>
    </row>
    <row r="19" spans="1:22" x14ac:dyDescent="0.3">
      <c r="B19" s="148" t="s">
        <v>151</v>
      </c>
      <c r="C19" s="148"/>
      <c r="D19" s="148"/>
      <c r="E19" s="148"/>
      <c r="F19" s="148"/>
      <c r="G19" s="149">
        <f>SUM(G17:G18)</f>
        <v>484404.4</v>
      </c>
      <c r="H19" s="149">
        <f t="shared" ref="H19:R19" si="3">SUM(H17:H18)</f>
        <v>487412.4</v>
      </c>
      <c r="I19" s="149">
        <f t="shared" si="3"/>
        <v>500248.4</v>
      </c>
      <c r="J19" s="149">
        <f t="shared" si="3"/>
        <v>503256.4</v>
      </c>
      <c r="K19" s="149">
        <f t="shared" si="3"/>
        <v>506264.4</v>
      </c>
      <c r="L19" s="149">
        <f t="shared" si="3"/>
        <v>508896.4</v>
      </c>
      <c r="M19" s="149">
        <f t="shared" si="3"/>
        <v>516416.4</v>
      </c>
      <c r="N19" s="149">
        <f t="shared" si="3"/>
        <v>519424.4</v>
      </c>
      <c r="O19" s="149">
        <f t="shared" si="3"/>
        <v>530704.4</v>
      </c>
      <c r="P19" s="149">
        <f t="shared" si="3"/>
        <v>533712.4</v>
      </c>
      <c r="Q19" s="149">
        <f t="shared" si="3"/>
        <v>536720.4</v>
      </c>
      <c r="R19" s="149">
        <f t="shared" si="3"/>
        <v>537481.6</v>
      </c>
      <c r="S19" s="149"/>
      <c r="T19" s="149"/>
      <c r="U19" s="149"/>
      <c r="V19" s="149">
        <f>SUM(G19:R19)</f>
        <v>6164942</v>
      </c>
    </row>
    <row r="20" spans="1:22" x14ac:dyDescent="0.3">
      <c r="B20" s="148" t="s">
        <v>193</v>
      </c>
      <c r="C20" s="148"/>
      <c r="D20" s="148"/>
      <c r="E20" s="148"/>
      <c r="F20" s="148"/>
      <c r="G20" s="149">
        <f>'IS 2025'!F56+G19</f>
        <v>482554.4</v>
      </c>
      <c r="H20" s="149">
        <f>'IS 2024'!G57+H19</f>
        <v>485962.4</v>
      </c>
      <c r="I20" s="149">
        <f>'IS 2024'!H57+I19</f>
        <v>498798.4</v>
      </c>
      <c r="J20" s="149">
        <f>'IS 2024'!I57+J19</f>
        <v>501806.4</v>
      </c>
      <c r="K20" s="149">
        <f>'IS 2024'!J57+K19</f>
        <v>504814.4</v>
      </c>
      <c r="L20" s="149">
        <f>'IS 2024'!K57+L19</f>
        <v>507446.4</v>
      </c>
      <c r="M20" s="149">
        <f>'IS 2024'!L57+M19</f>
        <v>514966.4</v>
      </c>
      <c r="N20" s="149">
        <f>'IS 2024'!M57+N19</f>
        <v>517974.4</v>
      </c>
      <c r="O20" s="149">
        <f>'IS 2024'!N57+O19</f>
        <v>529254.40000000002</v>
      </c>
      <c r="P20" s="149">
        <f>'IS 2024'!O57+P19</f>
        <v>532262.40000000002</v>
      </c>
      <c r="Q20" s="149">
        <f>'IS 2024'!P57+Q19</f>
        <v>535270.40000000002</v>
      </c>
      <c r="R20" s="149">
        <f>'IS 2024'!Q57+R19</f>
        <v>535631.6</v>
      </c>
      <c r="S20" s="149"/>
      <c r="T20" s="149"/>
      <c r="U20" s="149"/>
      <c r="V20" s="149"/>
    </row>
    <row r="21" spans="1:22" x14ac:dyDescent="0.3">
      <c r="B21" s="313" t="s">
        <v>152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308"/>
    </row>
    <row r="22" spans="1:22" x14ac:dyDescent="0.3">
      <c r="B22" s="315" t="s">
        <v>153</v>
      </c>
      <c r="C22" s="148"/>
      <c r="D22" s="148"/>
      <c r="E22" s="148"/>
      <c r="F22" s="148"/>
      <c r="G22" s="149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9"/>
      <c r="T22" s="148"/>
      <c r="U22" s="148"/>
      <c r="V22" s="308"/>
    </row>
    <row r="23" spans="1:22" x14ac:dyDescent="0.3">
      <c r="B23" s="316" t="s">
        <v>117</v>
      </c>
      <c r="C23" s="148"/>
      <c r="D23" s="148"/>
      <c r="E23" s="148"/>
      <c r="F23" s="148"/>
      <c r="G23" s="149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324"/>
      <c r="T23" s="148"/>
      <c r="U23" s="148"/>
      <c r="V23" s="308"/>
    </row>
    <row r="24" spans="1:22" x14ac:dyDescent="0.3">
      <c r="B24" s="315" t="s">
        <v>154</v>
      </c>
      <c r="C24" s="148"/>
      <c r="D24" s="148"/>
      <c r="E24" s="148"/>
      <c r="F24" s="148"/>
      <c r="G24" s="149">
        <f>SUM(G22:G23)</f>
        <v>0</v>
      </c>
      <c r="H24" s="149">
        <f t="shared" ref="H24:R24" si="4">SUM(H22:H23)</f>
        <v>0</v>
      </c>
      <c r="I24" s="149">
        <f t="shared" si="4"/>
        <v>0</v>
      </c>
      <c r="J24" s="149">
        <f t="shared" si="4"/>
        <v>0</v>
      </c>
      <c r="K24" s="149">
        <f t="shared" si="4"/>
        <v>0</v>
      </c>
      <c r="L24" s="149">
        <f t="shared" si="4"/>
        <v>0</v>
      </c>
      <c r="M24" s="149">
        <f t="shared" si="4"/>
        <v>0</v>
      </c>
      <c r="N24" s="149">
        <f t="shared" si="4"/>
        <v>0</v>
      </c>
      <c r="O24" s="149">
        <f t="shared" si="4"/>
        <v>0</v>
      </c>
      <c r="P24" s="149">
        <f t="shared" si="4"/>
        <v>0</v>
      </c>
      <c r="Q24" s="149">
        <f t="shared" si="4"/>
        <v>0</v>
      </c>
      <c r="R24" s="149">
        <f t="shared" si="4"/>
        <v>0</v>
      </c>
      <c r="S24" s="149"/>
      <c r="T24" s="149"/>
      <c r="U24" s="149"/>
      <c r="V24" s="308"/>
    </row>
    <row r="25" spans="1:22" x14ac:dyDescent="0.3">
      <c r="B25" s="317" t="s">
        <v>155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308"/>
    </row>
    <row r="26" spans="1:22" x14ac:dyDescent="0.3">
      <c r="B26" s="307" t="s">
        <v>156</v>
      </c>
      <c r="C26" s="308"/>
      <c r="D26" s="308"/>
      <c r="E26" s="308"/>
      <c r="F26" s="308"/>
      <c r="G26" s="2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</row>
    <row r="27" spans="1:22" x14ac:dyDescent="0.3">
      <c r="B27" s="311" t="s">
        <v>117</v>
      </c>
      <c r="C27" s="308"/>
      <c r="D27" s="308"/>
      <c r="E27" s="308"/>
      <c r="F27" s="308"/>
      <c r="G27" s="2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</row>
    <row r="28" spans="1:22" x14ac:dyDescent="0.3">
      <c r="B28" s="311" t="s">
        <v>118</v>
      </c>
      <c r="C28" s="308"/>
      <c r="D28" s="308"/>
      <c r="E28" s="308"/>
      <c r="F28" s="308"/>
      <c r="G28" s="2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</row>
    <row r="29" spans="1:22" x14ac:dyDescent="0.3">
      <c r="B29" s="311" t="s">
        <v>119</v>
      </c>
      <c r="C29" s="308"/>
      <c r="D29" s="308"/>
      <c r="E29" s="308"/>
      <c r="F29" s="308"/>
      <c r="G29" s="2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</row>
    <row r="30" spans="1:22" x14ac:dyDescent="0.3">
      <c r="B30" s="307" t="s">
        <v>157</v>
      </c>
      <c r="C30" s="308"/>
      <c r="D30" s="308"/>
      <c r="E30" s="308"/>
      <c r="F30" s="3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>
        <f>SUM(G26:R30)</f>
        <v>0</v>
      </c>
    </row>
    <row r="31" spans="1:22" x14ac:dyDescent="0.3">
      <c r="B31" s="311" t="s">
        <v>117</v>
      </c>
      <c r="C31" s="308"/>
      <c r="D31" s="308"/>
      <c r="E31" s="308"/>
      <c r="F31" s="308"/>
      <c r="G31" s="3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308"/>
    </row>
    <row r="32" spans="1:22" x14ac:dyDescent="0.3">
      <c r="B32" s="307" t="s">
        <v>158</v>
      </c>
      <c r="C32" s="308"/>
      <c r="D32" s="308"/>
      <c r="E32" s="308"/>
      <c r="F32" s="308"/>
      <c r="G32" s="2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</row>
    <row r="33" spans="1:22" x14ac:dyDescent="0.3">
      <c r="B33" s="311" t="s">
        <v>117</v>
      </c>
      <c r="C33" s="308"/>
      <c r="D33" s="308"/>
      <c r="E33" s="308"/>
      <c r="F33" s="308"/>
      <c r="G33" s="2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</row>
    <row r="34" spans="1:22" x14ac:dyDescent="0.3">
      <c r="B34" s="307" t="s">
        <v>159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</row>
    <row r="35" spans="1:22" x14ac:dyDescent="0.3">
      <c r="B35" s="311" t="s">
        <v>117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</row>
    <row r="36" spans="1:22" x14ac:dyDescent="0.3">
      <c r="B36" s="307" t="s">
        <v>160</v>
      </c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</row>
    <row r="37" spans="1:22" x14ac:dyDescent="0.3">
      <c r="B37" s="311" t="s">
        <v>117</v>
      </c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</row>
    <row r="38" spans="1:22" x14ac:dyDescent="0.3">
      <c r="B38" s="307" t="s">
        <v>45</v>
      </c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</row>
    <row r="39" spans="1:22" x14ac:dyDescent="0.3">
      <c r="B39" s="307" t="s">
        <v>161</v>
      </c>
      <c r="C39" s="308"/>
      <c r="D39" s="308"/>
      <c r="E39" s="308"/>
      <c r="F39" s="308"/>
      <c r="G39" s="208">
        <f>SUM(G26:G38)</f>
        <v>0</v>
      </c>
      <c r="H39" s="208">
        <f t="shared" ref="H39:R39" si="5">SUM(H26:H38)</f>
        <v>0</v>
      </c>
      <c r="I39" s="208">
        <f t="shared" si="5"/>
        <v>0</v>
      </c>
      <c r="J39" s="208">
        <f t="shared" si="5"/>
        <v>0</v>
      </c>
      <c r="K39" s="208">
        <f t="shared" si="5"/>
        <v>0</v>
      </c>
      <c r="L39" s="208">
        <f t="shared" si="5"/>
        <v>0</v>
      </c>
      <c r="M39" s="208">
        <f t="shared" si="5"/>
        <v>0</v>
      </c>
      <c r="N39" s="208">
        <f t="shared" si="5"/>
        <v>0</v>
      </c>
      <c r="O39" s="208">
        <f t="shared" si="5"/>
        <v>0</v>
      </c>
      <c r="P39" s="208">
        <f t="shared" si="5"/>
        <v>0</v>
      </c>
      <c r="Q39" s="208">
        <f t="shared" si="5"/>
        <v>0</v>
      </c>
      <c r="R39" s="208">
        <f t="shared" si="5"/>
        <v>0</v>
      </c>
      <c r="S39" s="208"/>
      <c r="T39" s="208"/>
      <c r="U39" s="208"/>
      <c r="V39" s="308"/>
    </row>
    <row r="40" spans="1:22" x14ac:dyDescent="0.3">
      <c r="B40" s="318" t="s">
        <v>162</v>
      </c>
      <c r="C40" s="319"/>
      <c r="D40" s="319"/>
      <c r="E40" s="319"/>
      <c r="F40" s="319"/>
      <c r="G40" s="325">
        <f>G49</f>
        <v>484404.4</v>
      </c>
      <c r="H40" s="325">
        <f>H19+H39</f>
        <v>487412.4</v>
      </c>
      <c r="I40" s="325">
        <f>I19+I39</f>
        <v>500248.4</v>
      </c>
      <c r="J40" s="325">
        <f>J19+J39</f>
        <v>503256.4</v>
      </c>
      <c r="K40" s="325">
        <f t="shared" ref="K40:R40" si="6">K19+K39</f>
        <v>506264.4</v>
      </c>
      <c r="L40" s="325">
        <f t="shared" si="6"/>
        <v>508896.4</v>
      </c>
      <c r="M40" s="325">
        <f t="shared" si="6"/>
        <v>516416.4</v>
      </c>
      <c r="N40" s="325">
        <f t="shared" si="6"/>
        <v>519424.4</v>
      </c>
      <c r="O40" s="325">
        <f t="shared" si="6"/>
        <v>530704.4</v>
      </c>
      <c r="P40" s="325">
        <f t="shared" si="6"/>
        <v>533712.4</v>
      </c>
      <c r="Q40" s="325">
        <f t="shared" si="6"/>
        <v>536720.4</v>
      </c>
      <c r="R40" s="325">
        <f t="shared" si="6"/>
        <v>537481.6</v>
      </c>
      <c r="S40" s="325"/>
      <c r="T40" s="325"/>
      <c r="U40" s="325"/>
      <c r="V40" s="325">
        <f>SUM(G40:R40)</f>
        <v>6164942</v>
      </c>
    </row>
    <row r="41" spans="1:22" x14ac:dyDescent="0.3">
      <c r="A41" s="145"/>
      <c r="B41" s="172" t="s">
        <v>163</v>
      </c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</row>
    <row r="42" spans="1:22" x14ac:dyDescent="0.3">
      <c r="B42" s="321" t="s">
        <v>154</v>
      </c>
      <c r="C42" s="321"/>
      <c r="D42" s="321"/>
      <c r="E42" s="321"/>
      <c r="F42" s="321"/>
      <c r="G42" s="326">
        <f>G24</f>
        <v>0</v>
      </c>
      <c r="H42" s="326">
        <f t="shared" ref="H42:R42" si="7">H24</f>
        <v>0</v>
      </c>
      <c r="I42" s="326">
        <f t="shared" si="7"/>
        <v>0</v>
      </c>
      <c r="J42" s="326">
        <f t="shared" si="7"/>
        <v>0</v>
      </c>
      <c r="K42" s="326">
        <f t="shared" si="7"/>
        <v>0</v>
      </c>
      <c r="L42" s="326">
        <f t="shared" si="7"/>
        <v>0</v>
      </c>
      <c r="M42" s="326">
        <f t="shared" si="7"/>
        <v>0</v>
      </c>
      <c r="N42" s="326">
        <f t="shared" si="7"/>
        <v>0</v>
      </c>
      <c r="O42" s="326">
        <f t="shared" si="7"/>
        <v>0</v>
      </c>
      <c r="P42" s="326">
        <f t="shared" si="7"/>
        <v>0</v>
      </c>
      <c r="Q42" s="326">
        <f t="shared" si="7"/>
        <v>0</v>
      </c>
      <c r="R42" s="326">
        <f t="shared" si="7"/>
        <v>0</v>
      </c>
      <c r="S42" s="190"/>
      <c r="T42" s="190"/>
      <c r="U42" s="190"/>
    </row>
    <row r="43" spans="1:22" x14ac:dyDescent="0.3">
      <c r="B43" s="148" t="s">
        <v>161</v>
      </c>
      <c r="C43" s="148"/>
      <c r="D43" s="148"/>
      <c r="E43" s="148"/>
      <c r="F43" s="148"/>
      <c r="G43" s="149">
        <f>G39</f>
        <v>0</v>
      </c>
      <c r="H43" s="149">
        <f t="shared" ref="H43:R43" si="8">H39</f>
        <v>0</v>
      </c>
      <c r="I43" s="149">
        <f t="shared" si="8"/>
        <v>0</v>
      </c>
      <c r="J43" s="149">
        <f t="shared" si="8"/>
        <v>0</v>
      </c>
      <c r="K43" s="149">
        <f t="shared" si="8"/>
        <v>0</v>
      </c>
      <c r="L43" s="149">
        <f t="shared" si="8"/>
        <v>0</v>
      </c>
      <c r="M43" s="149">
        <f t="shared" si="8"/>
        <v>0</v>
      </c>
      <c r="N43" s="149">
        <f t="shared" si="8"/>
        <v>0</v>
      </c>
      <c r="O43" s="149">
        <f t="shared" si="8"/>
        <v>0</v>
      </c>
      <c r="P43" s="149">
        <f t="shared" si="8"/>
        <v>0</v>
      </c>
      <c r="Q43" s="149">
        <f t="shared" si="8"/>
        <v>0</v>
      </c>
      <c r="R43" s="149">
        <f t="shared" si="8"/>
        <v>0</v>
      </c>
      <c r="S43" s="131"/>
      <c r="T43" s="131"/>
      <c r="U43" s="131"/>
    </row>
    <row r="44" spans="1:22" x14ac:dyDescent="0.3">
      <c r="B44" s="148" t="s">
        <v>37</v>
      </c>
      <c r="C44" s="148"/>
      <c r="D44" s="148"/>
      <c r="E44" s="148"/>
      <c r="F44" s="148"/>
      <c r="G44" s="149">
        <f t="shared" ref="G44:R44" si="9">G11</f>
        <v>588910</v>
      </c>
      <c r="H44" s="149">
        <f t="shared" si="9"/>
        <v>592670</v>
      </c>
      <c r="I44" s="149">
        <f t="shared" si="9"/>
        <v>607240</v>
      </c>
      <c r="J44" s="149">
        <f t="shared" si="9"/>
        <v>611000</v>
      </c>
      <c r="K44" s="149">
        <f t="shared" si="9"/>
        <v>614760</v>
      </c>
      <c r="L44" s="149">
        <f t="shared" si="9"/>
        <v>618050</v>
      </c>
      <c r="M44" s="149">
        <f t="shared" si="9"/>
        <v>627450</v>
      </c>
      <c r="N44" s="149">
        <f t="shared" si="9"/>
        <v>631210</v>
      </c>
      <c r="O44" s="149">
        <f t="shared" si="9"/>
        <v>645310</v>
      </c>
      <c r="P44" s="149">
        <f t="shared" si="9"/>
        <v>649070</v>
      </c>
      <c r="Q44" s="149">
        <f t="shared" si="9"/>
        <v>652830</v>
      </c>
      <c r="R44" s="149">
        <f t="shared" si="9"/>
        <v>656590</v>
      </c>
      <c r="S44" s="131"/>
      <c r="T44" s="131"/>
      <c r="U44" s="131"/>
    </row>
    <row r="45" spans="1:22" x14ac:dyDescent="0.3">
      <c r="B45" s="148" t="s">
        <v>38</v>
      </c>
      <c r="C45" s="148"/>
      <c r="D45" s="148"/>
      <c r="E45" s="148"/>
      <c r="F45" s="148"/>
      <c r="G45" s="149">
        <f>G14</f>
        <v>-625</v>
      </c>
      <c r="H45" s="149">
        <f t="shared" ref="H45:R45" si="10">H14</f>
        <v>-625</v>
      </c>
      <c r="I45" s="149">
        <f t="shared" si="10"/>
        <v>-625</v>
      </c>
      <c r="J45" s="149">
        <f t="shared" si="10"/>
        <v>-625</v>
      </c>
      <c r="K45" s="149">
        <f t="shared" si="10"/>
        <v>-625</v>
      </c>
      <c r="L45" s="149">
        <f t="shared" si="10"/>
        <v>-625</v>
      </c>
      <c r="M45" s="149">
        <f t="shared" si="10"/>
        <v>-625</v>
      </c>
      <c r="N45" s="149">
        <f t="shared" si="10"/>
        <v>-625</v>
      </c>
      <c r="O45" s="149">
        <f t="shared" si="10"/>
        <v>-625</v>
      </c>
      <c r="P45" s="149">
        <f t="shared" si="10"/>
        <v>-625</v>
      </c>
      <c r="Q45" s="149">
        <f t="shared" si="10"/>
        <v>-625</v>
      </c>
      <c r="R45" s="149">
        <f t="shared" si="10"/>
        <v>-625</v>
      </c>
      <c r="S45" s="131"/>
      <c r="T45" s="131"/>
      <c r="U45" s="131"/>
    </row>
    <row r="46" spans="1:22" x14ac:dyDescent="0.3">
      <c r="B46" s="148" t="s">
        <v>164</v>
      </c>
      <c r="C46" s="148"/>
      <c r="D46" s="148"/>
      <c r="E46" s="148"/>
      <c r="F46" s="148"/>
      <c r="G46" s="149">
        <f>SUM(G42:G45)</f>
        <v>588285</v>
      </c>
      <c r="H46" s="149">
        <f t="shared" ref="H46:R46" si="11">SUM(H42:H45)</f>
        <v>592045</v>
      </c>
      <c r="I46" s="149">
        <f t="shared" si="11"/>
        <v>606615</v>
      </c>
      <c r="J46" s="149">
        <f t="shared" si="11"/>
        <v>610375</v>
      </c>
      <c r="K46" s="149">
        <f t="shared" si="11"/>
        <v>614135</v>
      </c>
      <c r="L46" s="149">
        <f t="shared" si="11"/>
        <v>617425</v>
      </c>
      <c r="M46" s="149">
        <f t="shared" si="11"/>
        <v>626825</v>
      </c>
      <c r="N46" s="149">
        <f t="shared" si="11"/>
        <v>630585</v>
      </c>
      <c r="O46" s="149">
        <f t="shared" si="11"/>
        <v>644685</v>
      </c>
      <c r="P46" s="149">
        <f t="shared" si="11"/>
        <v>648445</v>
      </c>
      <c r="Q46" s="149">
        <f t="shared" si="11"/>
        <v>652205</v>
      </c>
      <c r="R46" s="149">
        <f t="shared" si="11"/>
        <v>655965</v>
      </c>
      <c r="S46" s="131"/>
      <c r="T46" s="131"/>
      <c r="U46" s="131"/>
    </row>
    <row r="47" spans="1:22" x14ac:dyDescent="0.3">
      <c r="B47" s="148" t="s">
        <v>147</v>
      </c>
      <c r="C47" s="148"/>
      <c r="D47" s="148"/>
      <c r="E47" s="148"/>
      <c r="F47" s="148"/>
      <c r="G47" s="149">
        <f>G15</f>
        <v>0</v>
      </c>
      <c r="H47" s="149">
        <f t="shared" ref="H47:R47" si="12">H15</f>
        <v>0</v>
      </c>
      <c r="I47" s="149">
        <f t="shared" si="12"/>
        <v>0</v>
      </c>
      <c r="J47" s="149">
        <f t="shared" si="12"/>
        <v>0</v>
      </c>
      <c r="K47" s="149">
        <f t="shared" si="12"/>
        <v>0</v>
      </c>
      <c r="L47" s="149">
        <f t="shared" si="12"/>
        <v>0</v>
      </c>
      <c r="M47" s="149">
        <f t="shared" si="12"/>
        <v>0</v>
      </c>
      <c r="N47" s="149">
        <f t="shared" si="12"/>
        <v>0</v>
      </c>
      <c r="O47" s="149">
        <f t="shared" si="12"/>
        <v>0</v>
      </c>
      <c r="P47" s="149">
        <f t="shared" si="12"/>
        <v>0</v>
      </c>
      <c r="Q47" s="149">
        <f t="shared" si="12"/>
        <v>0</v>
      </c>
      <c r="R47" s="149">
        <f t="shared" si="12"/>
        <v>0</v>
      </c>
      <c r="S47" s="131"/>
      <c r="T47" s="131"/>
      <c r="U47" s="131"/>
    </row>
    <row r="48" spans="1:22" x14ac:dyDescent="0.3">
      <c r="B48" s="148" t="s">
        <v>148</v>
      </c>
      <c r="C48" s="148"/>
      <c r="D48" s="148"/>
      <c r="E48" s="148"/>
      <c r="F48" s="148"/>
      <c r="G48" s="328">
        <f>G16</f>
        <v>-103880.6</v>
      </c>
      <c r="H48" s="328">
        <f t="shared" ref="H48:R48" si="13">H16</f>
        <v>-104632.6</v>
      </c>
      <c r="I48" s="328">
        <f t="shared" si="13"/>
        <v>-106366.6</v>
      </c>
      <c r="J48" s="328">
        <f t="shared" si="13"/>
        <v>-107118.6</v>
      </c>
      <c r="K48" s="328">
        <f t="shared" si="13"/>
        <v>-107870.6</v>
      </c>
      <c r="L48" s="328">
        <f t="shared" si="13"/>
        <v>-108528.6</v>
      </c>
      <c r="M48" s="328">
        <f t="shared" si="13"/>
        <v>-110408.6</v>
      </c>
      <c r="N48" s="328">
        <f t="shared" si="13"/>
        <v>-111160.6</v>
      </c>
      <c r="O48" s="328">
        <f t="shared" si="13"/>
        <v>-113980.6</v>
      </c>
      <c r="P48" s="328">
        <f t="shared" si="13"/>
        <v>-114732.6</v>
      </c>
      <c r="Q48" s="328">
        <f t="shared" si="13"/>
        <v>-115484.6</v>
      </c>
      <c r="R48" s="328">
        <f t="shared" si="13"/>
        <v>-118483.40000000001</v>
      </c>
      <c r="S48" s="188"/>
      <c r="T48" s="188"/>
      <c r="U48" s="188"/>
    </row>
    <row r="49" spans="1:22" x14ac:dyDescent="0.3">
      <c r="B49" s="148" t="s">
        <v>162</v>
      </c>
      <c r="C49" s="148"/>
      <c r="D49" s="148"/>
      <c r="E49" s="148"/>
      <c r="F49" s="148"/>
      <c r="G49" s="149">
        <f>SUM(G46:G48)</f>
        <v>484404.4</v>
      </c>
      <c r="H49" s="149">
        <f>SUM(H46:H48)</f>
        <v>487412.4</v>
      </c>
      <c r="I49" s="149">
        <f t="shared" ref="I49:R49" si="14">SUM(I46:I48)</f>
        <v>500248.4</v>
      </c>
      <c r="J49" s="149">
        <f t="shared" si="14"/>
        <v>503256.4</v>
      </c>
      <c r="K49" s="149">
        <f t="shared" si="14"/>
        <v>506264.4</v>
      </c>
      <c r="L49" s="149">
        <f t="shared" si="14"/>
        <v>508896.4</v>
      </c>
      <c r="M49" s="149">
        <f t="shared" si="14"/>
        <v>516416.4</v>
      </c>
      <c r="N49" s="149">
        <f t="shared" si="14"/>
        <v>519424.4</v>
      </c>
      <c r="O49" s="149">
        <f t="shared" si="14"/>
        <v>530704.4</v>
      </c>
      <c r="P49" s="149">
        <f t="shared" si="14"/>
        <v>533712.4</v>
      </c>
      <c r="Q49" s="149">
        <f t="shared" si="14"/>
        <v>536720.4</v>
      </c>
      <c r="R49" s="149">
        <f t="shared" si="14"/>
        <v>537481.6</v>
      </c>
      <c r="S49" s="131"/>
      <c r="T49" s="131"/>
      <c r="U49" s="131"/>
    </row>
    <row r="50" spans="1:22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2" x14ac:dyDescent="0.3">
      <c r="A51" s="145"/>
      <c r="B51" s="172" t="s">
        <v>165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</row>
    <row r="52" spans="1:22" x14ac:dyDescent="0.3">
      <c r="B52" s="308" t="s">
        <v>166</v>
      </c>
      <c r="C52" s="308"/>
      <c r="D52" s="308"/>
      <c r="E52" s="308"/>
      <c r="F52" s="308"/>
      <c r="G52" s="208">
        <f>SUM(G19+G24)</f>
        <v>484404.4</v>
      </c>
      <c r="H52" s="208">
        <f t="shared" ref="H52:R52" si="15">SUM(H19+H24)</f>
        <v>487412.4</v>
      </c>
      <c r="I52" s="208">
        <f t="shared" si="15"/>
        <v>500248.4</v>
      </c>
      <c r="J52" s="208">
        <f t="shared" si="15"/>
        <v>503256.4</v>
      </c>
      <c r="K52" s="208">
        <f t="shared" si="15"/>
        <v>506264.4</v>
      </c>
      <c r="L52" s="208">
        <f t="shared" si="15"/>
        <v>508896.4</v>
      </c>
      <c r="M52" s="208">
        <f t="shared" si="15"/>
        <v>516416.4</v>
      </c>
      <c r="N52" s="208">
        <f t="shared" si="15"/>
        <v>519424.4</v>
      </c>
      <c r="O52" s="208">
        <f t="shared" si="15"/>
        <v>530704.4</v>
      </c>
      <c r="P52" s="208">
        <f t="shared" si="15"/>
        <v>533712.4</v>
      </c>
      <c r="Q52" s="208">
        <f t="shared" si="15"/>
        <v>536720.4</v>
      </c>
      <c r="R52" s="208">
        <f t="shared" si="15"/>
        <v>537481.6</v>
      </c>
      <c r="S52" s="1"/>
      <c r="T52" s="1"/>
      <c r="U52" s="1"/>
    </row>
    <row r="53" spans="1:22" x14ac:dyDescent="0.3">
      <c r="B53" s="308" t="s">
        <v>167</v>
      </c>
      <c r="C53" s="308"/>
      <c r="D53" s="308"/>
      <c r="E53" s="308"/>
      <c r="F53" s="308"/>
      <c r="G53" s="208">
        <f>G49</f>
        <v>484404.4</v>
      </c>
      <c r="H53" s="208">
        <f t="shared" ref="H53:R53" si="16">H49</f>
        <v>487412.4</v>
      </c>
      <c r="I53" s="208">
        <f t="shared" si="16"/>
        <v>500248.4</v>
      </c>
      <c r="J53" s="208">
        <f t="shared" si="16"/>
        <v>503256.4</v>
      </c>
      <c r="K53" s="208">
        <f t="shared" si="16"/>
        <v>506264.4</v>
      </c>
      <c r="L53" s="208">
        <f t="shared" si="16"/>
        <v>508896.4</v>
      </c>
      <c r="M53" s="208">
        <f t="shared" si="16"/>
        <v>516416.4</v>
      </c>
      <c r="N53" s="208">
        <f t="shared" si="16"/>
        <v>519424.4</v>
      </c>
      <c r="O53" s="208">
        <f t="shared" si="16"/>
        <v>530704.4</v>
      </c>
      <c r="P53" s="208">
        <f t="shared" si="16"/>
        <v>533712.4</v>
      </c>
      <c r="Q53" s="208">
        <f t="shared" si="16"/>
        <v>536720.4</v>
      </c>
      <c r="R53" s="208">
        <f t="shared" si="16"/>
        <v>537481.6</v>
      </c>
      <c r="S53" s="1"/>
      <c r="T53" s="1"/>
      <c r="U53" s="1"/>
    </row>
    <row r="54" spans="1:22" x14ac:dyDescent="0.3">
      <c r="B54" s="308" t="s">
        <v>168</v>
      </c>
      <c r="C54" s="308"/>
      <c r="D54" s="308"/>
      <c r="E54" s="308"/>
      <c r="F54" s="308"/>
      <c r="G54" s="208">
        <f>G49</f>
        <v>484404.4</v>
      </c>
      <c r="H54" s="208">
        <f t="shared" ref="H54:R54" si="17">H49</f>
        <v>487412.4</v>
      </c>
      <c r="I54" s="208">
        <f t="shared" si="17"/>
        <v>500248.4</v>
      </c>
      <c r="J54" s="208">
        <f t="shared" si="17"/>
        <v>503256.4</v>
      </c>
      <c r="K54" s="208">
        <f t="shared" si="17"/>
        <v>506264.4</v>
      </c>
      <c r="L54" s="208">
        <f t="shared" si="17"/>
        <v>508896.4</v>
      </c>
      <c r="M54" s="208">
        <f t="shared" si="17"/>
        <v>516416.4</v>
      </c>
      <c r="N54" s="208">
        <f t="shared" si="17"/>
        <v>519424.4</v>
      </c>
      <c r="O54" s="208">
        <f t="shared" si="17"/>
        <v>530704.4</v>
      </c>
      <c r="P54" s="208">
        <f t="shared" si="17"/>
        <v>533712.4</v>
      </c>
      <c r="Q54" s="208">
        <f t="shared" si="17"/>
        <v>536720.4</v>
      </c>
      <c r="R54" s="208">
        <f t="shared" si="17"/>
        <v>537481.6</v>
      </c>
      <c r="S54" s="1"/>
      <c r="T54" s="1"/>
      <c r="U54" s="1"/>
    </row>
    <row r="55" spans="1:22" x14ac:dyDescent="0.3">
      <c r="B55" s="308" t="s">
        <v>160</v>
      </c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</row>
    <row r="56" spans="1:22" x14ac:dyDescent="0.3">
      <c r="B56" s="308" t="s">
        <v>162</v>
      </c>
      <c r="C56" s="308"/>
      <c r="D56" s="308"/>
      <c r="E56" s="308"/>
      <c r="F56" s="308"/>
      <c r="G56" s="208">
        <f>G49</f>
        <v>484404.4</v>
      </c>
      <c r="H56" s="208">
        <f t="shared" ref="H56:R56" si="18">H49</f>
        <v>487412.4</v>
      </c>
      <c r="I56" s="208">
        <f t="shared" si="18"/>
        <v>500248.4</v>
      </c>
      <c r="J56" s="208">
        <f t="shared" si="18"/>
        <v>503256.4</v>
      </c>
      <c r="K56" s="208">
        <f t="shared" si="18"/>
        <v>506264.4</v>
      </c>
      <c r="L56" s="208">
        <f t="shared" si="18"/>
        <v>508896.4</v>
      </c>
      <c r="M56" s="208">
        <f t="shared" si="18"/>
        <v>516416.4</v>
      </c>
      <c r="N56" s="208">
        <f t="shared" si="18"/>
        <v>519424.4</v>
      </c>
      <c r="O56" s="208">
        <f t="shared" si="18"/>
        <v>530704.4</v>
      </c>
      <c r="P56" s="208">
        <f t="shared" si="18"/>
        <v>533712.4</v>
      </c>
      <c r="Q56" s="208">
        <f t="shared" si="18"/>
        <v>536720.4</v>
      </c>
      <c r="R56" s="208">
        <f t="shared" si="18"/>
        <v>537481.6</v>
      </c>
      <c r="S56" s="1"/>
      <c r="T56" s="1"/>
      <c r="U56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6822-5FE7-4DFE-A7E9-38FDCB7ADB3B}">
  <sheetPr codeName="Sheet35"/>
  <dimension ref="A1:Y216"/>
  <sheetViews>
    <sheetView showGridLines="0" workbookViewId="0">
      <selection activeCell="I29" sqref="I2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27" bestFit="1" customWidth="1"/>
    <col min="7" max="7" width="9.88671875" bestFit="1" customWidth="1"/>
    <col min="8" max="9" width="10.44140625" customWidth="1"/>
    <col min="10" max="10" width="9.6640625" customWidth="1"/>
    <col min="11" max="11" width="10.109375" customWidth="1"/>
    <col min="12" max="12" width="10" customWidth="1"/>
    <col min="13" max="13" width="9.77734375" customWidth="1"/>
    <col min="14" max="14" width="10.44140625" customWidth="1"/>
    <col min="15" max="15" width="9.77734375" customWidth="1"/>
    <col min="16" max="16" width="9.6640625" customWidth="1"/>
    <col min="17" max="17" width="9.88671875" customWidth="1"/>
    <col min="20" max="20" width="9.33203125" customWidth="1"/>
    <col min="21" max="21" width="11.5546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4" t="s">
        <v>169</v>
      </c>
      <c r="F2"/>
    </row>
    <row r="3" spans="1:25" x14ac:dyDescent="0.3">
      <c r="B3" t="s">
        <v>141</v>
      </c>
      <c r="F3"/>
    </row>
    <row r="4" spans="1:25" x14ac:dyDescent="0.3">
      <c r="F4"/>
    </row>
    <row r="5" spans="1:25" x14ac:dyDescent="0.3">
      <c r="A5" s="145"/>
      <c r="B5" s="172" t="s">
        <v>170</v>
      </c>
      <c r="C5" s="145"/>
      <c r="D5" s="145"/>
      <c r="E5" s="145"/>
      <c r="F5" s="199">
        <v>2027</v>
      </c>
      <c r="G5" s="199">
        <v>2027</v>
      </c>
      <c r="H5" s="199">
        <v>2027</v>
      </c>
      <c r="I5" s="199">
        <v>2027</v>
      </c>
      <c r="J5" s="199">
        <v>2027</v>
      </c>
      <c r="K5" s="199">
        <v>2027</v>
      </c>
      <c r="L5" s="199">
        <v>2027</v>
      </c>
      <c r="M5" s="199">
        <v>2027</v>
      </c>
      <c r="N5" s="199">
        <v>2027</v>
      </c>
      <c r="O5" s="199">
        <v>2027</v>
      </c>
      <c r="P5" s="199">
        <v>2027</v>
      </c>
      <c r="Q5" s="199">
        <v>2027</v>
      </c>
      <c r="R5" s="199">
        <v>2028</v>
      </c>
      <c r="S5" s="199">
        <v>2028</v>
      </c>
      <c r="T5" s="199">
        <v>2028</v>
      </c>
      <c r="U5" s="145"/>
    </row>
    <row r="6" spans="1:25" ht="15" thickBot="1" x14ac:dyDescent="0.35">
      <c r="A6" s="157"/>
      <c r="B6" s="158" t="s">
        <v>64</v>
      </c>
      <c r="C6" s="146"/>
      <c r="D6" s="146"/>
      <c r="E6" s="146"/>
      <c r="F6" s="198" t="s">
        <v>25</v>
      </c>
      <c r="G6" s="198" t="s">
        <v>26</v>
      </c>
      <c r="H6" s="198" t="s">
        <v>27</v>
      </c>
      <c r="I6" s="198" t="s">
        <v>28</v>
      </c>
      <c r="J6" s="198" t="s">
        <v>29</v>
      </c>
      <c r="K6" s="198" t="s">
        <v>30</v>
      </c>
      <c r="L6" s="198" t="s">
        <v>31</v>
      </c>
      <c r="M6" s="198" t="s">
        <v>32</v>
      </c>
      <c r="N6" s="198" t="s">
        <v>33</v>
      </c>
      <c r="O6" s="198" t="s">
        <v>34</v>
      </c>
      <c r="P6" s="198" t="s">
        <v>35</v>
      </c>
      <c r="Q6" s="198" t="s">
        <v>36</v>
      </c>
      <c r="R6" s="198" t="s">
        <v>25</v>
      </c>
      <c r="S6" s="198" t="s">
        <v>26</v>
      </c>
      <c r="T6" s="198" t="s">
        <v>27</v>
      </c>
      <c r="U6" s="195" t="s">
        <v>72</v>
      </c>
    </row>
    <row r="7" spans="1:25" s="126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67" t="s">
        <v>169</v>
      </c>
      <c r="F8"/>
    </row>
    <row r="9" spans="1:25" x14ac:dyDescent="0.3">
      <c r="C9" s="168"/>
      <c r="F9"/>
    </row>
    <row r="10" spans="1:25" x14ac:dyDescent="0.3">
      <c r="C10" s="167" t="s">
        <v>48</v>
      </c>
      <c r="F10"/>
      <c r="G10" s="169"/>
      <c r="H10" s="169"/>
      <c r="I10" s="169"/>
      <c r="J10" s="169"/>
      <c r="K10" s="169"/>
      <c r="L10" s="168"/>
      <c r="M10" s="169"/>
      <c r="N10" s="169"/>
      <c r="O10" s="169"/>
      <c r="P10" s="169"/>
      <c r="Q10" s="169"/>
      <c r="R10" s="169"/>
      <c r="S10" s="169"/>
      <c r="T10" s="169"/>
      <c r="V10" s="1"/>
    </row>
    <row r="11" spans="1:25" x14ac:dyDescent="0.3">
      <c r="C11" s="168" t="s">
        <v>171</v>
      </c>
      <c r="F11" s="169">
        <f>'BS 2026'!Q14+'CF 2027'!G49</f>
        <v>14030098.780800004</v>
      </c>
      <c r="G11" s="169">
        <f>F14+'CF 2027'!H49</f>
        <v>14517511.180800004</v>
      </c>
      <c r="H11" s="169">
        <f>G14+'CF 2027'!I49</f>
        <v>15017759.580800004</v>
      </c>
      <c r="I11" s="169">
        <f>H14+'CF 2027'!J49</f>
        <v>15521015.980800005</v>
      </c>
      <c r="J11" s="169">
        <f>I14+'CF 2027'!K49</f>
        <v>16027280.380800005</v>
      </c>
      <c r="K11" s="169">
        <f>J14+'CF 2027'!L49</f>
        <v>16536176.780800005</v>
      </c>
      <c r="L11" s="169">
        <f>K14+'CF 2027'!M49</f>
        <v>17052593.180800006</v>
      </c>
      <c r="M11" s="169">
        <f>L14+'CF 2027'!N49</f>
        <v>17572017.580800004</v>
      </c>
      <c r="N11" s="169">
        <f>M14+'CF 2027'!O49</f>
        <v>18102721.980800003</v>
      </c>
      <c r="O11" s="169">
        <f>N14+'CF 2027'!P49</f>
        <v>18636434.380800001</v>
      </c>
      <c r="P11" s="169">
        <f>O14+'CF 2027'!Q49</f>
        <v>19173154.7808</v>
      </c>
      <c r="Q11" s="169">
        <f>P14+'CF 2027'!R49</f>
        <v>19710636.380800001</v>
      </c>
      <c r="R11" s="169"/>
      <c r="S11" s="169"/>
      <c r="T11" s="169"/>
      <c r="V11" s="1"/>
    </row>
    <row r="12" spans="1:25" x14ac:dyDescent="0.3">
      <c r="C12" s="168" t="s">
        <v>172</v>
      </c>
      <c r="F12" s="169"/>
      <c r="G12" s="168"/>
      <c r="H12" s="168"/>
      <c r="I12" s="168" t="s">
        <v>189</v>
      </c>
      <c r="J12" s="168"/>
      <c r="K12" s="168" t="s">
        <v>189</v>
      </c>
      <c r="L12" s="168"/>
      <c r="M12" s="168"/>
      <c r="N12" s="168"/>
      <c r="O12" s="168"/>
      <c r="P12" s="168"/>
      <c r="Q12" s="168"/>
      <c r="R12" s="168"/>
      <c r="S12" s="168"/>
      <c r="T12" s="168"/>
      <c r="V12" s="1"/>
    </row>
    <row r="13" spans="1:25" x14ac:dyDescent="0.3">
      <c r="C13" s="168" t="s">
        <v>173</v>
      </c>
      <c r="F13"/>
      <c r="I13" s="169"/>
      <c r="K13" s="169"/>
      <c r="S13" s="169"/>
      <c r="T13" s="169"/>
      <c r="V13" s="1"/>
    </row>
    <row r="14" spans="1:25" x14ac:dyDescent="0.3">
      <c r="C14" s="168" t="s">
        <v>174</v>
      </c>
      <c r="F14" s="169">
        <f>SUM(F11:F13)</f>
        <v>14030098.780800004</v>
      </c>
      <c r="G14" s="169">
        <f t="shared" ref="G14:Q14" si="0">SUM(G11:G13)</f>
        <v>14517511.180800004</v>
      </c>
      <c r="H14" s="169">
        <f t="shared" si="0"/>
        <v>15017759.580800004</v>
      </c>
      <c r="I14" s="169">
        <f t="shared" si="0"/>
        <v>15521015.980800005</v>
      </c>
      <c r="J14" s="169">
        <f t="shared" si="0"/>
        <v>16027280.380800005</v>
      </c>
      <c r="K14" s="169">
        <f t="shared" si="0"/>
        <v>16536176.780800005</v>
      </c>
      <c r="L14" s="169">
        <f t="shared" si="0"/>
        <v>17052593.180800006</v>
      </c>
      <c r="M14" s="169">
        <f t="shared" si="0"/>
        <v>17572017.580800004</v>
      </c>
      <c r="N14" s="169">
        <f t="shared" si="0"/>
        <v>18102721.980800003</v>
      </c>
      <c r="O14" s="169">
        <f t="shared" si="0"/>
        <v>18636434.380800001</v>
      </c>
      <c r="P14" s="169">
        <f t="shared" si="0"/>
        <v>19173154.7808</v>
      </c>
      <c r="Q14" s="169">
        <f t="shared" si="0"/>
        <v>19710636.380800001</v>
      </c>
      <c r="R14" s="169"/>
      <c r="S14" s="169"/>
      <c r="T14" s="169"/>
      <c r="U14" s="208">
        <f>SUM(F14:Q14)</f>
        <v>201897400.96960002</v>
      </c>
      <c r="V14" s="1"/>
    </row>
    <row r="15" spans="1:25" x14ac:dyDescent="0.3">
      <c r="C15" s="167" t="s">
        <v>49</v>
      </c>
      <c r="F15"/>
      <c r="G15" s="168"/>
      <c r="H15" s="168"/>
      <c r="I15" s="168"/>
      <c r="J15" s="171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V15" s="1"/>
    </row>
    <row r="16" spans="1:25" x14ac:dyDescent="0.3">
      <c r="C16" s="170" t="s">
        <v>175</v>
      </c>
      <c r="F16" s="169">
        <f>'BS 2026'!Q16-'IS 2027'!F54</f>
        <v>532774</v>
      </c>
      <c r="G16" s="169">
        <f>F16-'IS 2026'!G54</f>
        <v>534685</v>
      </c>
      <c r="H16" s="169">
        <f>G16-'IS 2026'!H54</f>
        <v>536596</v>
      </c>
      <c r="I16" s="169">
        <f>H16-'IS 2026'!I54</f>
        <v>538352</v>
      </c>
      <c r="J16" s="169">
        <f>I16-'IS 2026'!J54</f>
        <v>540108</v>
      </c>
      <c r="K16" s="169">
        <f>J16-'IS 2026'!K54</f>
        <v>541864</v>
      </c>
      <c r="L16" s="169">
        <f>K16-'IS 2026'!L54</f>
        <v>543620</v>
      </c>
      <c r="M16" s="169">
        <f>L16-'IS 2026'!M54</f>
        <v>545376</v>
      </c>
      <c r="N16" s="169">
        <f>M16-'IS 2026'!N54</f>
        <v>547132</v>
      </c>
      <c r="O16" s="169">
        <f>N16-'IS 2026'!O54</f>
        <v>548888</v>
      </c>
      <c r="P16" s="169">
        <f>O16-'IS 2026'!P54</f>
        <v>550644</v>
      </c>
      <c r="Q16" s="169">
        <f>P16-'IS 2026'!Q54</f>
        <v>552400</v>
      </c>
      <c r="R16" s="169"/>
      <c r="S16" s="176"/>
      <c r="T16" s="176"/>
      <c r="V16" s="1"/>
    </row>
    <row r="17" spans="1:22" x14ac:dyDescent="0.3">
      <c r="C17" s="170" t="s">
        <v>176</v>
      </c>
      <c r="F17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V17" s="1"/>
    </row>
    <row r="18" spans="1:22" x14ac:dyDescent="0.3">
      <c r="C18" s="170" t="s">
        <v>177</v>
      </c>
      <c r="F18" s="176">
        <f>SUM(F16:F17)</f>
        <v>532774</v>
      </c>
      <c r="G18" s="176">
        <f t="shared" ref="G18:Q19" si="1">SUM(G16:G17)</f>
        <v>534685</v>
      </c>
      <c r="H18" s="176">
        <f t="shared" si="1"/>
        <v>536596</v>
      </c>
      <c r="I18" s="176">
        <f t="shared" si="1"/>
        <v>538352</v>
      </c>
      <c r="J18" s="176">
        <f t="shared" si="1"/>
        <v>540108</v>
      </c>
      <c r="K18" s="176">
        <f t="shared" si="1"/>
        <v>541864</v>
      </c>
      <c r="L18" s="176">
        <f t="shared" si="1"/>
        <v>543620</v>
      </c>
      <c r="M18" s="176">
        <f t="shared" si="1"/>
        <v>545376</v>
      </c>
      <c r="N18" s="176">
        <f t="shared" si="1"/>
        <v>547132</v>
      </c>
      <c r="O18" s="176">
        <f t="shared" si="1"/>
        <v>548888</v>
      </c>
      <c r="P18" s="176">
        <f t="shared" si="1"/>
        <v>550644</v>
      </c>
      <c r="Q18" s="176">
        <f t="shared" si="1"/>
        <v>552400</v>
      </c>
      <c r="R18" s="176"/>
      <c r="S18" s="176"/>
      <c r="T18" s="176"/>
      <c r="V18" s="1"/>
    </row>
    <row r="19" spans="1:22" x14ac:dyDescent="0.3">
      <c r="A19" s="140"/>
      <c r="B19" s="145"/>
      <c r="C19" s="179" t="s">
        <v>178</v>
      </c>
      <c r="D19" s="145"/>
      <c r="E19" s="145"/>
      <c r="F19" s="180">
        <f>SUM(F17:F18)</f>
        <v>532774</v>
      </c>
      <c r="G19" s="180">
        <f t="shared" si="1"/>
        <v>534685</v>
      </c>
      <c r="H19" s="180">
        <f t="shared" si="1"/>
        <v>536596</v>
      </c>
      <c r="I19" s="180">
        <f t="shared" si="1"/>
        <v>538352</v>
      </c>
      <c r="J19" s="180">
        <f t="shared" si="1"/>
        <v>540108</v>
      </c>
      <c r="K19" s="180">
        <f t="shared" si="1"/>
        <v>541864</v>
      </c>
      <c r="L19" s="180">
        <f t="shared" si="1"/>
        <v>543620</v>
      </c>
      <c r="M19" s="180">
        <f t="shared" si="1"/>
        <v>545376</v>
      </c>
      <c r="N19" s="180">
        <f t="shared" si="1"/>
        <v>547132</v>
      </c>
      <c r="O19" s="180">
        <f t="shared" si="1"/>
        <v>548888</v>
      </c>
      <c r="P19" s="180">
        <f t="shared" si="1"/>
        <v>550644</v>
      </c>
      <c r="Q19" s="180">
        <f t="shared" si="1"/>
        <v>552400</v>
      </c>
      <c r="R19" s="180"/>
      <c r="S19" s="180"/>
      <c r="T19" s="180"/>
      <c r="U19" s="153">
        <f>SUM(F19:Q19)</f>
        <v>6512439</v>
      </c>
      <c r="V19" s="1"/>
    </row>
    <row r="20" spans="1:22" x14ac:dyDescent="0.3">
      <c r="A20" s="157"/>
      <c r="B20" s="146"/>
      <c r="C20" s="181" t="s">
        <v>50</v>
      </c>
      <c r="D20" s="146"/>
      <c r="E20" s="146"/>
      <c r="F20" s="182">
        <f>F14+F19</f>
        <v>14562872.780800004</v>
      </c>
      <c r="G20" s="182">
        <f>G14+G19</f>
        <v>15052196.180800004</v>
      </c>
      <c r="H20" s="182">
        <f t="shared" ref="H20:Q20" si="2">H14+H19</f>
        <v>15554355.580800004</v>
      </c>
      <c r="I20" s="182">
        <f t="shared" si="2"/>
        <v>16059367.980800005</v>
      </c>
      <c r="J20" s="182">
        <f t="shared" si="2"/>
        <v>16567388.380800005</v>
      </c>
      <c r="K20" s="182">
        <f t="shared" si="2"/>
        <v>17078040.780800007</v>
      </c>
      <c r="L20" s="182">
        <f t="shared" si="2"/>
        <v>17596213.180800006</v>
      </c>
      <c r="M20" s="182">
        <f t="shared" si="2"/>
        <v>18117393.580800004</v>
      </c>
      <c r="N20" s="182">
        <f t="shared" si="2"/>
        <v>18649853.980800003</v>
      </c>
      <c r="O20" s="182">
        <f t="shared" si="2"/>
        <v>19185322.380800001</v>
      </c>
      <c r="P20" s="182">
        <f t="shared" si="2"/>
        <v>19723798.7808</v>
      </c>
      <c r="Q20" s="182">
        <f t="shared" si="2"/>
        <v>20263036.380800001</v>
      </c>
      <c r="R20" s="182"/>
      <c r="S20" s="182"/>
      <c r="T20" s="182"/>
      <c r="U20" s="147">
        <f>SUM(F20:Q20)</f>
        <v>208409839.96960008</v>
      </c>
      <c r="V20" s="1"/>
    </row>
    <row r="21" spans="1:22" x14ac:dyDescent="0.3">
      <c r="C21" s="178" t="s">
        <v>51</v>
      </c>
      <c r="F21"/>
      <c r="I21" s="171"/>
      <c r="K21" s="171"/>
      <c r="S21" s="171"/>
      <c r="T21" s="171"/>
      <c r="V21" s="1"/>
    </row>
    <row r="22" spans="1:22" x14ac:dyDescent="0.3">
      <c r="C22" s="170" t="s">
        <v>179</v>
      </c>
      <c r="F22" s="171"/>
      <c r="G22" s="171"/>
      <c r="Q22" s="171"/>
      <c r="V22" s="1"/>
    </row>
    <row r="23" spans="1:22" x14ac:dyDescent="0.3">
      <c r="C23" s="170" t="s">
        <v>180</v>
      </c>
      <c r="F23"/>
      <c r="H23" s="171"/>
      <c r="J23" s="171"/>
      <c r="V23" s="1"/>
    </row>
    <row r="24" spans="1:22" x14ac:dyDescent="0.3">
      <c r="C24" s="168" t="s">
        <v>181</v>
      </c>
      <c r="F24" s="176">
        <f>'CF 2027'!G48</f>
        <v>-103880.6</v>
      </c>
      <c r="G24" s="176">
        <f>'CF 2027'!H48</f>
        <v>-104632.6</v>
      </c>
      <c r="H24" s="176">
        <f>'CF 2027'!I48</f>
        <v>-106366.6</v>
      </c>
      <c r="I24" s="176">
        <f>'CF 2027'!J48</f>
        <v>-107118.6</v>
      </c>
      <c r="J24" s="176">
        <f>'CF 2027'!K48</f>
        <v>-107870.6</v>
      </c>
      <c r="K24" s="176">
        <f>'CF 2027'!L48</f>
        <v>-108528.6</v>
      </c>
      <c r="L24" s="176">
        <f>'CF 2027'!M48</f>
        <v>-110408.6</v>
      </c>
      <c r="M24" s="176">
        <f>'CF 2027'!N48</f>
        <v>-111160.6</v>
      </c>
      <c r="N24" s="176">
        <f>'CF 2027'!O48</f>
        <v>-113980.6</v>
      </c>
      <c r="O24" s="176">
        <f>'CF 2027'!P48</f>
        <v>-114732.6</v>
      </c>
      <c r="P24" s="176">
        <f>'CF 2027'!Q48</f>
        <v>-115484.6</v>
      </c>
      <c r="Q24" s="176">
        <f>'CF 2027'!R48</f>
        <v>-118483.40000000001</v>
      </c>
      <c r="R24" s="176"/>
      <c r="S24" s="176"/>
      <c r="T24" s="176"/>
      <c r="V24" s="1"/>
    </row>
    <row r="25" spans="1:22" x14ac:dyDescent="0.3">
      <c r="A25" s="145"/>
      <c r="B25" s="145"/>
      <c r="C25" s="172" t="s">
        <v>182</v>
      </c>
      <c r="D25" s="145"/>
      <c r="E25" s="145"/>
      <c r="F25" s="153">
        <f>SUM(F22:F24)</f>
        <v>-103880.6</v>
      </c>
      <c r="G25" s="153">
        <f t="shared" ref="G25:Q25" si="3">SUM(G22:G24)</f>
        <v>-104632.6</v>
      </c>
      <c r="H25" s="153">
        <f t="shared" si="3"/>
        <v>-106366.6</v>
      </c>
      <c r="I25" s="153">
        <f t="shared" si="3"/>
        <v>-107118.6</v>
      </c>
      <c r="J25" s="153">
        <f t="shared" si="3"/>
        <v>-107870.6</v>
      </c>
      <c r="K25" s="153">
        <f t="shared" si="3"/>
        <v>-108528.6</v>
      </c>
      <c r="L25" s="153">
        <f t="shared" si="3"/>
        <v>-110408.6</v>
      </c>
      <c r="M25" s="153">
        <f t="shared" si="3"/>
        <v>-111160.6</v>
      </c>
      <c r="N25" s="153">
        <f t="shared" si="3"/>
        <v>-113980.6</v>
      </c>
      <c r="O25" s="153">
        <f t="shared" si="3"/>
        <v>-114732.6</v>
      </c>
      <c r="P25" s="153">
        <f t="shared" si="3"/>
        <v>-115484.6</v>
      </c>
      <c r="Q25" s="153">
        <f t="shared" si="3"/>
        <v>-118483.40000000001</v>
      </c>
      <c r="R25" s="153"/>
      <c r="S25" s="153"/>
      <c r="T25" s="153"/>
      <c r="U25" s="153">
        <f>SUM(F25:Q25)</f>
        <v>-1322648</v>
      </c>
      <c r="V25" s="1"/>
    </row>
    <row r="26" spans="1:22" x14ac:dyDescent="0.3">
      <c r="A26" s="146"/>
      <c r="B26" s="146"/>
      <c r="C26" s="183" t="s">
        <v>52</v>
      </c>
      <c r="D26" s="146"/>
      <c r="E26" s="146"/>
      <c r="F26" s="147"/>
      <c r="G26" s="146"/>
      <c r="H26" s="146"/>
      <c r="I26" s="147"/>
      <c r="J26" s="146"/>
      <c r="K26" s="147"/>
      <c r="L26" s="184"/>
      <c r="M26" s="184"/>
      <c r="N26" s="184"/>
      <c r="O26" s="184"/>
      <c r="P26" s="184"/>
      <c r="Q26" s="146"/>
      <c r="R26" s="184"/>
      <c r="S26" s="147"/>
      <c r="T26" s="147"/>
      <c r="U26" s="146"/>
      <c r="V26" s="1"/>
    </row>
    <row r="27" spans="1:22" x14ac:dyDescent="0.3">
      <c r="C27" s="167" t="s">
        <v>183</v>
      </c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208">
        <f>SUM(F27:Q27)</f>
        <v>0</v>
      </c>
      <c r="V27" s="1"/>
    </row>
    <row r="28" spans="1:22" ht="12.6" customHeight="1" x14ac:dyDescent="0.3">
      <c r="C28" s="168"/>
      <c r="F28"/>
      <c r="J28" s="169" t="s">
        <v>189</v>
      </c>
      <c r="U28" s="308"/>
      <c r="V28" s="1"/>
    </row>
    <row r="29" spans="1:22" x14ac:dyDescent="0.3">
      <c r="C29" s="167" t="s">
        <v>184</v>
      </c>
      <c r="F29" s="169"/>
      <c r="G29" s="169"/>
      <c r="H29" s="169"/>
      <c r="Q29" s="169"/>
      <c r="U29" s="308"/>
      <c r="V29" s="1"/>
    </row>
    <row r="30" spans="1:22" x14ac:dyDescent="0.3">
      <c r="C30" s="170" t="s">
        <v>192</v>
      </c>
      <c r="F30" s="169"/>
      <c r="G30" s="169"/>
      <c r="H30" s="169"/>
      <c r="Q30" s="169"/>
      <c r="U30" s="308"/>
      <c r="V30" s="1"/>
    </row>
    <row r="31" spans="1:22" x14ac:dyDescent="0.3">
      <c r="C31" s="167" t="s">
        <v>185</v>
      </c>
      <c r="F31" s="176">
        <f>SUM(F27:F29)</f>
        <v>0</v>
      </c>
      <c r="G31" s="176">
        <f t="shared" ref="G31:Q31" si="4">SUM(G27:G29)</f>
        <v>0</v>
      </c>
      <c r="H31" s="176">
        <f t="shared" si="4"/>
        <v>0</v>
      </c>
      <c r="I31" s="176">
        <f t="shared" si="4"/>
        <v>0</v>
      </c>
      <c r="J31" s="176">
        <f t="shared" si="4"/>
        <v>0</v>
      </c>
      <c r="K31" s="176">
        <f t="shared" si="4"/>
        <v>0</v>
      </c>
      <c r="L31" s="176">
        <f t="shared" si="4"/>
        <v>0</v>
      </c>
      <c r="M31" s="176">
        <f t="shared" si="4"/>
        <v>0</v>
      </c>
      <c r="N31" s="176">
        <f t="shared" si="4"/>
        <v>0</v>
      </c>
      <c r="O31" s="176">
        <f t="shared" si="4"/>
        <v>0</v>
      </c>
      <c r="P31" s="176">
        <f t="shared" si="4"/>
        <v>0</v>
      </c>
      <c r="Q31" s="176">
        <f t="shared" si="4"/>
        <v>0</v>
      </c>
      <c r="R31" s="176"/>
      <c r="S31" s="176"/>
      <c r="T31" s="176"/>
      <c r="U31" s="308"/>
      <c r="V31" s="1"/>
    </row>
    <row r="32" spans="1:22" x14ac:dyDescent="0.3">
      <c r="C32" s="167" t="s">
        <v>53</v>
      </c>
      <c r="F32" s="176">
        <f>F31+F25</f>
        <v>-103880.6</v>
      </c>
      <c r="G32" s="176">
        <f t="shared" ref="G32:Q32" si="5">G31+G24</f>
        <v>-104632.6</v>
      </c>
      <c r="H32" s="176">
        <f t="shared" si="5"/>
        <v>-106366.6</v>
      </c>
      <c r="I32" s="176">
        <f t="shared" si="5"/>
        <v>-107118.6</v>
      </c>
      <c r="J32" s="176">
        <f t="shared" si="5"/>
        <v>-107870.6</v>
      </c>
      <c r="K32" s="176">
        <f t="shared" si="5"/>
        <v>-108528.6</v>
      </c>
      <c r="L32" s="176">
        <f t="shared" si="5"/>
        <v>-110408.6</v>
      </c>
      <c r="M32" s="176">
        <f t="shared" si="5"/>
        <v>-111160.6</v>
      </c>
      <c r="N32" s="176">
        <f t="shared" si="5"/>
        <v>-113980.6</v>
      </c>
      <c r="O32" s="176">
        <f t="shared" si="5"/>
        <v>-114732.6</v>
      </c>
      <c r="P32" s="176">
        <f t="shared" si="5"/>
        <v>-115484.6</v>
      </c>
      <c r="Q32" s="176">
        <f t="shared" si="5"/>
        <v>-118483.40000000001</v>
      </c>
      <c r="R32" s="176"/>
      <c r="S32" s="176"/>
      <c r="T32" s="176"/>
      <c r="U32" s="308"/>
      <c r="V32" s="1"/>
    </row>
    <row r="33" spans="3:22" x14ac:dyDescent="0.3">
      <c r="C33" s="167" t="s">
        <v>54</v>
      </c>
      <c r="F33" s="207">
        <f>F20+F32</f>
        <v>14458992.180800004</v>
      </c>
      <c r="G33" s="207">
        <f t="shared" ref="G33:Q33" si="6">G20+G32</f>
        <v>14947563.580800004</v>
      </c>
      <c r="H33" s="207">
        <f t="shared" si="6"/>
        <v>15447988.980800005</v>
      </c>
      <c r="I33" s="207">
        <f t="shared" si="6"/>
        <v>15952249.380800005</v>
      </c>
      <c r="J33" s="207">
        <f t="shared" si="6"/>
        <v>16459517.780800005</v>
      </c>
      <c r="K33" s="207">
        <f t="shared" si="6"/>
        <v>16969512.180800006</v>
      </c>
      <c r="L33" s="207">
        <f t="shared" si="6"/>
        <v>17485804.580800004</v>
      </c>
      <c r="M33" s="207">
        <f t="shared" si="6"/>
        <v>18006232.980800003</v>
      </c>
      <c r="N33" s="207">
        <f t="shared" si="6"/>
        <v>18535873.380800001</v>
      </c>
      <c r="O33" s="207">
        <f t="shared" si="6"/>
        <v>19070589.7808</v>
      </c>
      <c r="P33" s="207">
        <f t="shared" si="6"/>
        <v>19608314.180799998</v>
      </c>
      <c r="Q33" s="207">
        <f t="shared" si="6"/>
        <v>20144552.980800003</v>
      </c>
      <c r="R33" s="207"/>
      <c r="S33" s="207"/>
      <c r="T33" s="207"/>
      <c r="U33" s="330">
        <f>SUM(F33:Q33)</f>
        <v>207087191.96960002</v>
      </c>
      <c r="V33" s="1"/>
    </row>
    <row r="34" spans="3:22" x14ac:dyDescent="0.3">
      <c r="C34" s="170" t="s">
        <v>56</v>
      </c>
      <c r="F34" s="168"/>
      <c r="G34" s="168"/>
      <c r="H34" s="168"/>
      <c r="I34" s="168"/>
      <c r="J34" s="169"/>
      <c r="K34" s="169"/>
      <c r="L34" s="169"/>
      <c r="M34" s="169"/>
      <c r="N34" s="169"/>
      <c r="O34" s="169"/>
      <c r="P34" s="169"/>
      <c r="Q34" s="168"/>
      <c r="R34" s="169"/>
      <c r="S34" s="169"/>
      <c r="T34" s="169"/>
      <c r="V34" s="1"/>
    </row>
    <row r="35" spans="3:22" x14ac:dyDescent="0.3">
      <c r="C35" s="170" t="s">
        <v>58</v>
      </c>
      <c r="F35" s="169">
        <f>SUM(F33:F34)</f>
        <v>14458992.180800004</v>
      </c>
      <c r="G35" s="169">
        <f t="shared" ref="G35:Q35" si="7">SUM(G33:G34)</f>
        <v>14947563.580800004</v>
      </c>
      <c r="H35" s="169">
        <f t="shared" si="7"/>
        <v>15447988.980800005</v>
      </c>
      <c r="I35" s="169">
        <f t="shared" si="7"/>
        <v>15952249.380800005</v>
      </c>
      <c r="J35" s="169">
        <f t="shared" si="7"/>
        <v>16459517.780800005</v>
      </c>
      <c r="K35" s="169">
        <f t="shared" si="7"/>
        <v>16969512.180800006</v>
      </c>
      <c r="L35" s="169">
        <f t="shared" si="7"/>
        <v>17485804.580800004</v>
      </c>
      <c r="M35" s="169">
        <f t="shared" si="7"/>
        <v>18006232.980800003</v>
      </c>
      <c r="N35" s="169">
        <f t="shared" si="7"/>
        <v>18535873.380800001</v>
      </c>
      <c r="O35" s="169">
        <f t="shared" si="7"/>
        <v>19070589.7808</v>
      </c>
      <c r="P35" s="169">
        <f t="shared" si="7"/>
        <v>19608314.180799998</v>
      </c>
      <c r="Q35" s="169">
        <f t="shared" si="7"/>
        <v>20144552.980800003</v>
      </c>
      <c r="R35" s="169"/>
      <c r="S35" s="169"/>
      <c r="T35" s="169"/>
      <c r="V35" s="1"/>
    </row>
    <row r="36" spans="3:22" x14ac:dyDescent="0.3">
      <c r="C36" s="177" t="s">
        <v>59</v>
      </c>
      <c r="F36" s="169">
        <f>F34+F35</f>
        <v>14458992.180800004</v>
      </c>
      <c r="G36" s="169">
        <f t="shared" ref="G36:Q36" si="8">G34+G35</f>
        <v>14947563.580800004</v>
      </c>
      <c r="H36" s="169">
        <f t="shared" si="8"/>
        <v>15447988.980800005</v>
      </c>
      <c r="I36" s="169">
        <f t="shared" si="8"/>
        <v>15952249.380800005</v>
      </c>
      <c r="J36" s="169">
        <f t="shared" si="8"/>
        <v>16459517.780800005</v>
      </c>
      <c r="K36" s="169">
        <f t="shared" si="8"/>
        <v>16969512.180800006</v>
      </c>
      <c r="L36" s="169">
        <f t="shared" si="8"/>
        <v>17485804.580800004</v>
      </c>
      <c r="M36" s="169">
        <f t="shared" si="8"/>
        <v>18006232.980800003</v>
      </c>
      <c r="N36" s="169">
        <f t="shared" si="8"/>
        <v>18535873.380800001</v>
      </c>
      <c r="O36" s="169">
        <f t="shared" si="8"/>
        <v>19070589.7808</v>
      </c>
      <c r="P36" s="169">
        <f t="shared" si="8"/>
        <v>19608314.180799998</v>
      </c>
      <c r="Q36" s="169">
        <f t="shared" si="8"/>
        <v>20144552.980800003</v>
      </c>
      <c r="R36" s="169"/>
      <c r="S36" s="169"/>
      <c r="T36" s="169"/>
      <c r="V36" s="1"/>
    </row>
    <row r="37" spans="3:22" x14ac:dyDescent="0.3">
      <c r="C37" s="170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V37" s="1"/>
    </row>
    <row r="38" spans="3:22" x14ac:dyDescent="0.3">
      <c r="C38" s="170" t="s">
        <v>186</v>
      </c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V38" s="1"/>
    </row>
    <row r="39" spans="3:22" x14ac:dyDescent="0.3">
      <c r="C39" s="170" t="s">
        <v>187</v>
      </c>
      <c r="F39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V39" s="1"/>
    </row>
    <row r="40" spans="3:22" x14ac:dyDescent="0.3">
      <c r="C40" s="170" t="s">
        <v>188</v>
      </c>
      <c r="F40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V40" s="1"/>
    </row>
    <row r="41" spans="3:22" x14ac:dyDescent="0.3">
      <c r="C41" s="170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5A0F-C2A6-4DF8-816A-CC39E2F00761}">
  <sheetPr codeName="Sheet22"/>
  <dimension ref="A2:V57"/>
  <sheetViews>
    <sheetView showGridLines="0" tabSelected="1" workbookViewId="0">
      <selection activeCell="G46" sqref="G46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88671875" customWidth="1"/>
    <col min="19" max="19" width="9.5546875" customWidth="1"/>
    <col min="22" max="22" width="9.88671875" bestFit="1" customWidth="1"/>
  </cols>
  <sheetData>
    <row r="2" spans="1:22" ht="18" x14ac:dyDescent="0.35">
      <c r="A2" s="130" t="s">
        <v>143</v>
      </c>
      <c r="C2" s="129"/>
      <c r="D2" s="9"/>
    </row>
    <row r="3" spans="1:22" x14ac:dyDescent="0.3">
      <c r="A3" s="128" t="s">
        <v>144</v>
      </c>
      <c r="C3" s="14"/>
    </row>
    <row r="4" spans="1:22" x14ac:dyDescent="0.3">
      <c r="A4" s="128" t="s">
        <v>145</v>
      </c>
      <c r="C4" s="14"/>
    </row>
    <row r="6" spans="1:22" x14ac:dyDescent="0.3">
      <c r="B6" s="14" t="s">
        <v>191</v>
      </c>
    </row>
    <row r="7" spans="1:22" x14ac:dyDescent="0.3">
      <c r="A7" s="140"/>
      <c r="B7" s="172" t="s">
        <v>64</v>
      </c>
      <c r="C7" s="145"/>
      <c r="D7" s="145"/>
      <c r="E7" s="145"/>
      <c r="F7" s="145"/>
      <c r="G7" s="174">
        <v>44927</v>
      </c>
      <c r="H7" s="174">
        <v>44958</v>
      </c>
      <c r="I7" s="174">
        <v>44986</v>
      </c>
      <c r="J7" s="174">
        <v>45017</v>
      </c>
      <c r="K7" s="174">
        <v>45047</v>
      </c>
      <c r="L7" s="174">
        <v>45078</v>
      </c>
      <c r="M7" s="174">
        <v>45108</v>
      </c>
      <c r="N7" s="174">
        <v>45139</v>
      </c>
      <c r="O7" s="174">
        <v>45170</v>
      </c>
      <c r="P7" s="174">
        <v>45200</v>
      </c>
      <c r="Q7" s="174">
        <v>45231</v>
      </c>
      <c r="R7" s="174">
        <v>45261</v>
      </c>
      <c r="S7" s="174">
        <v>45292</v>
      </c>
      <c r="T7" s="174">
        <v>45323</v>
      </c>
      <c r="U7" s="174">
        <v>45352</v>
      </c>
      <c r="V7" s="174" t="s">
        <v>72</v>
      </c>
    </row>
    <row r="8" spans="1:22" x14ac:dyDescent="0.3"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3">
      <c r="B9" s="14" t="s">
        <v>143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x14ac:dyDescent="0.3">
      <c r="A10" s="145"/>
      <c r="B10" s="172" t="s">
        <v>146</v>
      </c>
      <c r="C10" s="145"/>
      <c r="D10" s="145"/>
      <c r="E10" s="145"/>
      <c r="F10" s="145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</row>
    <row r="11" spans="1:22" x14ac:dyDescent="0.3">
      <c r="B11" s="307" t="s">
        <v>37</v>
      </c>
      <c r="C11" s="308"/>
      <c r="D11" s="308"/>
      <c r="E11" s="308"/>
      <c r="F11" s="308"/>
      <c r="G11" s="309">
        <f>SUM(G12:G13)</f>
        <v>280000</v>
      </c>
      <c r="H11" s="309">
        <f>SUM(H12:H13)</f>
        <v>270555</v>
      </c>
      <c r="I11" s="309">
        <f>SUM(I12:I13)</f>
        <v>286778</v>
      </c>
      <c r="J11" s="309">
        <f>SUM(J12:J13)</f>
        <v>295112</v>
      </c>
      <c r="K11" s="309">
        <f>SUM(K12:K13)</f>
        <v>320445</v>
      </c>
      <c r="L11" s="309">
        <f>SUM(L12:L13)</f>
        <v>349015</v>
      </c>
      <c r="M11" s="309">
        <f>SUM(M12:M13)</f>
        <v>357998</v>
      </c>
      <c r="N11" s="309">
        <f>SUM(N12:N13)</f>
        <v>360821</v>
      </c>
      <c r="O11" s="309">
        <f>SUM(O12:O13)</f>
        <v>350123</v>
      </c>
      <c r="P11" s="309">
        <f>SUM(P12:P13)</f>
        <v>330015</v>
      </c>
      <c r="Q11" s="309">
        <f>SUM(Q12:Q13)</f>
        <v>313011</v>
      </c>
      <c r="R11" s="309">
        <f>SUM(R12:R13)</f>
        <v>300123</v>
      </c>
      <c r="S11" s="309">
        <f>'CF 2024'!G11</f>
        <v>338078.59200000006</v>
      </c>
      <c r="T11" s="309">
        <f>'CF 2024'!H11</f>
        <v>342857.08799999993</v>
      </c>
      <c r="U11" s="309">
        <f>'CF 2024'!I11</f>
        <v>347635.58399999997</v>
      </c>
      <c r="V11" s="309">
        <f>SUM(G11:R11)</f>
        <v>3813996</v>
      </c>
    </row>
    <row r="12" spans="1:22" x14ac:dyDescent="0.3">
      <c r="B12" s="136" t="s">
        <v>305</v>
      </c>
      <c r="C12" s="308"/>
      <c r="D12" s="308"/>
      <c r="E12" s="308"/>
      <c r="F12" s="308"/>
      <c r="G12" s="309">
        <f>'IS 2023'!F12</f>
        <v>280000</v>
      </c>
      <c r="H12" s="309">
        <f>'IS 2023'!G12</f>
        <v>270555</v>
      </c>
      <c r="I12" s="309">
        <f>'IS 2023'!H12</f>
        <v>286778</v>
      </c>
      <c r="J12" s="309">
        <f>'IS 2023'!I12</f>
        <v>295112</v>
      </c>
      <c r="K12" s="309">
        <f>'IS 2023'!J12</f>
        <v>320445</v>
      </c>
      <c r="L12" s="309">
        <f>'IS 2023'!K12</f>
        <v>349015</v>
      </c>
      <c r="M12" s="309">
        <f>'IS 2023'!L12</f>
        <v>357998</v>
      </c>
      <c r="N12" s="309">
        <f>'IS 2023'!M12</f>
        <v>360821</v>
      </c>
      <c r="O12" s="309">
        <f>'IS 2023'!N12</f>
        <v>350123</v>
      </c>
      <c r="P12" s="309">
        <f>'IS 2023'!O12</f>
        <v>330015</v>
      </c>
      <c r="Q12" s="309">
        <f>'IS 2023'!P12</f>
        <v>313011</v>
      </c>
      <c r="R12" s="309">
        <f>'IS 2023'!Q12</f>
        <v>300123</v>
      </c>
      <c r="S12" s="309">
        <f>'CF 2024'!G12</f>
        <v>338078.59200000006</v>
      </c>
      <c r="T12" s="309">
        <f>'CF 2024'!H12</f>
        <v>342857.08799999993</v>
      </c>
      <c r="U12" s="309">
        <f>'CF 2024'!I12</f>
        <v>347635.58399999997</v>
      </c>
      <c r="V12" s="310"/>
    </row>
    <row r="13" spans="1:22" x14ac:dyDescent="0.3">
      <c r="B13" s="311"/>
      <c r="C13" s="308"/>
      <c r="D13" s="308"/>
      <c r="E13" s="308"/>
      <c r="F13" s="308"/>
      <c r="G13" s="309"/>
      <c r="H13" s="309"/>
      <c r="I13" s="309"/>
      <c r="J13" s="309"/>
      <c r="K13" s="309"/>
      <c r="L13" s="309"/>
      <c r="M13" s="309"/>
      <c r="N13" s="309"/>
      <c r="O13" s="309"/>
      <c r="P13" s="310"/>
      <c r="Q13" s="309"/>
      <c r="R13" s="309"/>
      <c r="S13" s="309"/>
      <c r="T13" s="309"/>
      <c r="U13" s="309"/>
      <c r="V13" s="310"/>
    </row>
    <row r="14" spans="1:22" x14ac:dyDescent="0.3">
      <c r="B14" s="307" t="s">
        <v>38</v>
      </c>
      <c r="C14" s="308"/>
      <c r="D14" s="308"/>
      <c r="E14" s="308"/>
      <c r="F14" s="308"/>
      <c r="G14" s="309">
        <v>-625</v>
      </c>
      <c r="H14" s="309">
        <v>-625</v>
      </c>
      <c r="I14" s="309">
        <v>-625</v>
      </c>
      <c r="J14" s="309">
        <v>-625</v>
      </c>
      <c r="K14" s="309">
        <v>-625</v>
      </c>
      <c r="L14" s="309">
        <v>-625</v>
      </c>
      <c r="M14" s="309">
        <v>-625</v>
      </c>
      <c r="N14" s="309">
        <v>-625</v>
      </c>
      <c r="O14" s="309">
        <v>-625</v>
      </c>
      <c r="P14" s="309">
        <v>-625</v>
      </c>
      <c r="Q14" s="309">
        <v>-625</v>
      </c>
      <c r="R14" s="309">
        <v>-625</v>
      </c>
      <c r="S14" s="309">
        <v>-625</v>
      </c>
      <c r="T14" s="309">
        <v>-625</v>
      </c>
      <c r="U14" s="309">
        <v>-625</v>
      </c>
      <c r="V14" s="309">
        <f>SUM(G14:R14)</f>
        <v>-7500</v>
      </c>
    </row>
    <row r="15" spans="1:22" x14ac:dyDescent="0.3">
      <c r="B15" s="307" t="s">
        <v>147</v>
      </c>
      <c r="C15" s="308"/>
      <c r="D15" s="308"/>
      <c r="E15" s="308"/>
      <c r="F15" s="308"/>
      <c r="G15" s="309">
        <f>'IS 2023'!F58</f>
        <v>-110000</v>
      </c>
      <c r="H15" s="309">
        <f>'IS 2023'!G58</f>
        <v>-106636.40000000001</v>
      </c>
      <c r="I15" s="309">
        <f>'IS 2023'!H58</f>
        <v>-103272.8</v>
      </c>
      <c r="J15" s="309">
        <f>'IS 2023'!I58</f>
        <v>-99909.200000000012</v>
      </c>
      <c r="K15" s="309">
        <f>'IS 2023'!J58</f>
        <v>-96545.600000000006</v>
      </c>
      <c r="L15" s="309">
        <f>'IS 2023'!K58</f>
        <v>-93182</v>
      </c>
      <c r="M15" s="309">
        <f>'IS 2023'!L58</f>
        <v>-89818.400000000009</v>
      </c>
      <c r="N15" s="309">
        <f>'IS 2023'!M58</f>
        <v>-86454.8</v>
      </c>
      <c r="O15" s="309">
        <f>'IS 2023'!N58</f>
        <v>-83091.200000000012</v>
      </c>
      <c r="P15" s="309">
        <f>'IS 2023'!O58</f>
        <v>-79727.600000000006</v>
      </c>
      <c r="Q15" s="309">
        <f>'IS 2023'!P58</f>
        <v>-76364</v>
      </c>
      <c r="R15" s="309">
        <f>'IS 2023'!Q58</f>
        <v>-73000.400000000009</v>
      </c>
      <c r="S15" s="309">
        <f>'IS 2023'!R58</f>
        <v>-69636.800000000003</v>
      </c>
      <c r="T15" s="309">
        <f>'IS 2023'!S58</f>
        <v>-66273.2</v>
      </c>
      <c r="U15" s="309">
        <f>'IS 2023'!T58</f>
        <v>-62909.600000000006</v>
      </c>
      <c r="V15" s="310"/>
    </row>
    <row r="16" spans="1:22" x14ac:dyDescent="0.3">
      <c r="B16" s="307" t="s">
        <v>148</v>
      </c>
      <c r="C16" s="308"/>
      <c r="D16" s="308"/>
      <c r="E16" s="308"/>
      <c r="F16" s="308"/>
      <c r="G16" s="309">
        <f>'IS 2023'!F60</f>
        <v>-51815</v>
      </c>
      <c r="H16" s="309">
        <f>'IS 2023'!G60</f>
        <v>-49926</v>
      </c>
      <c r="I16" s="309">
        <f>'IS 2023'!H60</f>
        <v>-53170.600000000006</v>
      </c>
      <c r="J16" s="309">
        <f>'IS 2023'!I60</f>
        <v>-54837.4</v>
      </c>
      <c r="K16" s="309">
        <f>'IS 2023'!J60</f>
        <v>-59904</v>
      </c>
      <c r="L16" s="309">
        <f>'IS 2023'!K60</f>
        <v>-65618</v>
      </c>
      <c r="M16" s="309">
        <f>'IS 2023'!L60</f>
        <v>-67414.600000000006</v>
      </c>
      <c r="N16" s="309">
        <f>'IS 2023'!M60</f>
        <v>-67979.199999999997</v>
      </c>
      <c r="O16" s="309">
        <f>'IS 2023'!N60</f>
        <v>-65839.600000000006</v>
      </c>
      <c r="P16" s="309">
        <f>'IS 2023'!O60</f>
        <v>-61818</v>
      </c>
      <c r="Q16" s="309">
        <f>'IS 2023'!P60</f>
        <v>-58417.200000000004</v>
      </c>
      <c r="R16" s="309">
        <f>'IS 2023'!Q60</f>
        <v>-55839.600000000006</v>
      </c>
      <c r="S16" s="309">
        <f>'IS 2023'!R60</f>
        <v>-63430.718400000012</v>
      </c>
      <c r="T16" s="309">
        <f>'IS 2023'!S60</f>
        <v>-64386.417599999986</v>
      </c>
      <c r="U16" s="309">
        <f>'IS 2023'!T60</f>
        <v>-65342.116799999996</v>
      </c>
      <c r="V16" s="310"/>
    </row>
    <row r="17" spans="1:22" x14ac:dyDescent="0.3">
      <c r="A17" s="145"/>
      <c r="B17" s="175" t="s">
        <v>149</v>
      </c>
      <c r="C17" s="145"/>
      <c r="D17" s="145"/>
      <c r="E17" s="145"/>
      <c r="F17" s="145"/>
      <c r="G17" s="203">
        <f t="shared" ref="G17:U17" si="0">G11</f>
        <v>280000</v>
      </c>
      <c r="H17" s="203">
        <f t="shared" si="0"/>
        <v>270555</v>
      </c>
      <c r="I17" s="203">
        <f t="shared" si="0"/>
        <v>286778</v>
      </c>
      <c r="J17" s="203">
        <f t="shared" si="0"/>
        <v>295112</v>
      </c>
      <c r="K17" s="203">
        <f t="shared" si="0"/>
        <v>320445</v>
      </c>
      <c r="L17" s="203">
        <f t="shared" si="0"/>
        <v>349015</v>
      </c>
      <c r="M17" s="203">
        <f t="shared" si="0"/>
        <v>357998</v>
      </c>
      <c r="N17" s="203">
        <f t="shared" si="0"/>
        <v>360821</v>
      </c>
      <c r="O17" s="203">
        <f t="shared" si="0"/>
        <v>350123</v>
      </c>
      <c r="P17" s="203">
        <f t="shared" si="0"/>
        <v>330015</v>
      </c>
      <c r="Q17" s="203">
        <f t="shared" si="0"/>
        <v>313011</v>
      </c>
      <c r="R17" s="203">
        <f t="shared" si="0"/>
        <v>300123</v>
      </c>
      <c r="S17" s="203">
        <f t="shared" si="0"/>
        <v>338078.59200000006</v>
      </c>
      <c r="T17" s="203">
        <f t="shared" si="0"/>
        <v>342857.08799999993</v>
      </c>
      <c r="U17" s="203">
        <f t="shared" si="0"/>
        <v>347635.58399999997</v>
      </c>
      <c r="V17" s="203">
        <f>SUM(G17:R17)</f>
        <v>3813996</v>
      </c>
    </row>
    <row r="18" spans="1:22" x14ac:dyDescent="0.3">
      <c r="A18" s="146"/>
      <c r="B18" s="191" t="s">
        <v>150</v>
      </c>
      <c r="C18" s="192"/>
      <c r="D18" s="192"/>
      <c r="E18" s="192"/>
      <c r="F18" s="192"/>
      <c r="G18" s="204">
        <f>SUM(G14:G16)</f>
        <v>-162440</v>
      </c>
      <c r="H18" s="204">
        <f t="shared" ref="H18:R18" si="1">SUM(H14:H16)</f>
        <v>-157187.40000000002</v>
      </c>
      <c r="I18" s="204">
        <f t="shared" si="1"/>
        <v>-157068.40000000002</v>
      </c>
      <c r="J18" s="204">
        <f t="shared" si="1"/>
        <v>-155371.6</v>
      </c>
      <c r="K18" s="204">
        <f t="shared" si="1"/>
        <v>-157074.6</v>
      </c>
      <c r="L18" s="204">
        <f t="shared" si="1"/>
        <v>-159425</v>
      </c>
      <c r="M18" s="204">
        <f t="shared" si="1"/>
        <v>-157858</v>
      </c>
      <c r="N18" s="204">
        <f t="shared" si="1"/>
        <v>-155059</v>
      </c>
      <c r="O18" s="204">
        <f t="shared" si="1"/>
        <v>-149555.80000000002</v>
      </c>
      <c r="P18" s="204">
        <f t="shared" si="1"/>
        <v>-142170.6</v>
      </c>
      <c r="Q18" s="204">
        <f t="shared" si="1"/>
        <v>-135406.20000000001</v>
      </c>
      <c r="R18" s="204">
        <f t="shared" si="1"/>
        <v>-129465.00000000001</v>
      </c>
      <c r="S18" s="204">
        <f t="shared" ref="S18:U18" si="2">SUM(S14:S16)</f>
        <v>-133692.5184</v>
      </c>
      <c r="T18" s="204">
        <f t="shared" si="2"/>
        <v>-131284.6176</v>
      </c>
      <c r="U18" s="204">
        <f t="shared" si="2"/>
        <v>-128876.71679999999</v>
      </c>
      <c r="V18" s="205">
        <f>SUM(G18:R18)</f>
        <v>-1818081.6</v>
      </c>
    </row>
    <row r="19" spans="1:22" x14ac:dyDescent="0.3">
      <c r="B19" s="148" t="s">
        <v>151</v>
      </c>
      <c r="C19" s="148"/>
      <c r="D19" s="148"/>
      <c r="E19" s="148"/>
      <c r="F19" s="148"/>
      <c r="G19" s="312">
        <f>SUM(G17:G18)</f>
        <v>117560</v>
      </c>
      <c r="H19" s="312">
        <f>SUM(H17:H18)</f>
        <v>113367.59999999998</v>
      </c>
      <c r="I19" s="312">
        <f t="shared" ref="I19:R19" si="3">SUM(I17:I18)</f>
        <v>129709.59999999998</v>
      </c>
      <c r="J19" s="312">
        <f t="shared" si="3"/>
        <v>139740.4</v>
      </c>
      <c r="K19" s="312">
        <f t="shared" si="3"/>
        <v>163370.4</v>
      </c>
      <c r="L19" s="312">
        <f t="shared" si="3"/>
        <v>189590</v>
      </c>
      <c r="M19" s="312">
        <f t="shared" si="3"/>
        <v>200140</v>
      </c>
      <c r="N19" s="312">
        <f t="shared" si="3"/>
        <v>205762</v>
      </c>
      <c r="O19" s="312">
        <f t="shared" si="3"/>
        <v>200567.19999999998</v>
      </c>
      <c r="P19" s="312">
        <f t="shared" si="3"/>
        <v>187844.4</v>
      </c>
      <c r="Q19" s="312">
        <f t="shared" si="3"/>
        <v>177604.8</v>
      </c>
      <c r="R19" s="312">
        <f t="shared" si="3"/>
        <v>170658</v>
      </c>
      <c r="S19" s="312">
        <f t="shared" ref="S19:U19" si="4">SUM(S17:S18)</f>
        <v>204386.07360000006</v>
      </c>
      <c r="T19" s="312">
        <f t="shared" si="4"/>
        <v>211572.47039999993</v>
      </c>
      <c r="U19" s="312">
        <f t="shared" si="4"/>
        <v>218758.86719999998</v>
      </c>
      <c r="V19" s="309">
        <f>SUM(G19:R19)</f>
        <v>1995914.4</v>
      </c>
    </row>
    <row r="20" spans="1:22" x14ac:dyDescent="0.3">
      <c r="B20" s="148" t="s">
        <v>193</v>
      </c>
      <c r="C20" s="148"/>
      <c r="D20" s="148"/>
      <c r="E20" s="148"/>
      <c r="F20" s="148"/>
      <c r="G20" s="312">
        <f>'IS 2023'!F56+G19</f>
        <v>115849</v>
      </c>
      <c r="H20" s="312">
        <f>'IS 2023'!G56+H19</f>
        <v>111656.59999999998</v>
      </c>
      <c r="I20" s="312">
        <f>'IS 2023'!H56+I19</f>
        <v>127998.59999999998</v>
      </c>
      <c r="J20" s="312">
        <f>'IS 2023'!I56+J19</f>
        <v>138029.4</v>
      </c>
      <c r="K20" s="312">
        <f>'IS 2023'!J56+K19</f>
        <v>161659.4</v>
      </c>
      <c r="L20" s="312">
        <f>'IS 2023'!K56+L19</f>
        <v>187879</v>
      </c>
      <c r="M20" s="312">
        <f>'IS 2023'!L56+M19</f>
        <v>198429</v>
      </c>
      <c r="N20" s="312">
        <f>'IS 2023'!M56+N19</f>
        <v>204051</v>
      </c>
      <c r="O20" s="312">
        <f>'IS 2023'!N56+O19</f>
        <v>198856.19999999998</v>
      </c>
      <c r="P20" s="312">
        <f>'IS 2023'!O56+P19</f>
        <v>186133.4</v>
      </c>
      <c r="Q20" s="312">
        <f>'IS 2023'!P56+Q19</f>
        <v>175893.8</v>
      </c>
      <c r="R20" s="312">
        <f>'IS 2023'!Q56+R19</f>
        <v>168947</v>
      </c>
      <c r="S20" s="312">
        <f>'IS 2023'!R56+S19</f>
        <v>202936.07360000006</v>
      </c>
      <c r="T20" s="312">
        <f>'IS 2023'!S56+T19</f>
        <v>210122.47039999993</v>
      </c>
      <c r="U20" s="312">
        <f>'IS 2023'!T56+U19</f>
        <v>217308.86719999998</v>
      </c>
      <c r="V20" s="310"/>
    </row>
    <row r="21" spans="1:22" x14ac:dyDescent="0.3">
      <c r="B21" s="313" t="s">
        <v>152</v>
      </c>
      <c r="C21" s="148"/>
      <c r="D21" s="148"/>
      <c r="E21" s="148"/>
      <c r="F21" s="148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0"/>
    </row>
    <row r="22" spans="1:22" x14ac:dyDescent="0.3">
      <c r="B22" s="315" t="s">
        <v>153</v>
      </c>
      <c r="C22" s="148"/>
      <c r="D22" s="148"/>
      <c r="E22" s="148"/>
      <c r="F22" s="148"/>
      <c r="G22" s="312">
        <v>450000</v>
      </c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0"/>
    </row>
    <row r="23" spans="1:22" x14ac:dyDescent="0.3">
      <c r="B23" s="316" t="s">
        <v>117</v>
      </c>
      <c r="C23" s="148"/>
      <c r="D23" s="148"/>
      <c r="E23" s="148"/>
      <c r="F23" s="148"/>
      <c r="G23" s="312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0"/>
    </row>
    <row r="24" spans="1:22" x14ac:dyDescent="0.3">
      <c r="B24" s="315" t="s">
        <v>154</v>
      </c>
      <c r="C24" s="148"/>
      <c r="D24" s="148"/>
      <c r="E24" s="148"/>
      <c r="F24" s="148"/>
      <c r="G24" s="312">
        <f>SUM(G22:G23)</f>
        <v>450000</v>
      </c>
      <c r="H24" s="312">
        <f t="shared" ref="H24:R24" si="5">SUM(H22:H23)</f>
        <v>0</v>
      </c>
      <c r="I24" s="312">
        <f t="shared" si="5"/>
        <v>0</v>
      </c>
      <c r="J24" s="312">
        <f t="shared" si="5"/>
        <v>0</v>
      </c>
      <c r="K24" s="312">
        <f t="shared" si="5"/>
        <v>0</v>
      </c>
      <c r="L24" s="312">
        <f t="shared" si="5"/>
        <v>0</v>
      </c>
      <c r="M24" s="312">
        <f t="shared" si="5"/>
        <v>0</v>
      </c>
      <c r="N24" s="312">
        <f t="shared" si="5"/>
        <v>0</v>
      </c>
      <c r="O24" s="312">
        <f t="shared" si="5"/>
        <v>0</v>
      </c>
      <c r="P24" s="312">
        <f t="shared" si="5"/>
        <v>0</v>
      </c>
      <c r="Q24" s="312">
        <f t="shared" si="5"/>
        <v>0</v>
      </c>
      <c r="R24" s="312">
        <f t="shared" si="5"/>
        <v>0</v>
      </c>
      <c r="S24" s="312">
        <f t="shared" ref="S24:U24" si="6">SUM(S22:S23)</f>
        <v>0</v>
      </c>
      <c r="T24" s="312">
        <f t="shared" si="6"/>
        <v>0</v>
      </c>
      <c r="U24" s="312">
        <f t="shared" si="6"/>
        <v>0</v>
      </c>
      <c r="V24" s="310"/>
    </row>
    <row r="25" spans="1:22" x14ac:dyDescent="0.3">
      <c r="B25" s="317" t="s">
        <v>155</v>
      </c>
      <c r="C25" s="148"/>
      <c r="D25" s="148"/>
      <c r="E25" s="148"/>
      <c r="F25" s="148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0"/>
    </row>
    <row r="26" spans="1:22" x14ac:dyDescent="0.3">
      <c r="B26" s="307" t="s">
        <v>156</v>
      </c>
      <c r="C26" s="308"/>
      <c r="D26" s="308"/>
      <c r="E26" s="308"/>
      <c r="F26" s="308"/>
      <c r="G26" s="309">
        <v>-450000</v>
      </c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</row>
    <row r="27" spans="1:22" x14ac:dyDescent="0.3">
      <c r="B27" s="311" t="s">
        <v>117</v>
      </c>
      <c r="C27" s="308"/>
      <c r="D27" s="308"/>
      <c r="E27" s="308"/>
      <c r="F27" s="308"/>
      <c r="G27" s="309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</row>
    <row r="28" spans="1:22" x14ac:dyDescent="0.3">
      <c r="B28" s="311" t="s">
        <v>118</v>
      </c>
      <c r="C28" s="308"/>
      <c r="D28" s="308"/>
      <c r="E28" s="308"/>
      <c r="F28" s="308"/>
      <c r="G28" s="309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</row>
    <row r="29" spans="1:22" x14ac:dyDescent="0.3">
      <c r="B29" s="311" t="s">
        <v>119</v>
      </c>
      <c r="C29" s="308"/>
      <c r="D29" s="308"/>
      <c r="E29" s="308"/>
      <c r="F29" s="308"/>
      <c r="G29" s="309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</row>
    <row r="30" spans="1:22" x14ac:dyDescent="0.3">
      <c r="B30" s="307" t="s">
        <v>157</v>
      </c>
      <c r="C30" s="308"/>
      <c r="D30" s="308"/>
      <c r="E30" s="308"/>
      <c r="F30" s="308"/>
      <c r="G30" s="310"/>
      <c r="H30" s="309">
        <v>-16818</v>
      </c>
      <c r="I30" s="309">
        <v>-16818</v>
      </c>
      <c r="J30" s="309">
        <v>-16818</v>
      </c>
      <c r="K30" s="309">
        <v>-16818</v>
      </c>
      <c r="L30" s="309">
        <v>-16818</v>
      </c>
      <c r="M30" s="309">
        <v>-16818</v>
      </c>
      <c r="N30" s="309">
        <v>-16818</v>
      </c>
      <c r="O30" s="309">
        <v>-16818</v>
      </c>
      <c r="P30" s="309">
        <v>-16818</v>
      </c>
      <c r="Q30" s="309">
        <v>-16818</v>
      </c>
      <c r="R30" s="309">
        <v>-16818</v>
      </c>
      <c r="S30" s="309">
        <v>-16818</v>
      </c>
      <c r="T30" s="309">
        <v>-16818</v>
      </c>
      <c r="U30" s="309">
        <v>-16818</v>
      </c>
      <c r="V30" s="309">
        <f>SUM(G30:R30)</f>
        <v>-184998</v>
      </c>
    </row>
    <row r="31" spans="1:22" x14ac:dyDescent="0.3">
      <c r="B31" s="311" t="s">
        <v>117</v>
      </c>
      <c r="C31" s="308"/>
      <c r="D31" s="308"/>
      <c r="E31" s="308"/>
      <c r="F31" s="308"/>
      <c r="G31" s="310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10"/>
    </row>
    <row r="32" spans="1:22" x14ac:dyDescent="0.3">
      <c r="B32" s="307" t="s">
        <v>158</v>
      </c>
      <c r="C32" s="308"/>
      <c r="D32" s="308"/>
      <c r="E32" s="308"/>
      <c r="F32" s="308"/>
      <c r="G32" s="309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</row>
    <row r="33" spans="1:22" x14ac:dyDescent="0.3">
      <c r="B33" s="311" t="s">
        <v>117</v>
      </c>
      <c r="C33" s="308"/>
      <c r="D33" s="308"/>
      <c r="E33" s="308"/>
      <c r="F33" s="308"/>
      <c r="G33" s="309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</row>
    <row r="34" spans="1:22" x14ac:dyDescent="0.3">
      <c r="B34" s="307" t="s">
        <v>159</v>
      </c>
      <c r="C34" s="308"/>
      <c r="D34" s="308"/>
      <c r="E34" s="308"/>
      <c r="F34" s="308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</row>
    <row r="35" spans="1:22" x14ac:dyDescent="0.3">
      <c r="B35" s="311" t="s">
        <v>117</v>
      </c>
      <c r="C35" s="308"/>
      <c r="D35" s="308"/>
      <c r="E35" s="308"/>
      <c r="F35" s="308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</row>
    <row r="36" spans="1:22" x14ac:dyDescent="0.3">
      <c r="B36" s="307" t="s">
        <v>160</v>
      </c>
      <c r="C36" s="308"/>
      <c r="D36" s="308"/>
      <c r="E36" s="308"/>
      <c r="F36" s="308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</row>
    <row r="37" spans="1:22" x14ac:dyDescent="0.3">
      <c r="B37" s="311" t="s">
        <v>117</v>
      </c>
      <c r="C37" s="308"/>
      <c r="D37" s="308"/>
      <c r="E37" s="308"/>
      <c r="F37" s="308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</row>
    <row r="38" spans="1:22" x14ac:dyDescent="0.3">
      <c r="B38" s="307" t="s">
        <v>45</v>
      </c>
      <c r="C38" s="308"/>
      <c r="D38" s="308"/>
      <c r="E38" s="308"/>
      <c r="F38" s="308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</row>
    <row r="39" spans="1:22" x14ac:dyDescent="0.3">
      <c r="B39" s="307" t="s">
        <v>161</v>
      </c>
      <c r="C39" s="308"/>
      <c r="D39" s="308"/>
      <c r="E39" s="308"/>
      <c r="F39" s="308"/>
      <c r="G39" s="309">
        <f>SUM(G26:G38)</f>
        <v>-450000</v>
      </c>
      <c r="H39" s="309">
        <f t="shared" ref="H39:R39" si="7">SUM(H26:H38)</f>
        <v>-16818</v>
      </c>
      <c r="I39" s="309">
        <f t="shared" si="7"/>
        <v>-16818</v>
      </c>
      <c r="J39" s="309">
        <f t="shared" si="7"/>
        <v>-16818</v>
      </c>
      <c r="K39" s="309">
        <f t="shared" si="7"/>
        <v>-16818</v>
      </c>
      <c r="L39" s="309">
        <f t="shared" si="7"/>
        <v>-16818</v>
      </c>
      <c r="M39" s="309">
        <f t="shared" si="7"/>
        <v>-16818</v>
      </c>
      <c r="N39" s="309">
        <f t="shared" si="7"/>
        <v>-16818</v>
      </c>
      <c r="O39" s="309">
        <f t="shared" si="7"/>
        <v>-16818</v>
      </c>
      <c r="P39" s="309">
        <f t="shared" si="7"/>
        <v>-16818</v>
      </c>
      <c r="Q39" s="309">
        <f t="shared" si="7"/>
        <v>-16818</v>
      </c>
      <c r="R39" s="309">
        <f t="shared" si="7"/>
        <v>-16818</v>
      </c>
      <c r="S39" s="309">
        <f t="shared" ref="S39:U39" si="8">SUM(S26:S38)</f>
        <v>-16818</v>
      </c>
      <c r="T39" s="309">
        <f t="shared" si="8"/>
        <v>-16818</v>
      </c>
      <c r="U39" s="309">
        <f t="shared" si="8"/>
        <v>-16818</v>
      </c>
      <c r="V39" s="310"/>
    </row>
    <row r="40" spans="1:22" x14ac:dyDescent="0.3">
      <c r="A40" s="200"/>
      <c r="B40" s="318" t="s">
        <v>162</v>
      </c>
      <c r="C40" s="319"/>
      <c r="D40" s="319"/>
      <c r="E40" s="319"/>
      <c r="F40" s="319"/>
      <c r="G40" s="320">
        <f>G49</f>
        <v>117560</v>
      </c>
      <c r="H40" s="320">
        <f>H19+H39</f>
        <v>96549.599999999977</v>
      </c>
      <c r="I40" s="320">
        <f>I19+I39</f>
        <v>112891.59999999998</v>
      </c>
      <c r="J40" s="320">
        <f>J19+J39</f>
        <v>122922.4</v>
      </c>
      <c r="K40" s="320">
        <f t="shared" ref="K40:R40" si="9">K19+K39</f>
        <v>146552.4</v>
      </c>
      <c r="L40" s="320">
        <f t="shared" si="9"/>
        <v>172772</v>
      </c>
      <c r="M40" s="320">
        <f t="shared" si="9"/>
        <v>183322</v>
      </c>
      <c r="N40" s="320">
        <f t="shared" si="9"/>
        <v>188944</v>
      </c>
      <c r="O40" s="320">
        <f t="shared" si="9"/>
        <v>183749.19999999998</v>
      </c>
      <c r="P40" s="320">
        <f t="shared" si="9"/>
        <v>171026.4</v>
      </c>
      <c r="Q40" s="320">
        <f t="shared" si="9"/>
        <v>160786.79999999999</v>
      </c>
      <c r="R40" s="320">
        <f t="shared" si="9"/>
        <v>153840</v>
      </c>
      <c r="S40" s="320">
        <f t="shared" ref="S40:U40" si="10">S19+S39</f>
        <v>187568.07360000006</v>
      </c>
      <c r="T40" s="320">
        <f t="shared" si="10"/>
        <v>194754.47039999993</v>
      </c>
      <c r="U40" s="320">
        <f t="shared" si="10"/>
        <v>201940.86719999998</v>
      </c>
      <c r="V40" s="320">
        <f>SUM(G40:R40)</f>
        <v>1810916.4</v>
      </c>
    </row>
    <row r="41" spans="1:22" x14ac:dyDescent="0.3">
      <c r="A41" s="145"/>
      <c r="B41" s="172" t="s">
        <v>163</v>
      </c>
      <c r="C41" s="145"/>
      <c r="D41" s="145"/>
      <c r="E41" s="145"/>
      <c r="F41" s="145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</row>
    <row r="42" spans="1:22" x14ac:dyDescent="0.3">
      <c r="B42" s="321" t="s">
        <v>154</v>
      </c>
      <c r="C42" s="321"/>
      <c r="D42" s="321"/>
      <c r="E42" s="321"/>
      <c r="F42" s="321"/>
      <c r="G42" s="322">
        <f>G24</f>
        <v>450000</v>
      </c>
      <c r="H42" s="322">
        <f t="shared" ref="H42:R42" si="11">H24</f>
        <v>0</v>
      </c>
      <c r="I42" s="322">
        <f t="shared" si="11"/>
        <v>0</v>
      </c>
      <c r="J42" s="322">
        <f t="shared" si="11"/>
        <v>0</v>
      </c>
      <c r="K42" s="322">
        <f t="shared" si="11"/>
        <v>0</v>
      </c>
      <c r="L42" s="322">
        <f t="shared" si="11"/>
        <v>0</v>
      </c>
      <c r="M42" s="322">
        <f t="shared" si="11"/>
        <v>0</v>
      </c>
      <c r="N42" s="322">
        <f t="shared" si="11"/>
        <v>0</v>
      </c>
      <c r="O42" s="322">
        <f t="shared" si="11"/>
        <v>0</v>
      </c>
      <c r="P42" s="322">
        <f t="shared" si="11"/>
        <v>0</v>
      </c>
      <c r="Q42" s="322">
        <f t="shared" si="11"/>
        <v>0</v>
      </c>
      <c r="R42" s="322">
        <f t="shared" si="11"/>
        <v>0</v>
      </c>
      <c r="S42" s="322">
        <f t="shared" ref="S42:U42" si="12">S24</f>
        <v>0</v>
      </c>
      <c r="T42" s="322">
        <f t="shared" si="12"/>
        <v>0</v>
      </c>
      <c r="U42" s="322">
        <f t="shared" si="12"/>
        <v>0</v>
      </c>
      <c r="V42" s="5"/>
    </row>
    <row r="43" spans="1:22" x14ac:dyDescent="0.3">
      <c r="B43" s="148" t="s">
        <v>161</v>
      </c>
      <c r="C43" s="148"/>
      <c r="D43" s="148"/>
      <c r="E43" s="148"/>
      <c r="F43" s="148"/>
      <c r="G43" s="312">
        <f>G39</f>
        <v>-450000</v>
      </c>
      <c r="H43" s="312">
        <f t="shared" ref="H43:R43" si="13">H39</f>
        <v>-16818</v>
      </c>
      <c r="I43" s="312">
        <f t="shared" si="13"/>
        <v>-16818</v>
      </c>
      <c r="J43" s="312">
        <f t="shared" si="13"/>
        <v>-16818</v>
      </c>
      <c r="K43" s="312">
        <f t="shared" si="13"/>
        <v>-16818</v>
      </c>
      <c r="L43" s="312">
        <f t="shared" si="13"/>
        <v>-16818</v>
      </c>
      <c r="M43" s="312">
        <f t="shared" si="13"/>
        <v>-16818</v>
      </c>
      <c r="N43" s="312">
        <f t="shared" si="13"/>
        <v>-16818</v>
      </c>
      <c r="O43" s="312">
        <f t="shared" si="13"/>
        <v>-16818</v>
      </c>
      <c r="P43" s="312">
        <f t="shared" si="13"/>
        <v>-16818</v>
      </c>
      <c r="Q43" s="312">
        <f t="shared" si="13"/>
        <v>-16818</v>
      </c>
      <c r="R43" s="312">
        <f t="shared" si="13"/>
        <v>-16818</v>
      </c>
      <c r="S43" s="312">
        <f t="shared" ref="S43:U43" si="14">S39</f>
        <v>-16818</v>
      </c>
      <c r="T43" s="312">
        <f t="shared" si="14"/>
        <v>-16818</v>
      </c>
      <c r="U43" s="312">
        <f t="shared" si="14"/>
        <v>-16818</v>
      </c>
      <c r="V43" s="5"/>
    </row>
    <row r="44" spans="1:22" x14ac:dyDescent="0.3">
      <c r="B44" s="148" t="s">
        <v>37</v>
      </c>
      <c r="C44" s="148"/>
      <c r="D44" s="148"/>
      <c r="E44" s="148"/>
      <c r="F44" s="148"/>
      <c r="G44" s="312">
        <f t="shared" ref="G44:U44" si="15">G11</f>
        <v>280000</v>
      </c>
      <c r="H44" s="312">
        <f t="shared" si="15"/>
        <v>270555</v>
      </c>
      <c r="I44" s="312">
        <f t="shared" si="15"/>
        <v>286778</v>
      </c>
      <c r="J44" s="312">
        <f t="shared" si="15"/>
        <v>295112</v>
      </c>
      <c r="K44" s="312">
        <f t="shared" si="15"/>
        <v>320445</v>
      </c>
      <c r="L44" s="312">
        <f t="shared" si="15"/>
        <v>349015</v>
      </c>
      <c r="M44" s="312">
        <f t="shared" si="15"/>
        <v>357998</v>
      </c>
      <c r="N44" s="312">
        <f t="shared" si="15"/>
        <v>360821</v>
      </c>
      <c r="O44" s="312">
        <f t="shared" si="15"/>
        <v>350123</v>
      </c>
      <c r="P44" s="312">
        <f t="shared" si="15"/>
        <v>330015</v>
      </c>
      <c r="Q44" s="312">
        <f t="shared" si="15"/>
        <v>313011</v>
      </c>
      <c r="R44" s="312">
        <f t="shared" si="15"/>
        <v>300123</v>
      </c>
      <c r="S44" s="312">
        <f t="shared" si="15"/>
        <v>338078.59200000006</v>
      </c>
      <c r="T44" s="312">
        <f t="shared" si="15"/>
        <v>342857.08799999993</v>
      </c>
      <c r="U44" s="312">
        <f t="shared" si="15"/>
        <v>347635.58399999997</v>
      </c>
      <c r="V44" s="5"/>
    </row>
    <row r="45" spans="1:22" x14ac:dyDescent="0.3">
      <c r="B45" s="148" t="s">
        <v>38</v>
      </c>
      <c r="C45" s="148"/>
      <c r="D45" s="148"/>
      <c r="E45" s="148"/>
      <c r="F45" s="148"/>
      <c r="G45" s="312">
        <f>G14</f>
        <v>-625</v>
      </c>
      <c r="H45" s="312">
        <f t="shared" ref="H45:R45" si="16">H14</f>
        <v>-625</v>
      </c>
      <c r="I45" s="312">
        <f t="shared" si="16"/>
        <v>-625</v>
      </c>
      <c r="J45" s="312">
        <f t="shared" si="16"/>
        <v>-625</v>
      </c>
      <c r="K45" s="312">
        <f t="shared" si="16"/>
        <v>-625</v>
      </c>
      <c r="L45" s="312">
        <f t="shared" si="16"/>
        <v>-625</v>
      </c>
      <c r="M45" s="312">
        <f t="shared" si="16"/>
        <v>-625</v>
      </c>
      <c r="N45" s="312">
        <f t="shared" si="16"/>
        <v>-625</v>
      </c>
      <c r="O45" s="312">
        <f t="shared" si="16"/>
        <v>-625</v>
      </c>
      <c r="P45" s="312">
        <f t="shared" si="16"/>
        <v>-625</v>
      </c>
      <c r="Q45" s="312">
        <f t="shared" si="16"/>
        <v>-625</v>
      </c>
      <c r="R45" s="312">
        <f t="shared" si="16"/>
        <v>-625</v>
      </c>
      <c r="S45" s="312">
        <f t="shared" ref="S45:U45" si="17">S14</f>
        <v>-625</v>
      </c>
      <c r="T45" s="312">
        <f t="shared" si="17"/>
        <v>-625</v>
      </c>
      <c r="U45" s="312">
        <f t="shared" si="17"/>
        <v>-625</v>
      </c>
      <c r="V45" s="5"/>
    </row>
    <row r="46" spans="1:22" x14ac:dyDescent="0.3">
      <c r="B46" s="148" t="s">
        <v>164</v>
      </c>
      <c r="C46" s="148"/>
      <c r="D46" s="148"/>
      <c r="E46" s="148"/>
      <c r="F46" s="148"/>
      <c r="G46" s="312">
        <f>SUM(G42:G45)</f>
        <v>279375</v>
      </c>
      <c r="H46" s="312">
        <f t="shared" ref="H46:R46" si="18">SUM(H42:H45)</f>
        <v>253112</v>
      </c>
      <c r="I46" s="312">
        <f t="shared" si="18"/>
        <v>269335</v>
      </c>
      <c r="J46" s="312">
        <f t="shared" si="18"/>
        <v>277669</v>
      </c>
      <c r="K46" s="312">
        <f t="shared" si="18"/>
        <v>303002</v>
      </c>
      <c r="L46" s="312">
        <f t="shared" si="18"/>
        <v>331572</v>
      </c>
      <c r="M46" s="312">
        <f t="shared" si="18"/>
        <v>340555</v>
      </c>
      <c r="N46" s="312">
        <f t="shared" si="18"/>
        <v>343378</v>
      </c>
      <c r="O46" s="312">
        <f t="shared" si="18"/>
        <v>332680</v>
      </c>
      <c r="P46" s="312">
        <f t="shared" si="18"/>
        <v>312572</v>
      </c>
      <c r="Q46" s="312">
        <f t="shared" si="18"/>
        <v>295568</v>
      </c>
      <c r="R46" s="312">
        <f t="shared" si="18"/>
        <v>282680</v>
      </c>
      <c r="S46" s="312">
        <f t="shared" ref="S46:U46" si="19">SUM(S42:S45)</f>
        <v>320635.59200000006</v>
      </c>
      <c r="T46" s="312">
        <f t="shared" si="19"/>
        <v>325414.08799999993</v>
      </c>
      <c r="U46" s="312">
        <f t="shared" si="19"/>
        <v>330192.58399999997</v>
      </c>
      <c r="V46" s="5"/>
    </row>
    <row r="47" spans="1:22" x14ac:dyDescent="0.3">
      <c r="B47" s="148" t="s">
        <v>147</v>
      </c>
      <c r="C47" s="148"/>
      <c r="D47" s="148"/>
      <c r="E47" s="148"/>
      <c r="F47" s="148"/>
      <c r="G47" s="312">
        <f>G15</f>
        <v>-110000</v>
      </c>
      <c r="H47" s="312">
        <f t="shared" ref="H47:U47" si="20">H15</f>
        <v>-106636.40000000001</v>
      </c>
      <c r="I47" s="312">
        <f t="shared" si="20"/>
        <v>-103272.8</v>
      </c>
      <c r="J47" s="312">
        <f t="shared" si="20"/>
        <v>-99909.200000000012</v>
      </c>
      <c r="K47" s="312">
        <f t="shared" si="20"/>
        <v>-96545.600000000006</v>
      </c>
      <c r="L47" s="312">
        <f t="shared" si="20"/>
        <v>-93182</v>
      </c>
      <c r="M47" s="312">
        <f t="shared" si="20"/>
        <v>-89818.400000000009</v>
      </c>
      <c r="N47" s="312">
        <f t="shared" si="20"/>
        <v>-86454.8</v>
      </c>
      <c r="O47" s="312">
        <f t="shared" si="20"/>
        <v>-83091.200000000012</v>
      </c>
      <c r="P47" s="312">
        <f t="shared" si="20"/>
        <v>-79727.600000000006</v>
      </c>
      <c r="Q47" s="312">
        <f t="shared" si="20"/>
        <v>-76364</v>
      </c>
      <c r="R47" s="312">
        <f t="shared" si="20"/>
        <v>-73000.400000000009</v>
      </c>
      <c r="S47" s="312">
        <f t="shared" si="20"/>
        <v>-69636.800000000003</v>
      </c>
      <c r="T47" s="312">
        <f t="shared" si="20"/>
        <v>-66273.2</v>
      </c>
      <c r="U47" s="312">
        <f t="shared" si="20"/>
        <v>-62909.600000000006</v>
      </c>
      <c r="V47" s="5"/>
    </row>
    <row r="48" spans="1:22" x14ac:dyDescent="0.3">
      <c r="B48" s="148" t="s">
        <v>148</v>
      </c>
      <c r="C48" s="148"/>
      <c r="D48" s="148"/>
      <c r="E48" s="148"/>
      <c r="F48" s="148"/>
      <c r="G48" s="323">
        <f>G16</f>
        <v>-51815</v>
      </c>
      <c r="H48" s="323">
        <f t="shared" ref="H48:U48" si="21">H16</f>
        <v>-49926</v>
      </c>
      <c r="I48" s="323">
        <f t="shared" si="21"/>
        <v>-53170.600000000006</v>
      </c>
      <c r="J48" s="323">
        <f t="shared" si="21"/>
        <v>-54837.4</v>
      </c>
      <c r="K48" s="323">
        <f t="shared" si="21"/>
        <v>-59904</v>
      </c>
      <c r="L48" s="323">
        <f t="shared" si="21"/>
        <v>-65618</v>
      </c>
      <c r="M48" s="323">
        <f t="shared" si="21"/>
        <v>-67414.600000000006</v>
      </c>
      <c r="N48" s="323">
        <f t="shared" si="21"/>
        <v>-67979.199999999997</v>
      </c>
      <c r="O48" s="323">
        <f t="shared" si="21"/>
        <v>-65839.600000000006</v>
      </c>
      <c r="P48" s="323">
        <f t="shared" si="21"/>
        <v>-61818</v>
      </c>
      <c r="Q48" s="323">
        <f t="shared" si="21"/>
        <v>-58417.200000000004</v>
      </c>
      <c r="R48" s="323">
        <f t="shared" si="21"/>
        <v>-55839.600000000006</v>
      </c>
      <c r="S48" s="323">
        <f t="shared" si="21"/>
        <v>-63430.718400000012</v>
      </c>
      <c r="T48" s="323">
        <f t="shared" si="21"/>
        <v>-64386.417599999986</v>
      </c>
      <c r="U48" s="323">
        <f t="shared" si="21"/>
        <v>-65342.116799999996</v>
      </c>
      <c r="V48" s="5"/>
    </row>
    <row r="49" spans="1:22" x14ac:dyDescent="0.3">
      <c r="B49" s="148" t="s">
        <v>162</v>
      </c>
      <c r="C49" s="148"/>
      <c r="D49" s="148"/>
      <c r="E49" s="148"/>
      <c r="F49" s="148"/>
      <c r="G49" s="312">
        <f>SUM(G46:G48)</f>
        <v>117560</v>
      </c>
      <c r="H49" s="312">
        <f>SUM(H46:H48)</f>
        <v>96549.599999999977</v>
      </c>
      <c r="I49" s="312">
        <f t="shared" ref="I49:R49" si="22">SUM(I46:I48)</f>
        <v>112891.6</v>
      </c>
      <c r="J49" s="312">
        <f t="shared" si="22"/>
        <v>122922.4</v>
      </c>
      <c r="K49" s="312">
        <f t="shared" si="22"/>
        <v>146552.4</v>
      </c>
      <c r="L49" s="312">
        <f t="shared" si="22"/>
        <v>172772</v>
      </c>
      <c r="M49" s="312">
        <f t="shared" si="22"/>
        <v>183321.99999999997</v>
      </c>
      <c r="N49" s="312">
        <f t="shared" si="22"/>
        <v>188944</v>
      </c>
      <c r="O49" s="312">
        <f t="shared" si="22"/>
        <v>183749.19999999998</v>
      </c>
      <c r="P49" s="312">
        <f t="shared" si="22"/>
        <v>171026.4</v>
      </c>
      <c r="Q49" s="312">
        <f t="shared" si="22"/>
        <v>160786.79999999999</v>
      </c>
      <c r="R49" s="312">
        <f t="shared" si="22"/>
        <v>153839.99999999997</v>
      </c>
      <c r="S49" s="312">
        <f t="shared" ref="S49:U49" si="23">SUM(S46:S48)</f>
        <v>187568.07360000006</v>
      </c>
      <c r="T49" s="312">
        <f t="shared" si="23"/>
        <v>194754.47039999993</v>
      </c>
      <c r="U49" s="312">
        <f t="shared" si="23"/>
        <v>201940.86719999995</v>
      </c>
      <c r="V49" s="5"/>
    </row>
    <row r="50" spans="1:22" x14ac:dyDescent="0.3">
      <c r="B50" s="9"/>
      <c r="C50" s="9"/>
      <c r="D50" s="9"/>
      <c r="E50" s="9"/>
      <c r="F50" s="9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5"/>
    </row>
    <row r="51" spans="1:22" x14ac:dyDescent="0.3">
      <c r="A51" s="145"/>
      <c r="B51" s="172" t="s">
        <v>165</v>
      </c>
      <c r="C51" s="145"/>
      <c r="D51" s="145"/>
      <c r="E51" s="145"/>
      <c r="F51" s="145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</row>
    <row r="52" spans="1:22" x14ac:dyDescent="0.3">
      <c r="B52" s="308" t="s">
        <v>166</v>
      </c>
      <c r="C52" s="308"/>
      <c r="D52" s="308"/>
      <c r="E52" s="308"/>
      <c r="F52" s="308"/>
      <c r="G52" s="309">
        <f>SUM(G19+G24)</f>
        <v>567560</v>
      </c>
      <c r="H52" s="309">
        <f t="shared" ref="H52:R52" si="24">SUM(H19+H24)</f>
        <v>113367.59999999998</v>
      </c>
      <c r="I52" s="309">
        <f t="shared" si="24"/>
        <v>129709.59999999998</v>
      </c>
      <c r="J52" s="309">
        <f t="shared" si="24"/>
        <v>139740.4</v>
      </c>
      <c r="K52" s="309">
        <f t="shared" si="24"/>
        <v>163370.4</v>
      </c>
      <c r="L52" s="309">
        <f t="shared" si="24"/>
        <v>189590</v>
      </c>
      <c r="M52" s="309">
        <f t="shared" si="24"/>
        <v>200140</v>
      </c>
      <c r="N52" s="309">
        <f t="shared" si="24"/>
        <v>205762</v>
      </c>
      <c r="O52" s="309">
        <f t="shared" si="24"/>
        <v>200567.19999999998</v>
      </c>
      <c r="P52" s="309">
        <f t="shared" si="24"/>
        <v>187844.4</v>
      </c>
      <c r="Q52" s="309">
        <f t="shared" si="24"/>
        <v>177604.8</v>
      </c>
      <c r="R52" s="309">
        <f t="shared" si="24"/>
        <v>170658</v>
      </c>
      <c r="S52" s="309">
        <f t="shared" ref="S52:U52" si="25">SUM(S19+S24)</f>
        <v>204386.07360000006</v>
      </c>
      <c r="T52" s="309">
        <f t="shared" si="25"/>
        <v>211572.47039999993</v>
      </c>
      <c r="U52" s="309">
        <f t="shared" si="25"/>
        <v>218758.86719999998</v>
      </c>
      <c r="V52" s="5"/>
    </row>
    <row r="53" spans="1:22" x14ac:dyDescent="0.3">
      <c r="B53" s="308" t="s">
        <v>167</v>
      </c>
      <c r="C53" s="308"/>
      <c r="D53" s="308"/>
      <c r="E53" s="308"/>
      <c r="F53" s="308"/>
      <c r="G53" s="309">
        <f>G49</f>
        <v>117560</v>
      </c>
      <c r="H53" s="309">
        <f t="shared" ref="H53:R53" si="26">H49</f>
        <v>96549.599999999977</v>
      </c>
      <c r="I53" s="309">
        <f t="shared" si="26"/>
        <v>112891.6</v>
      </c>
      <c r="J53" s="309">
        <f t="shared" si="26"/>
        <v>122922.4</v>
      </c>
      <c r="K53" s="309">
        <f t="shared" si="26"/>
        <v>146552.4</v>
      </c>
      <c r="L53" s="309">
        <f t="shared" si="26"/>
        <v>172772</v>
      </c>
      <c r="M53" s="309">
        <f t="shared" si="26"/>
        <v>183321.99999999997</v>
      </c>
      <c r="N53" s="309">
        <f t="shared" si="26"/>
        <v>188944</v>
      </c>
      <c r="O53" s="309">
        <f t="shared" si="26"/>
        <v>183749.19999999998</v>
      </c>
      <c r="P53" s="309">
        <f t="shared" si="26"/>
        <v>171026.4</v>
      </c>
      <c r="Q53" s="309">
        <f t="shared" si="26"/>
        <v>160786.79999999999</v>
      </c>
      <c r="R53" s="309">
        <f t="shared" si="26"/>
        <v>153839.99999999997</v>
      </c>
      <c r="S53" s="309">
        <f t="shared" ref="S53:U53" si="27">S49</f>
        <v>187568.07360000006</v>
      </c>
      <c r="T53" s="309">
        <f t="shared" si="27"/>
        <v>194754.47039999993</v>
      </c>
      <c r="U53" s="309">
        <f t="shared" si="27"/>
        <v>201940.86719999995</v>
      </c>
      <c r="V53" s="5"/>
    </row>
    <row r="54" spans="1:22" x14ac:dyDescent="0.3">
      <c r="B54" s="308" t="s">
        <v>168</v>
      </c>
      <c r="C54" s="308"/>
      <c r="D54" s="308"/>
      <c r="E54" s="308"/>
      <c r="F54" s="308"/>
      <c r="G54" s="309">
        <f>G49</f>
        <v>117560</v>
      </c>
      <c r="H54" s="309">
        <f t="shared" ref="H54:R54" si="28">H49</f>
        <v>96549.599999999977</v>
      </c>
      <c r="I54" s="309">
        <f t="shared" si="28"/>
        <v>112891.6</v>
      </c>
      <c r="J54" s="309">
        <f t="shared" si="28"/>
        <v>122922.4</v>
      </c>
      <c r="K54" s="309">
        <f t="shared" si="28"/>
        <v>146552.4</v>
      </c>
      <c r="L54" s="309">
        <f t="shared" si="28"/>
        <v>172772</v>
      </c>
      <c r="M54" s="309">
        <f t="shared" si="28"/>
        <v>183321.99999999997</v>
      </c>
      <c r="N54" s="309">
        <f t="shared" si="28"/>
        <v>188944</v>
      </c>
      <c r="O54" s="309">
        <f t="shared" si="28"/>
        <v>183749.19999999998</v>
      </c>
      <c r="P54" s="309">
        <f t="shared" si="28"/>
        <v>171026.4</v>
      </c>
      <c r="Q54" s="309">
        <f t="shared" si="28"/>
        <v>160786.79999999999</v>
      </c>
      <c r="R54" s="309">
        <f t="shared" si="28"/>
        <v>153839.99999999997</v>
      </c>
      <c r="S54" s="309">
        <f t="shared" ref="S54:U54" si="29">S49</f>
        <v>187568.07360000006</v>
      </c>
      <c r="T54" s="309">
        <f t="shared" si="29"/>
        <v>194754.47039999993</v>
      </c>
      <c r="U54" s="309">
        <f t="shared" si="29"/>
        <v>201940.86719999995</v>
      </c>
      <c r="V54" s="5"/>
    </row>
    <row r="55" spans="1:22" x14ac:dyDescent="0.3">
      <c r="B55" s="308" t="s">
        <v>160</v>
      </c>
      <c r="C55" s="308"/>
      <c r="D55" s="308"/>
      <c r="E55" s="308"/>
      <c r="F55" s="308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5"/>
    </row>
    <row r="56" spans="1:22" x14ac:dyDescent="0.3">
      <c r="B56" s="308" t="s">
        <v>162</v>
      </c>
      <c r="C56" s="308"/>
      <c r="D56" s="308"/>
      <c r="E56" s="308"/>
      <c r="F56" s="308"/>
      <c r="G56" s="309">
        <f>G49</f>
        <v>117560</v>
      </c>
      <c r="H56" s="309">
        <f t="shared" ref="H56:R56" si="30">H49</f>
        <v>96549.599999999977</v>
      </c>
      <c r="I56" s="309">
        <f t="shared" si="30"/>
        <v>112891.6</v>
      </c>
      <c r="J56" s="309">
        <f t="shared" si="30"/>
        <v>122922.4</v>
      </c>
      <c r="K56" s="309">
        <f t="shared" si="30"/>
        <v>146552.4</v>
      </c>
      <c r="L56" s="309">
        <f t="shared" si="30"/>
        <v>172772</v>
      </c>
      <c r="M56" s="309">
        <f t="shared" si="30"/>
        <v>183321.99999999997</v>
      </c>
      <c r="N56" s="309">
        <f t="shared" si="30"/>
        <v>188944</v>
      </c>
      <c r="O56" s="309">
        <f t="shared" si="30"/>
        <v>183749.19999999998</v>
      </c>
      <c r="P56" s="309">
        <f t="shared" si="30"/>
        <v>171026.4</v>
      </c>
      <c r="Q56" s="309">
        <f t="shared" si="30"/>
        <v>160786.79999999999</v>
      </c>
      <c r="R56" s="309">
        <f t="shared" si="30"/>
        <v>153839.99999999997</v>
      </c>
      <c r="S56" s="309">
        <f t="shared" ref="S56:U56" si="31">S49</f>
        <v>187568.07360000006</v>
      </c>
      <c r="T56" s="309">
        <f t="shared" si="31"/>
        <v>194754.47039999993</v>
      </c>
      <c r="U56" s="309">
        <f t="shared" si="31"/>
        <v>201940.86719999995</v>
      </c>
      <c r="V56" s="5"/>
    </row>
    <row r="57" spans="1:22" x14ac:dyDescent="0.3">
      <c r="B57" s="308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</row>
  </sheetData>
  <phoneticPr fontId="7" type="noConversion"/>
  <pageMargins left="0.7" right="0.7" top="0.75" bottom="0.75" header="0.3" footer="0.3"/>
  <ignoredErrors>
    <ignoredError sqref="R19 G11:M1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FD79-C2BE-481E-8E4A-4B5CA1D7943E}">
  <sheetPr codeName="Sheet38"/>
  <dimension ref="B2:V101"/>
  <sheetViews>
    <sheetView showGridLines="0" topLeftCell="A13" zoomScale="97" zoomScaleNormal="97" workbookViewId="0">
      <selection activeCell="K91" sqref="K91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72" t="s">
        <v>224</v>
      </c>
      <c r="C2" s="172"/>
      <c r="D2" s="172"/>
      <c r="E2" s="172"/>
      <c r="F2" s="145"/>
      <c r="G2" s="145"/>
      <c r="H2" s="145"/>
      <c r="I2" s="145"/>
      <c r="J2" s="145"/>
      <c r="K2" s="334" t="s">
        <v>235</v>
      </c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4" spans="2:22" x14ac:dyDescent="0.3">
      <c r="B4" s="185" t="s">
        <v>20</v>
      </c>
      <c r="C4" s="185"/>
      <c r="D4" s="185"/>
      <c r="E4" s="186">
        <v>2023</v>
      </c>
      <c r="F4" s="186">
        <v>2024</v>
      </c>
      <c r="G4" s="186">
        <v>2025</v>
      </c>
      <c r="H4" s="186">
        <v>2026</v>
      </c>
      <c r="I4" s="186">
        <v>2027</v>
      </c>
      <c r="J4" s="185"/>
      <c r="K4" s="186" t="s">
        <v>25</v>
      </c>
      <c r="L4" s="186" t="s">
        <v>26</v>
      </c>
      <c r="M4" s="186" t="s">
        <v>27</v>
      </c>
      <c r="N4" s="186" t="s">
        <v>28</v>
      </c>
      <c r="O4" s="186" t="s">
        <v>29</v>
      </c>
      <c r="P4" s="186" t="s">
        <v>30</v>
      </c>
      <c r="Q4" s="186" t="s">
        <v>31</v>
      </c>
      <c r="R4" s="186" t="s">
        <v>32</v>
      </c>
      <c r="S4" s="186" t="s">
        <v>33</v>
      </c>
      <c r="T4" s="186" t="s">
        <v>34</v>
      </c>
      <c r="U4" s="186" t="s">
        <v>35</v>
      </c>
      <c r="V4" s="186" t="s">
        <v>36</v>
      </c>
    </row>
    <row r="5" spans="2:22" x14ac:dyDescent="0.3">
      <c r="B5" t="s">
        <v>37</v>
      </c>
      <c r="E5" s="197">
        <f>'Statements Summary 2023'!V5</f>
        <v>300123</v>
      </c>
      <c r="F5" s="197">
        <f>'Statements Summary 2024'!V5</f>
        <v>366450.91200000001</v>
      </c>
      <c r="G5" s="197">
        <f>'Statements Summary 2025'!V5</f>
        <v>425730</v>
      </c>
      <c r="H5" s="197">
        <f>'Statements Summary 2026'!V5</f>
        <v>585620</v>
      </c>
      <c r="I5" s="197">
        <f t="shared" ref="I5:I17" si="0">V5</f>
        <v>656590</v>
      </c>
      <c r="K5" s="197">
        <f>'CF 2027'!G11</f>
        <v>588910</v>
      </c>
      <c r="L5" s="197">
        <f>'CF 2027'!H11</f>
        <v>592670</v>
      </c>
      <c r="M5" s="197">
        <f>'CF 2027'!I11</f>
        <v>607240</v>
      </c>
      <c r="N5" s="197">
        <f>'CF 2027'!J11</f>
        <v>611000</v>
      </c>
      <c r="O5" s="197">
        <f>'CF 2027'!K11</f>
        <v>614760</v>
      </c>
      <c r="P5" s="197">
        <f>'CF 2027'!L11</f>
        <v>618050</v>
      </c>
      <c r="Q5" s="197">
        <f>'CF 2027'!M11</f>
        <v>627450</v>
      </c>
      <c r="R5" s="197">
        <f>'CF 2027'!N11</f>
        <v>631210</v>
      </c>
      <c r="S5" s="197">
        <f>'CF 2027'!O11</f>
        <v>645310</v>
      </c>
      <c r="T5" s="197">
        <f>'CF 2027'!P11</f>
        <v>649070</v>
      </c>
      <c r="U5" s="197">
        <f>'CF 2027'!Q11</f>
        <v>652830</v>
      </c>
      <c r="V5" s="197">
        <f>'CF 2027'!R11</f>
        <v>656590</v>
      </c>
    </row>
    <row r="6" spans="2:22" x14ac:dyDescent="0.3">
      <c r="B6" t="s">
        <v>38</v>
      </c>
      <c r="E6" s="197">
        <f>'Statements Summary 2023'!V6</f>
        <v>-625</v>
      </c>
      <c r="F6" s="197">
        <f>'Statements Summary 2024'!V6</f>
        <v>-625</v>
      </c>
      <c r="G6" s="197">
        <f>'Statements Summary 2025'!V6</f>
        <v>-625</v>
      </c>
      <c r="H6" s="197">
        <f>'Statements Summary 2026'!V6</f>
        <v>-625</v>
      </c>
      <c r="I6" s="197">
        <f t="shared" si="0"/>
        <v>-625</v>
      </c>
      <c r="K6" s="197">
        <f>'CF 2027'!G14</f>
        <v>-625</v>
      </c>
      <c r="L6" s="197">
        <f>'CF 2027'!H14</f>
        <v>-625</v>
      </c>
      <c r="M6" s="197">
        <f>'CF 2027'!I14</f>
        <v>-625</v>
      </c>
      <c r="N6" s="197">
        <f>'CF 2027'!J14</f>
        <v>-625</v>
      </c>
      <c r="O6" s="197">
        <f>'CF 2027'!K14</f>
        <v>-625</v>
      </c>
      <c r="P6" s="197">
        <f>'CF 2027'!L14</f>
        <v>-625</v>
      </c>
      <c r="Q6" s="197">
        <f>'CF 2027'!M14</f>
        <v>-625</v>
      </c>
      <c r="R6" s="197">
        <f>'CF 2027'!N14</f>
        <v>-625</v>
      </c>
      <c r="S6" s="197">
        <f>'CF 2027'!O14</f>
        <v>-625</v>
      </c>
      <c r="T6" s="197">
        <f>'CF 2027'!P14</f>
        <v>-625</v>
      </c>
      <c r="U6" s="197">
        <f>'CF 2027'!Q14</f>
        <v>-625</v>
      </c>
      <c r="V6" s="197">
        <f>'CF 2027'!R14</f>
        <v>-625</v>
      </c>
    </row>
    <row r="7" spans="2:22" x14ac:dyDescent="0.3">
      <c r="B7" t="s">
        <v>39</v>
      </c>
      <c r="E7" s="197">
        <f>'Statements Summary 2023'!V7</f>
        <v>-16818</v>
      </c>
      <c r="F7" s="197">
        <f>'Statements Summary 2024'!V7</f>
        <v>-16818</v>
      </c>
      <c r="G7" s="197">
        <f>'Statements Summary 2025'!V7</f>
        <v>0</v>
      </c>
      <c r="H7" s="197">
        <f>'Statements Summary 2026'!V7</f>
        <v>0</v>
      </c>
      <c r="I7" s="197">
        <f t="shared" si="0"/>
        <v>0</v>
      </c>
      <c r="K7" s="197" t="s">
        <v>189</v>
      </c>
      <c r="L7" s="197">
        <f>'CF 2027'!H30</f>
        <v>0</v>
      </c>
      <c r="M7" s="197">
        <f>'CF 2027'!I30</f>
        <v>0</v>
      </c>
      <c r="N7" s="197">
        <f>'CF 2027'!J30</f>
        <v>0</v>
      </c>
      <c r="O7" s="197">
        <f>'CF 2027'!K30</f>
        <v>0</v>
      </c>
      <c r="P7" s="197">
        <f>'CF 2027'!L30</f>
        <v>0</v>
      </c>
      <c r="Q7" s="197">
        <f>'CF 2027'!M30</f>
        <v>0</v>
      </c>
      <c r="R7" s="197">
        <f>'CF 2027'!N30</f>
        <v>0</v>
      </c>
      <c r="S7" s="197">
        <f>'CF 2027'!O30</f>
        <v>0</v>
      </c>
      <c r="T7" s="197">
        <f>'CF 2027'!P30</f>
        <v>0</v>
      </c>
      <c r="U7" s="197">
        <f>'CF 2027'!Q30</f>
        <v>0</v>
      </c>
      <c r="V7" s="197">
        <f>'CF 2027'!R30</f>
        <v>0</v>
      </c>
    </row>
    <row r="8" spans="2:22" x14ac:dyDescent="0.3">
      <c r="B8" t="s">
        <v>14</v>
      </c>
      <c r="E8" s="197">
        <f>'Statements Summary 2023'!V8</f>
        <v>170658</v>
      </c>
      <c r="F8" s="197">
        <f>'Statements Summary 2024'!V8</f>
        <v>264083.52960000001</v>
      </c>
      <c r="G8" s="197">
        <f>'Statements Summary 2025'!V8</f>
        <v>340344</v>
      </c>
      <c r="H8" s="197">
        <f>'Statements Summary 2026'!V8</f>
        <v>479525.6</v>
      </c>
      <c r="I8" s="197">
        <f t="shared" si="0"/>
        <v>537481.6</v>
      </c>
      <c r="K8" s="197">
        <f>'CF 2027'!G19</f>
        <v>484404.4</v>
      </c>
      <c r="L8" s="197">
        <f>'CF 2027'!H19</f>
        <v>487412.4</v>
      </c>
      <c r="M8" s="197">
        <f>'CF 2027'!I19</f>
        <v>500248.4</v>
      </c>
      <c r="N8" s="197">
        <f>'CF 2027'!J19</f>
        <v>503256.4</v>
      </c>
      <c r="O8" s="197">
        <f>'CF 2027'!K19</f>
        <v>506264.4</v>
      </c>
      <c r="P8" s="197">
        <f>'CF 2027'!L19</f>
        <v>508896.4</v>
      </c>
      <c r="Q8" s="197">
        <f>'CF 2027'!M19</f>
        <v>516416.4</v>
      </c>
      <c r="R8" s="197">
        <f>'CF 2027'!N19</f>
        <v>519424.4</v>
      </c>
      <c r="S8" s="197">
        <f>'CF 2027'!O19</f>
        <v>530704.4</v>
      </c>
      <c r="T8" s="197">
        <f>'CF 2027'!P19</f>
        <v>533712.4</v>
      </c>
      <c r="U8" s="197">
        <f>'CF 2027'!Q19</f>
        <v>536720.4</v>
      </c>
      <c r="V8" s="197">
        <f>'CF 2027'!R19</f>
        <v>537481.6</v>
      </c>
    </row>
    <row r="9" spans="2:22" x14ac:dyDescent="0.3">
      <c r="B9" t="s">
        <v>40</v>
      </c>
      <c r="E9" s="197" t="str">
        <f>'Statements Summary 2023'!V9</f>
        <v>-</v>
      </c>
      <c r="F9" s="197" t="str">
        <f>'Statements Summary 2024'!V9</f>
        <v>-</v>
      </c>
      <c r="G9" s="197">
        <f>'Statements Summary 2025'!V9</f>
        <v>0</v>
      </c>
      <c r="H9" s="197">
        <f>'Statements Summary 2026'!V9</f>
        <v>0</v>
      </c>
      <c r="I9" s="197">
        <f t="shared" si="0"/>
        <v>0</v>
      </c>
      <c r="K9" s="197">
        <f>'CF 2027'!G24</f>
        <v>0</v>
      </c>
      <c r="L9" s="197">
        <f>'CF 2027'!H24</f>
        <v>0</v>
      </c>
      <c r="M9" s="197">
        <f>'CF 2027'!I24</f>
        <v>0</v>
      </c>
      <c r="N9" s="197">
        <f>'CF 2027'!J24</f>
        <v>0</v>
      </c>
      <c r="O9" s="197">
        <f>'CF 2027'!K24</f>
        <v>0</v>
      </c>
      <c r="P9" s="197">
        <f>'CF 2027'!L24</f>
        <v>0</v>
      </c>
      <c r="Q9" s="197">
        <f>'CF 2027'!M24</f>
        <v>0</v>
      </c>
      <c r="R9" s="197">
        <f>'CF 2027'!N24</f>
        <v>0</v>
      </c>
      <c r="S9" s="197">
        <f>'CF 2027'!O24</f>
        <v>0</v>
      </c>
      <c r="T9" s="197">
        <f>'CF 2027'!P24</f>
        <v>0</v>
      </c>
      <c r="U9" s="197">
        <f>'CF 2027'!Q24</f>
        <v>0</v>
      </c>
      <c r="V9" s="197">
        <f>'CF 2027'!R24</f>
        <v>0</v>
      </c>
    </row>
    <row r="10" spans="2:22" x14ac:dyDescent="0.3">
      <c r="B10" t="s">
        <v>41</v>
      </c>
      <c r="E10" s="197" t="str">
        <f>'Statements Summary 2023'!V10</f>
        <v>-</v>
      </c>
      <c r="F10" s="197" t="str">
        <f>'Statements Summary 2024'!V10</f>
        <v>-</v>
      </c>
      <c r="G10" s="197" t="str">
        <f>'Statements Summary 2025'!V10</f>
        <v>-</v>
      </c>
      <c r="H10" s="197" t="str">
        <f>'Statements Summary 2026'!V10</f>
        <v>-</v>
      </c>
      <c r="I10" s="197" t="str">
        <f t="shared" si="0"/>
        <v>-</v>
      </c>
      <c r="K10" s="197" t="s">
        <v>189</v>
      </c>
      <c r="L10" s="197" t="s">
        <v>189</v>
      </c>
      <c r="M10" s="197" t="s">
        <v>189</v>
      </c>
      <c r="N10" s="197" t="s">
        <v>189</v>
      </c>
      <c r="O10" s="197" t="s">
        <v>189</v>
      </c>
      <c r="P10" s="197" t="s">
        <v>189</v>
      </c>
      <c r="Q10" s="197" t="s">
        <v>189</v>
      </c>
      <c r="R10" s="197" t="s">
        <v>189</v>
      </c>
      <c r="S10" s="197" t="s">
        <v>189</v>
      </c>
      <c r="T10" s="197" t="s">
        <v>189</v>
      </c>
      <c r="U10" s="197" t="s">
        <v>189</v>
      </c>
      <c r="V10" s="197" t="s">
        <v>189</v>
      </c>
    </row>
    <row r="11" spans="2:22" x14ac:dyDescent="0.3">
      <c r="B11" t="s">
        <v>42</v>
      </c>
      <c r="E11" s="197" t="str">
        <f>'Statements Summary 2023'!V11</f>
        <v>-</v>
      </c>
      <c r="F11" s="197" t="str">
        <f>'Statements Summary 2024'!V11</f>
        <v>-</v>
      </c>
      <c r="G11" s="197" t="str">
        <f>'Statements Summary 2025'!V11</f>
        <v>-</v>
      </c>
      <c r="H11" s="197" t="str">
        <f>'Statements Summary 2026'!V11</f>
        <v>-</v>
      </c>
      <c r="I11" s="197" t="str">
        <f t="shared" si="0"/>
        <v>-</v>
      </c>
      <c r="K11" s="197">
        <f>'CF 2027'!G24</f>
        <v>0</v>
      </c>
      <c r="L11" s="197" t="s">
        <v>189</v>
      </c>
      <c r="M11" s="197" t="s">
        <v>189</v>
      </c>
      <c r="N11" s="197" t="s">
        <v>189</v>
      </c>
      <c r="O11" s="197" t="s">
        <v>189</v>
      </c>
      <c r="P11" s="197" t="s">
        <v>189</v>
      </c>
      <c r="Q11" s="197" t="s">
        <v>189</v>
      </c>
      <c r="R11" s="197" t="s">
        <v>189</v>
      </c>
      <c r="S11" s="197" t="s">
        <v>189</v>
      </c>
      <c r="T11" s="197" t="s">
        <v>189</v>
      </c>
      <c r="U11" s="197" t="s">
        <v>189</v>
      </c>
      <c r="V11" s="197" t="s">
        <v>189</v>
      </c>
    </row>
    <row r="12" spans="2:22" x14ac:dyDescent="0.3">
      <c r="B12" t="s">
        <v>43</v>
      </c>
      <c r="E12" s="197">
        <f>'Statements Summary 2023'!V12</f>
        <v>-16818</v>
      </c>
      <c r="F12" s="197">
        <f>'Statements Summary 2024'!V12</f>
        <v>-16818</v>
      </c>
      <c r="G12" s="197">
        <f>'Statements Summary 2025'!V12</f>
        <v>0</v>
      </c>
      <c r="H12" s="197">
        <f>'Statements Summary 2026'!V12</f>
        <v>0</v>
      </c>
      <c r="I12" s="197">
        <f t="shared" si="0"/>
        <v>0</v>
      </c>
      <c r="K12" s="197" t="s">
        <v>189</v>
      </c>
      <c r="L12" s="197">
        <f>'CF 2027'!H30</f>
        <v>0</v>
      </c>
      <c r="M12" s="197">
        <f>'CF 2027'!I30</f>
        <v>0</v>
      </c>
      <c r="N12" s="197">
        <f>'CF 2027'!J30</f>
        <v>0</v>
      </c>
      <c r="O12" s="197">
        <f>'CF 2027'!K30</f>
        <v>0</v>
      </c>
      <c r="P12" s="197">
        <f>'CF 2027'!L30</f>
        <v>0</v>
      </c>
      <c r="Q12" s="197">
        <f>'CF 2027'!M30</f>
        <v>0</v>
      </c>
      <c r="R12" s="197">
        <f>'CF 2027'!N30</f>
        <v>0</v>
      </c>
      <c r="S12" s="197">
        <f>'CF 2027'!O30</f>
        <v>0</v>
      </c>
      <c r="T12" s="197">
        <f>'CF 2027'!P30</f>
        <v>0</v>
      </c>
      <c r="U12" s="197">
        <f>'CF 2027'!Q30</f>
        <v>0</v>
      </c>
      <c r="V12" s="197">
        <f>'CF 2027'!R30</f>
        <v>0</v>
      </c>
    </row>
    <row r="13" spans="2:22" x14ac:dyDescent="0.3">
      <c r="B13" t="s">
        <v>44</v>
      </c>
      <c r="E13" s="197" t="str">
        <f>'Statements Summary 2023'!V13</f>
        <v>-</v>
      </c>
      <c r="F13" s="197" t="str">
        <f>'Statements Summary 2024'!V13</f>
        <v>-</v>
      </c>
      <c r="G13" s="197" t="str">
        <f>'Statements Summary 2025'!V13</f>
        <v>-</v>
      </c>
      <c r="H13" s="197" t="str">
        <f>'Statements Summary 2026'!V13</f>
        <v>-</v>
      </c>
      <c r="I13" s="197" t="str">
        <f t="shared" si="0"/>
        <v>-</v>
      </c>
      <c r="K13" s="197" t="s">
        <v>189</v>
      </c>
      <c r="L13" s="197" t="s">
        <v>189</v>
      </c>
      <c r="M13" s="197" t="s">
        <v>189</v>
      </c>
      <c r="N13" s="197" t="s">
        <v>189</v>
      </c>
      <c r="O13" s="197" t="s">
        <v>189</v>
      </c>
      <c r="P13" s="197" t="s">
        <v>189</v>
      </c>
      <c r="Q13" s="197" t="s">
        <v>189</v>
      </c>
      <c r="R13" s="197" t="s">
        <v>189</v>
      </c>
      <c r="S13" s="197" t="s">
        <v>189</v>
      </c>
      <c r="T13" s="197" t="s">
        <v>189</v>
      </c>
      <c r="U13" s="197" t="s">
        <v>189</v>
      </c>
      <c r="V13" s="197" t="s">
        <v>189</v>
      </c>
    </row>
    <row r="14" spans="2:22" x14ac:dyDescent="0.3">
      <c r="B14" t="s">
        <v>45</v>
      </c>
      <c r="E14" s="197" t="str">
        <f>'Statements Summary 2023'!V14</f>
        <v>-</v>
      </c>
      <c r="F14" s="197" t="str">
        <f>'Statements Summary 2024'!V14</f>
        <v>-</v>
      </c>
      <c r="G14" s="197" t="str">
        <f>'Statements Summary 2025'!V14</f>
        <v>-</v>
      </c>
      <c r="H14" s="197" t="str">
        <f>'Statements Summary 2026'!V14</f>
        <v>-</v>
      </c>
      <c r="I14" s="197" t="str">
        <f t="shared" si="0"/>
        <v>-</v>
      </c>
      <c r="K14" s="197" t="s">
        <v>189</v>
      </c>
      <c r="L14" s="197" t="s">
        <v>189</v>
      </c>
      <c r="M14" s="197" t="s">
        <v>189</v>
      </c>
      <c r="N14" s="197" t="s">
        <v>189</v>
      </c>
      <c r="O14" s="197" t="s">
        <v>189</v>
      </c>
      <c r="P14" s="197" t="s">
        <v>189</v>
      </c>
      <c r="Q14" s="197" t="s">
        <v>189</v>
      </c>
      <c r="R14" s="197" t="s">
        <v>189</v>
      </c>
      <c r="S14" s="197" t="s">
        <v>189</v>
      </c>
      <c r="T14" s="197" t="s">
        <v>189</v>
      </c>
      <c r="U14" s="197" t="s">
        <v>189</v>
      </c>
      <c r="V14" s="197" t="s">
        <v>189</v>
      </c>
    </row>
    <row r="15" spans="2:22" x14ac:dyDescent="0.3">
      <c r="B15" t="s">
        <v>46</v>
      </c>
      <c r="E15" s="197">
        <f>'Statements Summary 2023'!V15</f>
        <v>-16818</v>
      </c>
      <c r="F15" s="197">
        <f>'Statements Summary 2024'!V15</f>
        <v>-16818</v>
      </c>
      <c r="G15" s="197">
        <f>'Statements Summary 2025'!V15</f>
        <v>0</v>
      </c>
      <c r="H15" s="197">
        <f>'Statements Summary 2026'!V15</f>
        <v>0</v>
      </c>
      <c r="I15" s="197">
        <f t="shared" si="0"/>
        <v>0</v>
      </c>
      <c r="K15" s="197" t="s">
        <v>189</v>
      </c>
      <c r="L15" s="197">
        <f>'CF 2027'!H30</f>
        <v>0</v>
      </c>
      <c r="M15" s="197">
        <f>'CF 2027'!I30</f>
        <v>0</v>
      </c>
      <c r="N15" s="197">
        <f>'CF 2027'!J30</f>
        <v>0</v>
      </c>
      <c r="O15" s="197">
        <f>'CF 2027'!K30</f>
        <v>0</v>
      </c>
      <c r="P15" s="197">
        <f>'CF 2027'!L30</f>
        <v>0</v>
      </c>
      <c r="Q15" s="197">
        <f>'CF 2027'!M30</f>
        <v>0</v>
      </c>
      <c r="R15" s="197">
        <f>'CF 2027'!N30</f>
        <v>0</v>
      </c>
      <c r="S15" s="197">
        <f>'CF 2027'!O30</f>
        <v>0</v>
      </c>
      <c r="T15" s="197">
        <f>'CF 2027'!P30</f>
        <v>0</v>
      </c>
      <c r="U15" s="197">
        <f>'CF 2027'!Q30</f>
        <v>0</v>
      </c>
      <c r="V15" s="197">
        <f>'CF 2027'!R30</f>
        <v>0</v>
      </c>
    </row>
    <row r="16" spans="2:22" x14ac:dyDescent="0.3">
      <c r="B16" t="s">
        <v>194</v>
      </c>
      <c r="E16" s="197">
        <f>'Statements Summary 2023'!V16</f>
        <v>170658</v>
      </c>
      <c r="F16" s="197">
        <f>'Statements Summary 2024'!V16</f>
        <v>264083.52960000001</v>
      </c>
      <c r="G16" s="197">
        <f>'Statements Summary 2025'!V16</f>
        <v>340344</v>
      </c>
      <c r="H16" s="197">
        <f>'Statements Summary 2026'!V16</f>
        <v>479525.6</v>
      </c>
      <c r="I16" s="197">
        <f t="shared" si="0"/>
        <v>537481.6</v>
      </c>
      <c r="K16" s="197">
        <f>'CF 2027'!G19</f>
        <v>484404.4</v>
      </c>
      <c r="L16" s="197">
        <f>'CF 2027'!H19</f>
        <v>487412.4</v>
      </c>
      <c r="M16" s="197">
        <f>'CF 2027'!I19</f>
        <v>500248.4</v>
      </c>
      <c r="N16" s="197">
        <f>'CF 2027'!J19</f>
        <v>503256.4</v>
      </c>
      <c r="O16" s="197">
        <f>'CF 2027'!K19</f>
        <v>506264.4</v>
      </c>
      <c r="P16" s="197">
        <f>'CF 2027'!L19</f>
        <v>508896.4</v>
      </c>
      <c r="Q16" s="197">
        <f>'CF 2027'!M19</f>
        <v>516416.4</v>
      </c>
      <c r="R16" s="197">
        <f>'CF 2027'!N19</f>
        <v>519424.4</v>
      </c>
      <c r="S16" s="197">
        <f>'CF 2027'!O19</f>
        <v>530704.4</v>
      </c>
      <c r="T16" s="197">
        <f>'CF 2027'!P19</f>
        <v>533712.4</v>
      </c>
      <c r="U16" s="197">
        <f>'CF 2027'!Q19</f>
        <v>536720.4</v>
      </c>
      <c r="V16" s="197">
        <f>'CF 2027'!R19</f>
        <v>537481.6</v>
      </c>
    </row>
    <row r="17" spans="2:22" x14ac:dyDescent="0.3">
      <c r="B17" t="s">
        <v>47</v>
      </c>
      <c r="E17" s="197">
        <f>'Statements Summary 2023'!V17</f>
        <v>324498</v>
      </c>
      <c r="F17" s="197">
        <f>'Statements Summary 2024'!V17</f>
        <v>511349.05920000002</v>
      </c>
      <c r="G17" s="197">
        <f>'Statements Summary 2025'!V17</f>
        <v>680688</v>
      </c>
      <c r="H17" s="197">
        <f>'Statements Summary 2026'!V17</f>
        <v>959051.20000000007</v>
      </c>
      <c r="I17" s="197">
        <f t="shared" si="0"/>
        <v>1074963.2000000002</v>
      </c>
      <c r="K17" s="197">
        <f>'CF 2027'!G40+'CF 2027'!G17+'CF 2027'!G18</f>
        <v>968808.79999999993</v>
      </c>
      <c r="L17" s="197">
        <f>'CF 2027'!H40+'CF 2027'!H17+'CF 2027'!H18</f>
        <v>974824.79999999993</v>
      </c>
      <c r="M17" s="197">
        <f>'CF 2027'!I40+'CF 2027'!I17+'CF 2027'!I18</f>
        <v>1000496.7999999999</v>
      </c>
      <c r="N17" s="197">
        <f>'CF 2027'!J40+'CF 2027'!J17+'CF 2027'!J18</f>
        <v>1006512.7999999999</v>
      </c>
      <c r="O17" s="197">
        <f>'CF 2027'!K40+'CF 2027'!K17+'CF 2027'!K18</f>
        <v>1012528.7999999999</v>
      </c>
      <c r="P17" s="197">
        <f>'CF 2027'!L40+'CF 2027'!L17+'CF 2027'!L18</f>
        <v>1017792.7999999999</v>
      </c>
      <c r="Q17" s="197">
        <f>'CF 2027'!M40+'CF 2027'!M17+'CF 2027'!M18</f>
        <v>1032832.7999999999</v>
      </c>
      <c r="R17" s="197">
        <f>'CF 2027'!N40+'CF 2027'!N17+'CF 2027'!N18</f>
        <v>1038848.7999999999</v>
      </c>
      <c r="S17" s="197">
        <f>'CF 2027'!O40+'CF 2027'!O17+'CF 2027'!O18</f>
        <v>1061408.7999999998</v>
      </c>
      <c r="T17" s="197">
        <f>'CF 2027'!P40+'CF 2027'!P17+'CF 2027'!P18</f>
        <v>1067424.7999999998</v>
      </c>
      <c r="U17" s="197">
        <f>'CF 2027'!Q40+'CF 2027'!Q17+'CF 2027'!Q18</f>
        <v>1073440.7999999998</v>
      </c>
      <c r="V17" s="197">
        <f>'CF 2027'!R40+'CF 2027'!R17+'CF 2027'!R18</f>
        <v>1074963.2000000002</v>
      </c>
    </row>
    <row r="19" spans="2:22" x14ac:dyDescent="0.3">
      <c r="B19" s="172" t="s">
        <v>224</v>
      </c>
      <c r="C19" s="145"/>
      <c r="D19" s="145"/>
      <c r="E19" s="145"/>
      <c r="F19" s="145"/>
      <c r="G19" s="145"/>
      <c r="H19" s="145"/>
      <c r="I19" s="145"/>
      <c r="K19" s="334" t="s">
        <v>235</v>
      </c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</row>
    <row r="42" spans="2:22" x14ac:dyDescent="0.3">
      <c r="B42" s="172" t="s">
        <v>225</v>
      </c>
      <c r="C42" s="172"/>
      <c r="D42" s="172"/>
      <c r="E42" s="172"/>
      <c r="F42" s="145"/>
      <c r="G42" s="145"/>
      <c r="H42" s="145"/>
      <c r="I42" s="145"/>
      <c r="J42" s="145"/>
      <c r="K42" s="334" t="s">
        <v>227</v>
      </c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</row>
    <row r="44" spans="2:22" x14ac:dyDescent="0.3">
      <c r="B44" s="185" t="s">
        <v>20</v>
      </c>
      <c r="C44" s="185"/>
      <c r="D44" s="185"/>
      <c r="E44" s="186">
        <v>2023</v>
      </c>
      <c r="F44" s="186">
        <v>2024</v>
      </c>
      <c r="G44" s="186">
        <v>2025</v>
      </c>
      <c r="H44" s="186">
        <v>2026</v>
      </c>
      <c r="I44" s="186">
        <v>2027</v>
      </c>
      <c r="J44" s="185"/>
      <c r="K44" s="185" t="s">
        <v>25</v>
      </c>
      <c r="L44" s="185" t="s">
        <v>26</v>
      </c>
      <c r="M44" s="185" t="s">
        <v>27</v>
      </c>
      <c r="N44" s="185" t="s">
        <v>28</v>
      </c>
      <c r="O44" s="185" t="s">
        <v>29</v>
      </c>
      <c r="P44" s="185" t="s">
        <v>30</v>
      </c>
      <c r="Q44" s="185" t="s">
        <v>31</v>
      </c>
      <c r="R44" s="185" t="s">
        <v>32</v>
      </c>
      <c r="S44" s="185" t="s">
        <v>33</v>
      </c>
      <c r="T44" s="185" t="s">
        <v>34</v>
      </c>
      <c r="U44" s="185" t="s">
        <v>35</v>
      </c>
      <c r="V44" s="185" t="s">
        <v>36</v>
      </c>
    </row>
    <row r="45" spans="2:22" x14ac:dyDescent="0.3">
      <c r="B45" s="14" t="s">
        <v>2</v>
      </c>
      <c r="C45" s="14"/>
      <c r="D45" s="14"/>
      <c r="E45" s="187">
        <f>'Statements Summary 2023'!V44</f>
        <v>300123</v>
      </c>
      <c r="F45" s="187">
        <f>'Statements Summary 2024'!V45</f>
        <v>366450.91200000001</v>
      </c>
      <c r="G45" s="187">
        <f>'Statements Summary 2025'!V45</f>
        <v>425730</v>
      </c>
      <c r="H45" s="187">
        <f>'Statements Summary 2026'!V45</f>
        <v>585620</v>
      </c>
      <c r="I45" s="187">
        <f t="shared" ref="I45:I65" si="1">V45</f>
        <v>656590</v>
      </c>
      <c r="K45" s="187">
        <f>'IS 2027'!F13</f>
        <v>588910</v>
      </c>
      <c r="L45" s="187">
        <f>'IS 2027'!G13</f>
        <v>592670</v>
      </c>
      <c r="M45" s="187">
        <f>'IS 2027'!H13</f>
        <v>607240</v>
      </c>
      <c r="N45" s="187">
        <f>'IS 2027'!I13</f>
        <v>611000</v>
      </c>
      <c r="O45" s="187">
        <f>'IS 2027'!J13</f>
        <v>614760</v>
      </c>
      <c r="P45" s="187">
        <f>'IS 2027'!K13</f>
        <v>618050</v>
      </c>
      <c r="Q45" s="187">
        <f>'IS 2027'!L13</f>
        <v>627450</v>
      </c>
      <c r="R45" s="187">
        <f>'IS 2027'!M13</f>
        <v>631210</v>
      </c>
      <c r="S45" s="187">
        <f>'IS 2027'!N13</f>
        <v>645310</v>
      </c>
      <c r="T45" s="187">
        <f>'IS 2027'!O13</f>
        <v>649070</v>
      </c>
      <c r="U45" s="187">
        <f>'IS 2027'!P13</f>
        <v>652830</v>
      </c>
      <c r="V45" s="187">
        <f>'IS 2027'!Q13</f>
        <v>656590</v>
      </c>
    </row>
    <row r="46" spans="2:22" x14ac:dyDescent="0.3">
      <c r="B46" t="s">
        <v>21</v>
      </c>
      <c r="E46" s="1">
        <f>'Statements Summary 2023'!V45</f>
        <v>-4.1174271830702436E-2</v>
      </c>
      <c r="F46" s="2">
        <f>'Statements Summary 2024'!V46</f>
        <v>4.0916530278233172E-3</v>
      </c>
      <c r="G46" s="2">
        <f>'Statements Summary 2025'!V46</f>
        <v>7.8671328671328672E-2</v>
      </c>
      <c r="H46" s="2">
        <f>'Statements Summary 2026'!V46</f>
        <v>6.462035541195477E-3</v>
      </c>
      <c r="I46" s="2">
        <f t="shared" si="1"/>
        <v>5.7595392368610509E-3</v>
      </c>
      <c r="K46" s="2"/>
      <c r="L46" s="2">
        <f t="shared" ref="L46" si="2">(L45-K45)/K45</f>
        <v>6.3846767757382286E-3</v>
      </c>
      <c r="M46" s="2">
        <f>(M45-L45)/L45</f>
        <v>2.458366375892149E-2</v>
      </c>
      <c r="N46" s="2">
        <f>(N45-M45)/M45</f>
        <v>6.1919504643962852E-3</v>
      </c>
      <c r="O46" s="2">
        <f t="shared" ref="O46:T46" si="3">(O45-N45)/N45</f>
        <v>6.1538461538461538E-3</v>
      </c>
      <c r="P46" s="2">
        <f t="shared" si="3"/>
        <v>5.3516819571865441E-3</v>
      </c>
      <c r="Q46" s="2">
        <f t="shared" si="3"/>
        <v>1.5209125475285171E-2</v>
      </c>
      <c r="R46" s="2">
        <f t="shared" si="3"/>
        <v>5.9925093632958804E-3</v>
      </c>
      <c r="S46" s="2">
        <f t="shared" si="3"/>
        <v>2.2338049143708117E-2</v>
      </c>
      <c r="T46" s="2">
        <f t="shared" si="3"/>
        <v>5.826656955571741E-3</v>
      </c>
      <c r="U46" s="2">
        <f>(U45-T45)/T45</f>
        <v>5.7929036929761039E-3</v>
      </c>
      <c r="V46" s="2">
        <f t="shared" ref="V46" si="4">(V45-U45)/U45</f>
        <v>5.7595392368610509E-3</v>
      </c>
    </row>
    <row r="47" spans="2:22" x14ac:dyDescent="0.3">
      <c r="B47" t="s">
        <v>3</v>
      </c>
      <c r="E47" s="1">
        <f>'Statements Summary 2023'!V46</f>
        <v>-10390</v>
      </c>
      <c r="F47" s="1">
        <f>'Statements Summary 2024'!V47</f>
        <v>-10390</v>
      </c>
      <c r="G47" s="1">
        <f>'Statements Summary 2025'!V47</f>
        <v>8610</v>
      </c>
      <c r="H47" s="1">
        <f>'Statements Summary 2026'!V47</f>
        <v>-32544</v>
      </c>
      <c r="I47" s="1">
        <f t="shared" si="1"/>
        <v>-38444</v>
      </c>
      <c r="K47" s="1">
        <f>'IS 2027'!F14</f>
        <v>-32544</v>
      </c>
      <c r="L47" s="1">
        <f>'IS 2027'!G14</f>
        <v>-32544</v>
      </c>
      <c r="M47" s="1">
        <f>'IS 2027'!H14</f>
        <v>-38444</v>
      </c>
      <c r="N47" s="1">
        <f>'IS 2027'!I14</f>
        <v>-38444</v>
      </c>
      <c r="O47" s="1">
        <f>'IS 2027'!J14</f>
        <v>-38444</v>
      </c>
      <c r="P47" s="1">
        <f>'IS 2027'!K14</f>
        <v>-38444</v>
      </c>
      <c r="Q47" s="1">
        <f>'IS 2027'!L14</f>
        <v>-38444</v>
      </c>
      <c r="R47" s="1">
        <f>'IS 2027'!M14</f>
        <v>-38444</v>
      </c>
      <c r="S47" s="1">
        <f>'IS 2027'!N14</f>
        <v>-38444</v>
      </c>
      <c r="T47" s="1">
        <f>'IS 2027'!O14</f>
        <v>-38444</v>
      </c>
      <c r="U47" s="1">
        <f>'IS 2027'!P14</f>
        <v>-38444</v>
      </c>
      <c r="V47" s="1">
        <f>'IS 2027'!Q14</f>
        <v>-38444</v>
      </c>
    </row>
    <row r="48" spans="2:22" x14ac:dyDescent="0.3">
      <c r="B48" t="s">
        <v>22</v>
      </c>
      <c r="E48" s="2">
        <f>'Statements Summary 2023'!V47</f>
        <v>-3.4619139486144014E-2</v>
      </c>
      <c r="F48" s="2">
        <f>'Statements Summary 2024'!V48</f>
        <v>-2.8353047187940957E-2</v>
      </c>
      <c r="G48" s="2">
        <f>'Statements Summary 2025'!V48</f>
        <v>2.0224085688112185E-2</v>
      </c>
      <c r="H48" s="2">
        <f>'Statements Summary 2026'!V48</f>
        <v>-5.5571872545336569E-2</v>
      </c>
      <c r="I48" s="2">
        <f t="shared" si="1"/>
        <v>-5.8550998339907706E-2</v>
      </c>
      <c r="K48" s="2">
        <f>K47/K45</f>
        <v>-5.5261415156815132E-2</v>
      </c>
      <c r="L48" s="2">
        <f t="shared" ref="L48:V48" si="5">L47/L45</f>
        <v>-5.491082727318744E-2</v>
      </c>
      <c r="M48" s="2">
        <f t="shared" si="5"/>
        <v>-6.3309399907779465E-2</v>
      </c>
      <c r="N48" s="2">
        <f t="shared" si="5"/>
        <v>-6.2919803600654661E-2</v>
      </c>
      <c r="O48" s="2">
        <f t="shared" si="5"/>
        <v>-6.2534972997592558E-2</v>
      </c>
      <c r="P48" s="2">
        <f t="shared" si="5"/>
        <v>-6.2202087209772675E-2</v>
      </c>
      <c r="Q48" s="2">
        <f t="shared" si="5"/>
        <v>-6.1270220734719896E-2</v>
      </c>
      <c r="R48" s="2">
        <f t="shared" si="5"/>
        <v>-6.090524548090176E-2</v>
      </c>
      <c r="S48" s="2">
        <f t="shared" si="5"/>
        <v>-5.9574468085106386E-2</v>
      </c>
      <c r="T48" s="2">
        <f t="shared" si="5"/>
        <v>-5.9229358928929082E-2</v>
      </c>
      <c r="U48" s="2">
        <f t="shared" si="5"/>
        <v>-5.888822511220379E-2</v>
      </c>
      <c r="V48" s="2">
        <f t="shared" si="5"/>
        <v>-5.8550998339907706E-2</v>
      </c>
    </row>
    <row r="49" spans="2:22" x14ac:dyDescent="0.3">
      <c r="B49" t="s">
        <v>4</v>
      </c>
      <c r="E49" s="1">
        <f>'Statements Summary 2023'!V48</f>
        <v>289733</v>
      </c>
      <c r="F49" s="1">
        <f>'Statements Summary 2024'!V49</f>
        <v>356060.91200000001</v>
      </c>
      <c r="G49" s="1">
        <f>'Statements Summary 2025'!V49</f>
        <v>434340</v>
      </c>
      <c r="H49" s="1">
        <f>'Statements Summary 2026'!V49</f>
        <v>553076</v>
      </c>
      <c r="I49" s="1">
        <f t="shared" si="1"/>
        <v>618146</v>
      </c>
      <c r="K49" s="1">
        <f>'IS 2027'!F22</f>
        <v>556366</v>
      </c>
      <c r="L49" s="1">
        <f>'IS 2027'!G22</f>
        <v>560126</v>
      </c>
      <c r="M49" s="1">
        <f>'IS 2027'!H22</f>
        <v>568796</v>
      </c>
      <c r="N49" s="1">
        <f>'IS 2027'!I22</f>
        <v>572556</v>
      </c>
      <c r="O49" s="1">
        <f>'IS 2027'!J22</f>
        <v>576316</v>
      </c>
      <c r="P49" s="1">
        <f>'IS 2027'!K22</f>
        <v>579606</v>
      </c>
      <c r="Q49" s="1">
        <f>'IS 2027'!L22</f>
        <v>589006</v>
      </c>
      <c r="R49" s="1">
        <f>'IS 2027'!M22</f>
        <v>592766</v>
      </c>
      <c r="S49" s="1">
        <f>'IS 2027'!N22</f>
        <v>606866</v>
      </c>
      <c r="T49" s="1">
        <f>'IS 2027'!O22</f>
        <v>610626</v>
      </c>
      <c r="U49" s="1">
        <f>'IS 2027'!P22</f>
        <v>614386</v>
      </c>
      <c r="V49" s="1">
        <f>'IS 2027'!Q22</f>
        <v>618146</v>
      </c>
    </row>
    <row r="50" spans="2:22" x14ac:dyDescent="0.3">
      <c r="B50" t="s">
        <v>23</v>
      </c>
      <c r="E50" s="2">
        <f>'Statements Summary 2023'!V49</f>
        <v>0.96538086051385597</v>
      </c>
      <c r="F50" s="2">
        <f>'Statements Summary 2024'!V50</f>
        <v>0.97164695281205904</v>
      </c>
      <c r="G50" s="2">
        <f>'Statements Summary 2025'!V50</f>
        <v>1.0202240856881122</v>
      </c>
      <c r="H50" s="2">
        <f>'Statements Summary 2026'!V50</f>
        <v>0.94442812745466342</v>
      </c>
      <c r="I50" s="2">
        <f t="shared" si="1"/>
        <v>0.94144900166009227</v>
      </c>
      <c r="K50" s="2">
        <f>K49/K45</f>
        <v>0.94473858484318485</v>
      </c>
      <c r="L50" s="2">
        <f t="shared" ref="L50:V50" si="6">L49/L45</f>
        <v>0.94508917272681259</v>
      </c>
      <c r="M50" s="2">
        <f t="shared" si="6"/>
        <v>0.93669060009222049</v>
      </c>
      <c r="N50" s="2">
        <f t="shared" si="6"/>
        <v>0.93708019639934537</v>
      </c>
      <c r="O50" s="2">
        <f t="shared" si="6"/>
        <v>0.93746502700240741</v>
      </c>
      <c r="P50" s="2">
        <f t="shared" si="6"/>
        <v>0.93779791279022728</v>
      </c>
      <c r="Q50" s="2">
        <f t="shared" si="6"/>
        <v>0.93872977926528012</v>
      </c>
      <c r="R50" s="2">
        <f t="shared" si="6"/>
        <v>0.93909475451909818</v>
      </c>
      <c r="S50" s="2">
        <f t="shared" si="6"/>
        <v>0.94042553191489364</v>
      </c>
      <c r="T50" s="2">
        <f t="shared" si="6"/>
        <v>0.94077064107107089</v>
      </c>
      <c r="U50" s="2">
        <f t="shared" si="6"/>
        <v>0.94111177488779618</v>
      </c>
      <c r="V50" s="2">
        <f t="shared" si="6"/>
        <v>0.94144900166009227</v>
      </c>
    </row>
    <row r="51" spans="2:22" x14ac:dyDescent="0.3">
      <c r="B51" t="s">
        <v>5</v>
      </c>
      <c r="E51" s="1">
        <f>'Statements Summary 2023'!V50</f>
        <v>-2285</v>
      </c>
      <c r="F51" s="1">
        <f>'Statements Summary 2024'!V51</f>
        <v>-2285</v>
      </c>
      <c r="G51" s="1">
        <f>'Statements Summary 2025'!V51</f>
        <v>-2285</v>
      </c>
      <c r="H51" s="1">
        <f>'Statements Summary 2026'!V51</f>
        <v>-17479</v>
      </c>
      <c r="I51" s="1">
        <f t="shared" si="1"/>
        <v>-17479</v>
      </c>
      <c r="K51" s="1">
        <f>'IS 2027'!F33</f>
        <v>-28713</v>
      </c>
      <c r="L51" s="1">
        <f>'IS 2027'!G33</f>
        <v>-28713</v>
      </c>
      <c r="M51" s="1">
        <f>'IS 2027'!H33</f>
        <v>-28713</v>
      </c>
      <c r="N51" s="1">
        <f>'IS 2027'!I33</f>
        <v>-28713</v>
      </c>
      <c r="O51" s="1">
        <f>'IS 2027'!J33</f>
        <v>-28713</v>
      </c>
      <c r="P51" s="1">
        <f>'IS 2027'!K33</f>
        <v>-28713</v>
      </c>
      <c r="Q51" s="1">
        <f>'IS 2027'!L33</f>
        <v>-28713</v>
      </c>
      <c r="R51" s="1">
        <f>'IS 2027'!M33</f>
        <v>-28713</v>
      </c>
      <c r="S51" s="1">
        <f>'IS 2027'!N33</f>
        <v>-28713</v>
      </c>
      <c r="T51" s="1">
        <f>'IS 2027'!O33</f>
        <v>-28713</v>
      </c>
      <c r="U51" s="1">
        <f>'IS 2027'!P33</f>
        <v>-28713</v>
      </c>
      <c r="V51" s="1">
        <f>'IS 2027'!Q33</f>
        <v>-17479</v>
      </c>
    </row>
    <row r="52" spans="2:22" x14ac:dyDescent="0.3">
      <c r="B52" t="s">
        <v>22</v>
      </c>
      <c r="E52" s="2">
        <f>'Statements Summary 2023'!V51</f>
        <v>-7.6135451131702668E-3</v>
      </c>
      <c r="F52" s="2">
        <f>'Statements Summary 2024'!V52</f>
        <v>-6.2354872785798932E-3</v>
      </c>
      <c r="G52" s="2">
        <f>'Statements Summary 2025'!V52</f>
        <v>-5.3672515444060792E-3</v>
      </c>
      <c r="H52" s="2">
        <f>'Statements Summary 2026'!V52</f>
        <v>-2.9846999760937125E-2</v>
      </c>
      <c r="I52" s="2">
        <f t="shared" si="1"/>
        <v>-2.6620874518344783E-2</v>
      </c>
      <c r="K52" s="2">
        <f>K51/K45</f>
        <v>-4.8756176665364824E-2</v>
      </c>
      <c r="L52" s="2">
        <f t="shared" ref="L52:V52" si="7">L51/L45</f>
        <v>-4.8446859129026271E-2</v>
      </c>
      <c r="M52" s="2">
        <f t="shared" si="7"/>
        <v>-4.7284434490481524E-2</v>
      </c>
      <c r="N52" s="2">
        <f t="shared" si="7"/>
        <v>-4.6993453355155486E-2</v>
      </c>
      <c r="O52" s="2">
        <f t="shared" si="7"/>
        <v>-4.6706031622096425E-2</v>
      </c>
      <c r="P52" s="2">
        <f t="shared" si="7"/>
        <v>-4.645740635870884E-2</v>
      </c>
      <c r="Q52" s="2">
        <f t="shared" si="7"/>
        <v>-4.5761415252211335E-2</v>
      </c>
      <c r="R52" s="2">
        <f t="shared" si="7"/>
        <v>-4.5488823054134125E-2</v>
      </c>
      <c r="S52" s="2">
        <f t="shared" si="7"/>
        <v>-4.4494893926949837E-2</v>
      </c>
      <c r="T52" s="2">
        <f t="shared" si="7"/>
        <v>-4.4237139291601828E-2</v>
      </c>
      <c r="U52" s="2">
        <f t="shared" si="7"/>
        <v>-4.3982353752125364E-2</v>
      </c>
      <c r="V52" s="2">
        <f t="shared" si="7"/>
        <v>-2.6620874518344783E-2</v>
      </c>
    </row>
    <row r="53" spans="2:22" x14ac:dyDescent="0.3">
      <c r="B53" t="s">
        <v>190</v>
      </c>
      <c r="E53" s="1">
        <f>'Statements Summary 2023'!V52</f>
        <v>-4063</v>
      </c>
      <c r="F53" s="1">
        <f>'Statements Summary 2024'!V53</f>
        <v>-4063</v>
      </c>
      <c r="G53" s="1">
        <f>'Statements Summary 2025'!V53</f>
        <v>-45063</v>
      </c>
      <c r="H53" s="1">
        <f>'Statements Summary 2026'!V53</f>
        <v>-45063</v>
      </c>
      <c r="I53" s="1">
        <f t="shared" si="1"/>
        <v>-45063</v>
      </c>
      <c r="K53" s="1">
        <f>'IS 2027'!F34</f>
        <v>-45063</v>
      </c>
      <c r="L53" s="1">
        <f>'IS 2027'!G34</f>
        <v>-45063</v>
      </c>
      <c r="M53" s="1">
        <f>'IS 2027'!H34</f>
        <v>-45063</v>
      </c>
      <c r="N53" s="1">
        <f>'IS 2027'!I34</f>
        <v>-45063</v>
      </c>
      <c r="O53" s="1">
        <f>'IS 2027'!J34</f>
        <v>-45063</v>
      </c>
      <c r="P53" s="1">
        <f>'IS 2027'!K34</f>
        <v>-45063</v>
      </c>
      <c r="Q53" s="1">
        <f>'IS 2027'!L34</f>
        <v>-45063</v>
      </c>
      <c r="R53" s="1">
        <f>'IS 2027'!M34</f>
        <v>-45063</v>
      </c>
      <c r="S53" s="1">
        <f>'IS 2027'!N34</f>
        <v>-45063</v>
      </c>
      <c r="T53" s="1">
        <f>'IS 2027'!O34</f>
        <v>-45063</v>
      </c>
      <c r="U53" s="1">
        <f>'IS 2027'!P34</f>
        <v>-45063</v>
      </c>
      <c r="V53" s="1">
        <f>'IS 2027'!Q34</f>
        <v>-45063</v>
      </c>
    </row>
    <row r="54" spans="2:22" x14ac:dyDescent="0.3">
      <c r="B54" t="s">
        <v>22</v>
      </c>
      <c r="E54" s="2">
        <f>'Statements Summary 2023'!V53</f>
        <v>-1.3537782842367962E-2</v>
      </c>
      <c r="F54" s="2">
        <f>'Statements Summary 2024'!V54</f>
        <v>-1.1087433178498952E-2</v>
      </c>
      <c r="G54" s="2">
        <f>'Statements Summary 2025'!V54</f>
        <v>-0.10584877739412303</v>
      </c>
      <c r="H54" s="2">
        <f>'Statements Summary 2026'!V54</f>
        <v>-7.6949216215293187E-2</v>
      </c>
      <c r="I54" s="2">
        <f t="shared" si="1"/>
        <v>-6.863187072602385E-2</v>
      </c>
      <c r="K54" s="2">
        <f>K53/K45</f>
        <v>-7.6519332325822281E-2</v>
      </c>
      <c r="L54" s="2">
        <f t="shared" ref="L54:V54" si="8">L53/L45</f>
        <v>-7.6033880574349982E-2</v>
      </c>
      <c r="M54" s="2">
        <f t="shared" si="8"/>
        <v>-7.4209538238587711E-2</v>
      </c>
      <c r="N54" s="2">
        <f t="shared" si="8"/>
        <v>-7.3752864157119472E-2</v>
      </c>
      <c r="O54" s="2">
        <f t="shared" si="8"/>
        <v>-7.3301776302947486E-2</v>
      </c>
      <c r="P54" s="2">
        <f t="shared" si="8"/>
        <v>-7.2911576733274003E-2</v>
      </c>
      <c r="Q54" s="2">
        <f t="shared" si="8"/>
        <v>-7.1819268467606986E-2</v>
      </c>
      <c r="R54" s="2">
        <f t="shared" si="8"/>
        <v>-7.1391454508008434E-2</v>
      </c>
      <c r="S54" s="2">
        <f t="shared" si="8"/>
        <v>-6.9831553826842918E-2</v>
      </c>
      <c r="T54" s="2">
        <f t="shared" si="8"/>
        <v>-6.9427026360793134E-2</v>
      </c>
      <c r="U54" s="2">
        <f t="shared" si="8"/>
        <v>-6.902715867836956E-2</v>
      </c>
      <c r="V54" s="2">
        <f t="shared" si="8"/>
        <v>-6.863187072602385E-2</v>
      </c>
    </row>
    <row r="55" spans="2:22" x14ac:dyDescent="0.3">
      <c r="B55" t="s">
        <v>24</v>
      </c>
      <c r="E55" s="1">
        <f>'Statements Summary 2023'!V54</f>
        <v>-8250</v>
      </c>
      <c r="F55" s="1">
        <f>'Statements Summary 2024'!V55</f>
        <v>-8250</v>
      </c>
      <c r="G55" s="1">
        <f>'Statements Summary 2025'!V55</f>
        <v>-8250</v>
      </c>
      <c r="H55" s="1">
        <f>'Statements Summary 2026'!V55</f>
        <v>-8250</v>
      </c>
      <c r="I55" s="1">
        <f t="shared" si="1"/>
        <v>-8250</v>
      </c>
      <c r="K55" s="1">
        <f>'IS 2027'!F52</f>
        <v>-8250</v>
      </c>
      <c r="L55" s="1">
        <f>'IS 2027'!G52</f>
        <v>-8250</v>
      </c>
      <c r="M55" s="1">
        <f>'IS 2027'!H52</f>
        <v>-8250</v>
      </c>
      <c r="N55" s="1">
        <f>'IS 2027'!I52</f>
        <v>-8250</v>
      </c>
      <c r="O55" s="1">
        <f>'IS 2027'!J52</f>
        <v>-8250</v>
      </c>
      <c r="P55" s="1">
        <f>'IS 2027'!K52</f>
        <v>-8250</v>
      </c>
      <c r="Q55" s="1">
        <f>'IS 2027'!L52</f>
        <v>-8250</v>
      </c>
      <c r="R55" s="1">
        <f>'IS 2027'!M52</f>
        <v>-8250</v>
      </c>
      <c r="S55" s="1">
        <f>'IS 2027'!N52</f>
        <v>-8250</v>
      </c>
      <c r="T55" s="1">
        <f>'IS 2027'!O52</f>
        <v>-8250</v>
      </c>
      <c r="U55" s="1">
        <f>'IS 2027'!P52</f>
        <v>-8250</v>
      </c>
      <c r="V55" s="1">
        <f>'IS 2027'!Q52</f>
        <v>-8250</v>
      </c>
    </row>
    <row r="56" spans="2:22" x14ac:dyDescent="0.3">
      <c r="B56" t="s">
        <v>22</v>
      </c>
      <c r="E56" s="2">
        <f>'Statements Summary 2023'!V55</f>
        <v>-2.748872962085545E-2</v>
      </c>
      <c r="F56" s="2">
        <f>'Statements Summary 2024'!V56</f>
        <v>-2.2513247285901147E-2</v>
      </c>
      <c r="G56" s="2">
        <f>'Statements Summary 2025'!V56</f>
        <v>-1.9378479317877527E-2</v>
      </c>
      <c r="H56" s="2">
        <f>'Statements Summary 2026'!V56</f>
        <v>-1.4087633619070387E-2</v>
      </c>
      <c r="I56" s="2">
        <f t="shared" si="1"/>
        <v>-1.2564918746858771E-2</v>
      </c>
      <c r="K56" s="2">
        <f>K55/K45</f>
        <v>-1.4008931755276698E-2</v>
      </c>
      <c r="L56" s="2">
        <f t="shared" ref="L56:V56" si="9">L55/L45</f>
        <v>-1.392005669259453E-2</v>
      </c>
      <c r="M56" s="2">
        <f t="shared" si="9"/>
        <v>-1.3586061524273763E-2</v>
      </c>
      <c r="N56" s="2">
        <f t="shared" si="9"/>
        <v>-1.3502454991816694E-2</v>
      </c>
      <c r="O56" s="2">
        <f t="shared" si="9"/>
        <v>-1.3419871169236776E-2</v>
      </c>
      <c r="P56" s="2">
        <f t="shared" si="9"/>
        <v>-1.3348434592670495E-2</v>
      </c>
      <c r="Q56" s="2">
        <f t="shared" si="9"/>
        <v>-1.3148458044465695E-2</v>
      </c>
      <c r="R56" s="2">
        <f t="shared" si="9"/>
        <v>-1.3070135137276026E-2</v>
      </c>
      <c r="S56" s="2">
        <f t="shared" si="9"/>
        <v>-1.2784553160496506E-2</v>
      </c>
      <c r="T56" s="2">
        <f t="shared" si="9"/>
        <v>-1.2710493475280017E-2</v>
      </c>
      <c r="U56" s="2">
        <f t="shared" si="9"/>
        <v>-1.2637286889389275E-2</v>
      </c>
      <c r="V56" s="2">
        <f t="shared" si="9"/>
        <v>-1.2564918746858771E-2</v>
      </c>
    </row>
    <row r="57" spans="2:22" x14ac:dyDescent="0.3">
      <c r="B57" s="14" t="s">
        <v>6</v>
      </c>
      <c r="C57" s="14"/>
      <c r="D57" s="14"/>
      <c r="E57" s="187">
        <f>'Statements Summary 2023'!V56</f>
        <v>279198</v>
      </c>
      <c r="F57" s="187">
        <f>'Statements Summary 2024'!V57</f>
        <v>345525.91200000001</v>
      </c>
      <c r="G57" s="187">
        <f>'Statements Summary 2025'!V57</f>
        <v>423805</v>
      </c>
      <c r="H57" s="187">
        <f>'Statements Summary 2026'!V57</f>
        <v>527347</v>
      </c>
      <c r="I57" s="187">
        <f t="shared" si="1"/>
        <v>592417</v>
      </c>
      <c r="K57" s="187">
        <f>'IS 2027'!F53</f>
        <v>519403</v>
      </c>
      <c r="L57" s="187">
        <f>'IS 2027'!G53</f>
        <v>523163</v>
      </c>
      <c r="M57" s="187">
        <f>'IS 2027'!H53</f>
        <v>531833</v>
      </c>
      <c r="N57" s="187">
        <f>'IS 2027'!I53</f>
        <v>535593</v>
      </c>
      <c r="O57" s="187">
        <f>'IS 2027'!J53</f>
        <v>539353</v>
      </c>
      <c r="P57" s="187">
        <f>'IS 2027'!K53</f>
        <v>542643</v>
      </c>
      <c r="Q57" s="187">
        <f>'IS 2027'!L53</f>
        <v>552043</v>
      </c>
      <c r="R57" s="187">
        <f>'IS 2027'!M53</f>
        <v>555803</v>
      </c>
      <c r="S57" s="187">
        <f>'IS 2027'!N53</f>
        <v>569903</v>
      </c>
      <c r="T57" s="187">
        <f>'IS 2027'!O53</f>
        <v>573663</v>
      </c>
      <c r="U57" s="187">
        <f>'IS 2027'!P53</f>
        <v>577423</v>
      </c>
      <c r="V57" s="187">
        <f>'IS 2027'!Q53</f>
        <v>592417</v>
      </c>
    </row>
    <row r="58" spans="2:22" x14ac:dyDescent="0.3">
      <c r="B58" t="s">
        <v>15</v>
      </c>
      <c r="E58" s="2">
        <f>'Statements Summary 2023'!V57</f>
        <v>0.93027858577983025</v>
      </c>
      <c r="F58" s="2">
        <f>'Statements Summary 2024'!V58</f>
        <v>0.94289821824757802</v>
      </c>
      <c r="G58" s="2">
        <f>'Statements Summary 2025'!V58</f>
        <v>0.99547835482582858</v>
      </c>
      <c r="H58" s="2">
        <f>'Statements Summary 2026'!V58</f>
        <v>0.90049349407465595</v>
      </c>
      <c r="I58" s="2">
        <f t="shared" si="1"/>
        <v>0.90226320839488872</v>
      </c>
      <c r="K58" s="2">
        <f>K57/K45</f>
        <v>0.88197347642254331</v>
      </c>
      <c r="L58" s="2">
        <f t="shared" ref="L58:V58" si="10">L57/L45</f>
        <v>0.88272225690519179</v>
      </c>
      <c r="M58" s="2">
        <f t="shared" si="10"/>
        <v>0.87582010407746524</v>
      </c>
      <c r="N58" s="2">
        <f t="shared" si="10"/>
        <v>0.87658428805237321</v>
      </c>
      <c r="O58" s="2">
        <f t="shared" si="10"/>
        <v>0.87733912421107429</v>
      </c>
      <c r="P58" s="2">
        <f t="shared" si="10"/>
        <v>0.87799207183884798</v>
      </c>
      <c r="Q58" s="2">
        <f t="shared" si="10"/>
        <v>0.87981990596860304</v>
      </c>
      <c r="R58" s="2">
        <f t="shared" si="10"/>
        <v>0.88053579632768808</v>
      </c>
      <c r="S58" s="2">
        <f t="shared" si="10"/>
        <v>0.88314608482744728</v>
      </c>
      <c r="T58" s="2">
        <f t="shared" si="10"/>
        <v>0.88382300830418903</v>
      </c>
      <c r="U58" s="2">
        <f t="shared" si="10"/>
        <v>0.88449213424628159</v>
      </c>
      <c r="V58" s="2">
        <f t="shared" si="10"/>
        <v>0.90226320839488872</v>
      </c>
    </row>
    <row r="59" spans="2:22" x14ac:dyDescent="0.3">
      <c r="B59" t="s">
        <v>7</v>
      </c>
      <c r="E59" s="1">
        <f>'Statements Summary 2023'!V58</f>
        <v>-1711</v>
      </c>
      <c r="F59" s="1">
        <f>'Statements Summary 2024'!V59</f>
        <v>-1850</v>
      </c>
      <c r="G59" s="1">
        <f>'Statements Summary 2025'!V59</f>
        <v>-1911</v>
      </c>
      <c r="H59" s="1">
        <f>'Statements Summary 2026'!V59</f>
        <v>-1756</v>
      </c>
      <c r="I59" s="1">
        <f t="shared" si="1"/>
        <v>-1800</v>
      </c>
      <c r="K59">
        <f>'IS 2027'!F54</f>
        <v>-1756</v>
      </c>
      <c r="L59">
        <f>'IS 2027'!G54</f>
        <v>-1756</v>
      </c>
      <c r="M59">
        <f>'IS 2027'!H54</f>
        <v>-1756</v>
      </c>
      <c r="N59">
        <f>'IS 2027'!I54</f>
        <v>-1756</v>
      </c>
      <c r="O59">
        <f>'IS 2027'!J54</f>
        <v>-1756</v>
      </c>
      <c r="P59">
        <f>'IS 2027'!K54</f>
        <v>-1756</v>
      </c>
      <c r="Q59">
        <f>'IS 2027'!L54</f>
        <v>-1756</v>
      </c>
      <c r="R59">
        <f>'IS 2027'!M54</f>
        <v>-1800</v>
      </c>
      <c r="S59">
        <f>'IS 2027'!N54</f>
        <v>-1800</v>
      </c>
      <c r="T59">
        <f>'IS 2027'!O54</f>
        <v>-1800</v>
      </c>
      <c r="U59">
        <f>'IS 2027'!P54</f>
        <v>-1800</v>
      </c>
      <c r="V59">
        <f>'IS 2027'!Q54</f>
        <v>-1800</v>
      </c>
    </row>
    <row r="60" spans="2:22" x14ac:dyDescent="0.3">
      <c r="B60" t="s">
        <v>8</v>
      </c>
      <c r="E60" s="1">
        <f>'Statements Summary 2023'!V59</f>
        <v>277487</v>
      </c>
      <c r="F60" s="1">
        <f>'Statements Summary 2024'!V60</f>
        <v>343675.91200000001</v>
      </c>
      <c r="G60" s="1">
        <f>'Statements Summary 2025'!V60</f>
        <v>425716</v>
      </c>
      <c r="H60" s="1">
        <f>'Statements Summary 2026'!V60</f>
        <v>525591</v>
      </c>
      <c r="I60" s="1">
        <f t="shared" si="1"/>
        <v>590617</v>
      </c>
      <c r="K60" s="1">
        <f>'IS 2027'!F55</f>
        <v>517647</v>
      </c>
      <c r="L60" s="1">
        <f>'IS 2027'!G55</f>
        <v>521407</v>
      </c>
      <c r="M60" s="1">
        <f>'IS 2027'!H55</f>
        <v>530077</v>
      </c>
      <c r="N60" s="1">
        <f>'IS 2027'!I55</f>
        <v>533837</v>
      </c>
      <c r="O60" s="1">
        <f>'IS 2027'!J55</f>
        <v>537597</v>
      </c>
      <c r="P60" s="1">
        <f>'IS 2027'!K55</f>
        <v>540887</v>
      </c>
      <c r="Q60" s="1">
        <f>'IS 2027'!L55</f>
        <v>550287</v>
      </c>
      <c r="R60" s="1">
        <f>'IS 2027'!M55</f>
        <v>554003</v>
      </c>
      <c r="S60" s="1">
        <f>'IS 2027'!N55</f>
        <v>568103</v>
      </c>
      <c r="T60" s="1">
        <f>'IS 2027'!O55</f>
        <v>571863</v>
      </c>
      <c r="U60" s="1">
        <f>'IS 2027'!P55</f>
        <v>575623</v>
      </c>
      <c r="V60" s="1">
        <f>'IS 2027'!Q55</f>
        <v>590617</v>
      </c>
    </row>
    <row r="61" spans="2:22" x14ac:dyDescent="0.3">
      <c r="B61" t="s">
        <v>9</v>
      </c>
      <c r="E61" s="1">
        <f>'Statements Summary 2023'!V60</f>
        <v>-73000.400000000009</v>
      </c>
      <c r="F61" s="1">
        <f>'Statements Summary 2024'!V61</f>
        <v>-32637.200000000001</v>
      </c>
      <c r="G61" s="1">
        <f>'Statements Summary 2025'!V61</f>
        <v>0</v>
      </c>
      <c r="H61" s="1">
        <f>'Statements Summary 2026'!V61</f>
        <v>0</v>
      </c>
      <c r="I61" s="1">
        <f t="shared" si="1"/>
        <v>0</v>
      </c>
      <c r="K61" s="1">
        <f>'IS 2027'!F56</f>
        <v>0</v>
      </c>
      <c r="L61" s="1">
        <f>'IS 2027'!G56</f>
        <v>0</v>
      </c>
      <c r="M61" s="1">
        <f>'IS 2027'!H56</f>
        <v>0</v>
      </c>
      <c r="N61" s="1">
        <f>'IS 2027'!I56</f>
        <v>0</v>
      </c>
      <c r="O61" s="1">
        <f>'IS 2027'!J56</f>
        <v>0</v>
      </c>
      <c r="P61" s="1">
        <f>'IS 2027'!K56</f>
        <v>0</v>
      </c>
      <c r="Q61" s="1">
        <f>'IS 2027'!L56</f>
        <v>0</v>
      </c>
      <c r="R61" s="1">
        <f>'IS 2027'!M56</f>
        <v>0</v>
      </c>
      <c r="S61" s="1">
        <f>'IS 2027'!N56</f>
        <v>0</v>
      </c>
      <c r="T61" s="1">
        <f>'IS 2027'!O56</f>
        <v>0</v>
      </c>
      <c r="U61" s="1">
        <f>'IS 2027'!P56</f>
        <v>0</v>
      </c>
      <c r="V61" s="1">
        <f>'IS 2027'!Q56</f>
        <v>0</v>
      </c>
    </row>
    <row r="62" spans="2:22" x14ac:dyDescent="0.3">
      <c r="B62" t="s">
        <v>10</v>
      </c>
      <c r="E62" s="1">
        <f>'Statements Summary 2023'!V61</f>
        <v>279198</v>
      </c>
      <c r="F62" s="1">
        <f>'Statements Summary 2024'!V62</f>
        <v>345525.91200000001</v>
      </c>
      <c r="G62" s="1">
        <f>'Statements Summary 2025'!V62</f>
        <v>423805</v>
      </c>
      <c r="H62" s="1">
        <f>'Statements Summary 2026'!V62</f>
        <v>527347</v>
      </c>
      <c r="I62" s="1">
        <f t="shared" si="1"/>
        <v>592417</v>
      </c>
      <c r="K62" s="1">
        <f>'IS 2027'!F57</f>
        <v>519403</v>
      </c>
      <c r="L62" s="1">
        <f>'IS 2027'!G57</f>
        <v>523163</v>
      </c>
      <c r="M62" s="1">
        <f>'IS 2027'!H57</f>
        <v>531833</v>
      </c>
      <c r="N62" s="1">
        <f>'IS 2027'!I57</f>
        <v>535593</v>
      </c>
      <c r="O62" s="1">
        <f>'IS 2027'!J57</f>
        <v>539353</v>
      </c>
      <c r="P62" s="1">
        <f>'IS 2027'!K57</f>
        <v>542643</v>
      </c>
      <c r="Q62" s="1">
        <f>'IS 2027'!L57</f>
        <v>552043</v>
      </c>
      <c r="R62" s="1">
        <f>'IS 2027'!M57</f>
        <v>555803</v>
      </c>
      <c r="S62" s="1">
        <f>'IS 2027'!N57</f>
        <v>569903</v>
      </c>
      <c r="T62" s="1">
        <f>'IS 2027'!O57</f>
        <v>573663</v>
      </c>
      <c r="U62" s="1">
        <f>'IS 2027'!P57</f>
        <v>577423</v>
      </c>
      <c r="V62" s="1">
        <f>'IS 2027'!Q57</f>
        <v>592417</v>
      </c>
    </row>
    <row r="63" spans="2:22" x14ac:dyDescent="0.3">
      <c r="B63" t="s">
        <v>11</v>
      </c>
      <c r="E63" s="1">
        <f>'Statements Summary 2023'!V62</f>
        <v>-55839.600000000006</v>
      </c>
      <c r="F63" s="1">
        <f>'Statements Summary 2024'!V63</f>
        <v>-69105.182400000005</v>
      </c>
      <c r="G63" s="1">
        <f>'Statements Summary 2025'!V63</f>
        <v>-84761</v>
      </c>
      <c r="H63" s="1">
        <f>'Statements Summary 2026'!V63</f>
        <v>-105469.40000000001</v>
      </c>
      <c r="I63" s="1">
        <f t="shared" si="1"/>
        <v>-105469.40000000001</v>
      </c>
      <c r="K63" s="1">
        <f>'IS 2027'!F58</f>
        <v>-103880.6</v>
      </c>
      <c r="L63" s="1">
        <f>'IS 2026'!G58</f>
        <v>-92600.6</v>
      </c>
      <c r="M63" s="1">
        <f>'IS 2026'!H58</f>
        <v>-93352.6</v>
      </c>
      <c r="N63" s="1">
        <f>'IS 2026'!I58</f>
        <v>-94104.6</v>
      </c>
      <c r="O63" s="1">
        <f>'IS 2026'!J58</f>
        <v>-94762.6</v>
      </c>
      <c r="P63" s="1">
        <f>'IS 2026'!K58</f>
        <v>-95514.6</v>
      </c>
      <c r="Q63" s="1">
        <f>'IS 2026'!L58</f>
        <v>-96266.6</v>
      </c>
      <c r="R63" s="1">
        <f>'IS 2026'!M58</f>
        <v>-99180.6</v>
      </c>
      <c r="S63" s="1">
        <f>'IS 2026'!N58</f>
        <v>-99932.6</v>
      </c>
      <c r="T63" s="1">
        <f>'IS 2026'!O58</f>
        <v>-100590.6</v>
      </c>
      <c r="U63" s="1">
        <f>'IS 2026'!P58</f>
        <v>-102470.6</v>
      </c>
      <c r="V63" s="1">
        <f>'IS 2026'!Q58</f>
        <v>-105469.40000000001</v>
      </c>
    </row>
    <row r="64" spans="2:22" x14ac:dyDescent="0.3">
      <c r="B64" s="14" t="s">
        <v>12</v>
      </c>
      <c r="C64" s="14"/>
      <c r="D64" s="14"/>
      <c r="E64" s="187">
        <f>'Statements Summary 2023'!V63</f>
        <v>223358.4</v>
      </c>
      <c r="F64" s="187">
        <f>'Statements Summary 2024'!V64</f>
        <v>276420.72960000002</v>
      </c>
      <c r="G64" s="187">
        <f>'Statements Summary 2025'!V64</f>
        <v>339044</v>
      </c>
      <c r="H64" s="187">
        <f>'Statements Summary 2026'!V64</f>
        <v>421877.6</v>
      </c>
      <c r="I64" s="187">
        <f t="shared" si="1"/>
        <v>473933.6</v>
      </c>
      <c r="K64" s="187">
        <f>'IS 2027'!F59</f>
        <v>415522.4</v>
      </c>
      <c r="L64" s="187">
        <f>'IS 2027'!G59</f>
        <v>418530.4</v>
      </c>
      <c r="M64" s="187">
        <f>'IS 2027'!H59</f>
        <v>425466.4</v>
      </c>
      <c r="N64" s="187">
        <f>'IS 2027'!I59</f>
        <v>428474.4</v>
      </c>
      <c r="O64" s="187">
        <f>'IS 2027'!J59</f>
        <v>431482.4</v>
      </c>
      <c r="P64" s="187">
        <f>'IS 2027'!K59</f>
        <v>434114.4</v>
      </c>
      <c r="Q64" s="187">
        <f>'IS 2027'!L59</f>
        <v>441634.4</v>
      </c>
      <c r="R64" s="187">
        <f>'IS 2027'!M59</f>
        <v>444642.4</v>
      </c>
      <c r="S64" s="187">
        <f>'IS 2027'!N59</f>
        <v>455922.4</v>
      </c>
      <c r="T64" s="187">
        <f>'IS 2027'!O59</f>
        <v>458930.4</v>
      </c>
      <c r="U64" s="187">
        <f>'IS 2027'!P59</f>
        <v>461938.4</v>
      </c>
      <c r="V64" s="187">
        <f>'IS 2027'!Q59</f>
        <v>473933.6</v>
      </c>
    </row>
    <row r="65" spans="2:22" x14ac:dyDescent="0.3">
      <c r="B65" t="s">
        <v>13</v>
      </c>
      <c r="E65" s="2">
        <f>'Statements Summary 2023'!V64</f>
        <v>0.74422286862386422</v>
      </c>
      <c r="F65" s="2">
        <f>'Statements Summary 2024'!V65</f>
        <v>0.7543185745980624</v>
      </c>
      <c r="G65" s="2">
        <f>'Statements Summary 2025'!V65</f>
        <v>0.79638268386066291</v>
      </c>
      <c r="H65" s="2">
        <f>'Statements Summary 2026'!V65</f>
        <v>0.72039479525972472</v>
      </c>
      <c r="I65" s="2">
        <f t="shared" si="1"/>
        <v>0.72181056671591093</v>
      </c>
      <c r="K65" s="2">
        <f>K64/K45</f>
        <v>0.70557878113803474</v>
      </c>
      <c r="L65" s="2">
        <f t="shared" ref="L65:V65" si="11">L64/L45</f>
        <v>0.70617780552415343</v>
      </c>
      <c r="M65" s="2">
        <f t="shared" si="11"/>
        <v>0.70065608326197226</v>
      </c>
      <c r="N65" s="2">
        <f t="shared" si="11"/>
        <v>0.70126743044189854</v>
      </c>
      <c r="O65" s="2">
        <f t="shared" si="11"/>
        <v>0.70187129936885939</v>
      </c>
      <c r="P65" s="2">
        <f t="shared" si="11"/>
        <v>0.7023936574710784</v>
      </c>
      <c r="Q65" s="2">
        <f t="shared" si="11"/>
        <v>0.70385592477488246</v>
      </c>
      <c r="R65" s="2">
        <f t="shared" si="11"/>
        <v>0.70442863706215053</v>
      </c>
      <c r="S65" s="2">
        <f t="shared" si="11"/>
        <v>0.70651686786195789</v>
      </c>
      <c r="T65" s="2">
        <f t="shared" si="11"/>
        <v>0.70705840664335129</v>
      </c>
      <c r="U65" s="2">
        <f t="shared" si="11"/>
        <v>0.70759370739702532</v>
      </c>
      <c r="V65" s="2">
        <f t="shared" si="11"/>
        <v>0.72181056671591093</v>
      </c>
    </row>
    <row r="67" spans="2:22" x14ac:dyDescent="0.3">
      <c r="B67" s="172" t="s">
        <v>225</v>
      </c>
      <c r="C67" s="145"/>
      <c r="D67" s="145"/>
      <c r="E67" s="145"/>
      <c r="F67" s="145"/>
      <c r="G67" s="145"/>
      <c r="H67" s="145"/>
      <c r="I67" s="145"/>
      <c r="K67" s="334" t="s">
        <v>227</v>
      </c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</row>
    <row r="85" spans="2:22" x14ac:dyDescent="0.3">
      <c r="B85" s="172" t="s">
        <v>226</v>
      </c>
      <c r="C85" s="172"/>
      <c r="D85" s="172"/>
      <c r="E85" s="172"/>
      <c r="F85" s="145"/>
      <c r="G85" s="145"/>
      <c r="H85" s="145"/>
      <c r="I85" s="145"/>
      <c r="J85" s="145"/>
      <c r="K85" s="334" t="s">
        <v>236</v>
      </c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34"/>
    </row>
    <row r="87" spans="2:22" x14ac:dyDescent="0.3">
      <c r="B87" s="185" t="s">
        <v>20</v>
      </c>
      <c r="C87" s="185"/>
      <c r="D87" s="185"/>
      <c r="E87" s="186">
        <v>2023</v>
      </c>
      <c r="F87" s="186">
        <v>2024</v>
      </c>
      <c r="G87" s="186">
        <v>2025</v>
      </c>
      <c r="H87" s="186">
        <v>2026</v>
      </c>
      <c r="I87" s="186">
        <v>2027</v>
      </c>
      <c r="J87" s="185"/>
      <c r="K87" s="186" t="s">
        <v>25</v>
      </c>
      <c r="L87" s="186" t="s">
        <v>26</v>
      </c>
      <c r="M87" s="186" t="s">
        <v>27</v>
      </c>
      <c r="N87" s="186" t="s">
        <v>28</v>
      </c>
      <c r="O87" s="186" t="s">
        <v>29</v>
      </c>
      <c r="P87" s="186" t="s">
        <v>30</v>
      </c>
      <c r="Q87" s="186" t="s">
        <v>31</v>
      </c>
      <c r="R87" s="186" t="s">
        <v>32</v>
      </c>
      <c r="S87" s="186" t="s">
        <v>33</v>
      </c>
      <c r="T87" s="186" t="s">
        <v>34</v>
      </c>
      <c r="U87" s="186" t="s">
        <v>35</v>
      </c>
      <c r="V87" s="186" t="s">
        <v>36</v>
      </c>
    </row>
    <row r="88" spans="2:22" x14ac:dyDescent="0.3">
      <c r="B88" t="s">
        <v>48</v>
      </c>
      <c r="E88" s="197">
        <f>'Statements Summary 2023'!V86</f>
        <v>1810916.4</v>
      </c>
      <c r="F88" s="197">
        <f>'Statements Summary 2024'!V88</f>
        <v>4465791.5807999996</v>
      </c>
      <c r="G88" s="197">
        <f>'Statements Summary 2025'!V88</f>
        <v>8073112.3807999995</v>
      </c>
      <c r="H88" s="197">
        <f>'Statements Summary 2026'!V88</f>
        <v>13545694.380800003</v>
      </c>
      <c r="I88" s="197">
        <f t="shared" ref="I88:I99" si="12">V88</f>
        <v>19710636.380800001</v>
      </c>
      <c r="K88" s="197">
        <f>'BS 2027'!F14</f>
        <v>14030098.780800004</v>
      </c>
      <c r="L88" s="197">
        <f>'BS 2027'!G14</f>
        <v>14517511.180800004</v>
      </c>
      <c r="M88" s="197">
        <f>'BS 2027'!H14</f>
        <v>15017759.580800004</v>
      </c>
      <c r="N88" s="197">
        <f>'BS 2027'!I14</f>
        <v>15521015.980800005</v>
      </c>
      <c r="O88" s="197">
        <f>'BS 2027'!J14</f>
        <v>16027280.380800005</v>
      </c>
      <c r="P88" s="197">
        <f>'BS 2027'!K14</f>
        <v>16536176.780800005</v>
      </c>
      <c r="Q88" s="197">
        <f>'BS 2027'!L14</f>
        <v>17052593.180800006</v>
      </c>
      <c r="R88" s="197">
        <f>'BS 2027'!M14</f>
        <v>17572017.580800004</v>
      </c>
      <c r="S88" s="197">
        <f>'BS 2027'!N14</f>
        <v>18102721.980800003</v>
      </c>
      <c r="T88" s="197">
        <f>'BS 2027'!O14</f>
        <v>18636434.380800001</v>
      </c>
      <c r="U88" s="197">
        <f>'BS 2027'!P14</f>
        <v>19173154.7808</v>
      </c>
      <c r="V88" s="197">
        <f>'BS 2027'!Q14</f>
        <v>19710636.380800001</v>
      </c>
    </row>
    <row r="89" spans="2:22" x14ac:dyDescent="0.3">
      <c r="B89" t="s">
        <v>49</v>
      </c>
      <c r="E89" s="197">
        <f>'Statements Summary 2023'!V87</f>
        <v>470532</v>
      </c>
      <c r="F89" s="197">
        <f>'Statements Summary 2024'!V89</f>
        <v>488332</v>
      </c>
      <c r="G89" s="197">
        <f>'Statements Summary 2025'!V89</f>
        <v>509481</v>
      </c>
      <c r="H89" s="197">
        <f>'Statements Summary 2026'!V89</f>
        <v>531018</v>
      </c>
      <c r="I89" s="197">
        <f t="shared" si="12"/>
        <v>552400</v>
      </c>
      <c r="K89" s="197">
        <f>'BS 2027'!F19</f>
        <v>532774</v>
      </c>
      <c r="L89" s="197">
        <f>'BS 2027'!G19</f>
        <v>534685</v>
      </c>
      <c r="M89" s="197">
        <f>'BS 2027'!H19</f>
        <v>536596</v>
      </c>
      <c r="N89" s="197">
        <f>'BS 2027'!I19</f>
        <v>538352</v>
      </c>
      <c r="O89" s="197">
        <f>'BS 2027'!J19</f>
        <v>540108</v>
      </c>
      <c r="P89" s="197">
        <f>'BS 2027'!K19</f>
        <v>541864</v>
      </c>
      <c r="Q89" s="197">
        <f>'BS 2027'!L19</f>
        <v>543620</v>
      </c>
      <c r="R89" s="197">
        <f>'BS 2027'!M19</f>
        <v>545376</v>
      </c>
      <c r="S89" s="197">
        <f>'BS 2027'!N19</f>
        <v>547132</v>
      </c>
      <c r="T89" s="197">
        <f>'BS 2027'!O19</f>
        <v>548888</v>
      </c>
      <c r="U89" s="197">
        <f>'BS 2027'!P19</f>
        <v>550644</v>
      </c>
      <c r="V89" s="197">
        <f>'BS 2027'!Q19</f>
        <v>552400</v>
      </c>
    </row>
    <row r="90" spans="2:22" x14ac:dyDescent="0.3">
      <c r="B90" t="s">
        <v>50</v>
      </c>
      <c r="E90" s="197">
        <f>'Statements Summary 2023'!V88</f>
        <v>2281448.4</v>
      </c>
      <c r="F90" s="197">
        <f>'Statements Summary 2024'!V90</f>
        <v>4954123.5807999996</v>
      </c>
      <c r="G90" s="197">
        <f>'Statements Summary 2025'!V90</f>
        <v>8582593.3807999995</v>
      </c>
      <c r="H90" s="197">
        <f>'Statements Summary 2026'!V90</f>
        <v>14076712.380800003</v>
      </c>
      <c r="I90" s="197">
        <f t="shared" si="12"/>
        <v>20263036.380800001</v>
      </c>
      <c r="K90" s="197">
        <f>'BS 2027'!F20</f>
        <v>14562872.780800004</v>
      </c>
      <c r="L90" s="197">
        <f>'BS 2027'!G20</f>
        <v>15052196.180800004</v>
      </c>
      <c r="M90" s="197">
        <f>'BS 2027'!H20</f>
        <v>15554355.580800004</v>
      </c>
      <c r="N90" s="197">
        <f>'BS 2027'!I20</f>
        <v>16059367.980800005</v>
      </c>
      <c r="O90" s="197">
        <f>'BS 2027'!J20</f>
        <v>16567388.380800005</v>
      </c>
      <c r="P90" s="197">
        <f>'BS 2027'!K20</f>
        <v>17078040.780800007</v>
      </c>
      <c r="Q90" s="197">
        <f>'BS 2027'!L20</f>
        <v>17596213.180800006</v>
      </c>
      <c r="R90" s="197">
        <f>'BS 2027'!M20</f>
        <v>18117393.580800004</v>
      </c>
      <c r="S90" s="197">
        <f>'BS 2027'!N20</f>
        <v>18649853.980800003</v>
      </c>
      <c r="T90" s="197">
        <f>'BS 2027'!O20</f>
        <v>19185322.380800001</v>
      </c>
      <c r="U90" s="197">
        <f>'BS 2027'!P20</f>
        <v>19723798.7808</v>
      </c>
      <c r="V90" s="197">
        <f>'BS 2027'!Q20</f>
        <v>20263036.380800001</v>
      </c>
    </row>
    <row r="91" spans="2:22" x14ac:dyDescent="0.3">
      <c r="B91" t="s">
        <v>51</v>
      </c>
      <c r="E91" s="197">
        <f>'Statements Summary 2023'!V89</f>
        <v>-55839.600000000006</v>
      </c>
      <c r="F91" s="197">
        <f>'Statements Summary 2024'!V91</f>
        <v>-69105.182400000005</v>
      </c>
      <c r="G91" s="197">
        <f>'Statements Summary 2025'!V91</f>
        <v>-84761</v>
      </c>
      <c r="H91" s="197">
        <f>'Statements Summary 2026'!V91</f>
        <v>-105469.40000000001</v>
      </c>
      <c r="I91" s="197">
        <f t="shared" si="12"/>
        <v>-118483.40000000001</v>
      </c>
      <c r="K91" s="197">
        <f>'BS 2027'!F25</f>
        <v>-103880.6</v>
      </c>
      <c r="L91" s="197">
        <f>'BS 2027'!G25</f>
        <v>-104632.6</v>
      </c>
      <c r="M91" s="197">
        <f>'BS 2027'!H25</f>
        <v>-106366.6</v>
      </c>
      <c r="N91" s="197">
        <f>'BS 2027'!I25</f>
        <v>-107118.6</v>
      </c>
      <c r="O91" s="197">
        <f>'BS 2027'!J25</f>
        <v>-107870.6</v>
      </c>
      <c r="P91" s="197">
        <f>'BS 2027'!K25</f>
        <v>-108528.6</v>
      </c>
      <c r="Q91" s="197">
        <f>'BS 2027'!L25</f>
        <v>-110408.6</v>
      </c>
      <c r="R91" s="197">
        <f>'BS 2027'!M25</f>
        <v>-111160.6</v>
      </c>
      <c r="S91" s="197">
        <f>'BS 2027'!N25</f>
        <v>-113980.6</v>
      </c>
      <c r="T91" s="197">
        <f>'BS 2027'!O25</f>
        <v>-114732.6</v>
      </c>
      <c r="U91" s="197">
        <f>'BS 2027'!P25</f>
        <v>-115484.6</v>
      </c>
      <c r="V91" s="197">
        <f>'BS 2027'!Q25</f>
        <v>-118483.40000000001</v>
      </c>
    </row>
    <row r="92" spans="2:22" x14ac:dyDescent="0.3">
      <c r="B92" t="s">
        <v>195</v>
      </c>
      <c r="E92" s="197">
        <f>'Statements Summary 2023'!V90</f>
        <v>-365002</v>
      </c>
      <c r="F92" s="197">
        <f>'Statements Summary 2024'!V92</f>
        <v>-163186</v>
      </c>
      <c r="G92" s="197">
        <f>'Statements Summary 2025'!V92</f>
        <v>0</v>
      </c>
      <c r="H92" s="197">
        <f>'Statements Summary 2026'!V92</f>
        <v>0</v>
      </c>
      <c r="I92" s="197">
        <f t="shared" si="12"/>
        <v>0</v>
      </c>
      <c r="K92" s="197">
        <f>'BS 2027'!F27</f>
        <v>0</v>
      </c>
      <c r="L92" s="197">
        <f>'BS 2027'!G27</f>
        <v>0</v>
      </c>
      <c r="M92" s="197">
        <f>'BS 2027'!H27</f>
        <v>0</v>
      </c>
      <c r="N92" s="197">
        <f>'BS 2027'!I27</f>
        <v>0</v>
      </c>
      <c r="O92" s="197">
        <f>'BS 2027'!J27</f>
        <v>0</v>
      </c>
      <c r="P92" s="197">
        <f>'BS 2027'!K27</f>
        <v>0</v>
      </c>
      <c r="Q92" s="197">
        <f>'BS 2027'!L27</f>
        <v>0</v>
      </c>
      <c r="R92" s="197">
        <f>'BS 2027'!M27</f>
        <v>0</v>
      </c>
      <c r="S92" s="197">
        <f>'BS 2027'!N27</f>
        <v>0</v>
      </c>
      <c r="T92" s="197">
        <f>'BS 2027'!O27</f>
        <v>0</v>
      </c>
      <c r="U92" s="197">
        <f>'BS 2027'!P27</f>
        <v>0</v>
      </c>
      <c r="V92" s="197">
        <f>'BS 2027'!Q27</f>
        <v>0</v>
      </c>
    </row>
    <row r="93" spans="2:22" x14ac:dyDescent="0.3">
      <c r="B93" t="s">
        <v>53</v>
      </c>
      <c r="E93" s="197">
        <f>'Statements Summary 2023'!V91</f>
        <v>-420841.6</v>
      </c>
      <c r="F93" s="197">
        <f>'Statements Summary 2024'!V93</f>
        <v>-232291.18239999999</v>
      </c>
      <c r="G93" s="197">
        <f>'Statements Summary 2025'!V93</f>
        <v>-84761</v>
      </c>
      <c r="H93" s="197">
        <f>'Statements Summary 2026'!V93</f>
        <v>-105469.40000000001</v>
      </c>
      <c r="I93" s="197">
        <f t="shared" si="12"/>
        <v>-118483.40000000001</v>
      </c>
      <c r="K93" s="197">
        <f>'BS 2027'!F32</f>
        <v>-103880.6</v>
      </c>
      <c r="L93" s="197">
        <f>'BS 2027'!G32</f>
        <v>-104632.6</v>
      </c>
      <c r="M93" s="197">
        <f>'BS 2027'!H32</f>
        <v>-106366.6</v>
      </c>
      <c r="N93" s="197">
        <f>'BS 2027'!I32</f>
        <v>-107118.6</v>
      </c>
      <c r="O93" s="197">
        <f>'BS 2027'!J32</f>
        <v>-107870.6</v>
      </c>
      <c r="P93" s="197">
        <f>'BS 2027'!K32</f>
        <v>-108528.6</v>
      </c>
      <c r="Q93" s="197">
        <f>'BS 2027'!L32</f>
        <v>-110408.6</v>
      </c>
      <c r="R93" s="197">
        <f>'BS 2027'!M32</f>
        <v>-111160.6</v>
      </c>
      <c r="S93" s="197">
        <f>'BS 2027'!N32</f>
        <v>-113980.6</v>
      </c>
      <c r="T93" s="197">
        <f>'BS 2027'!O32</f>
        <v>-114732.6</v>
      </c>
      <c r="U93" s="197">
        <f>'BS 2027'!P32</f>
        <v>-115484.6</v>
      </c>
      <c r="V93" s="197">
        <f>'BS 2027'!Q32</f>
        <v>-118483.40000000001</v>
      </c>
    </row>
    <row r="94" spans="2:22" x14ac:dyDescent="0.3">
      <c r="B94" t="s">
        <v>54</v>
      </c>
      <c r="E94" s="197">
        <f>'Statements Summary 2023'!V92</f>
        <v>1860606.7999999998</v>
      </c>
      <c r="F94" s="197">
        <f>'Statements Summary 2024'!V94</f>
        <v>4721832.3983999994</v>
      </c>
      <c r="G94" s="197">
        <f>'Statements Summary 2025'!V94</f>
        <v>8497832.3807999995</v>
      </c>
      <c r="H94" s="197">
        <f>'Statements Summary 2026'!V94</f>
        <v>13971242.980800003</v>
      </c>
      <c r="I94" s="197">
        <f t="shared" si="12"/>
        <v>20144552.980800003</v>
      </c>
      <c r="K94" s="197">
        <f>'BS 2027'!F33</f>
        <v>14458992.180800004</v>
      </c>
      <c r="L94" s="197">
        <f>'BS 2027'!G33</f>
        <v>14947563.580800004</v>
      </c>
      <c r="M94" s="197">
        <f>'BS 2027'!H33</f>
        <v>15447988.980800005</v>
      </c>
      <c r="N94" s="197">
        <f>'BS 2027'!I33</f>
        <v>15952249.380800005</v>
      </c>
      <c r="O94" s="197">
        <f>'BS 2027'!J33</f>
        <v>16459517.780800005</v>
      </c>
      <c r="P94" s="197">
        <f>'BS 2027'!K33</f>
        <v>16969512.180800006</v>
      </c>
      <c r="Q94" s="197">
        <f>'BS 2027'!L33</f>
        <v>17485804.580800004</v>
      </c>
      <c r="R94" s="197">
        <f>'BS 2027'!M33</f>
        <v>18006232.980800003</v>
      </c>
      <c r="S94" s="197">
        <f>'BS 2027'!N33</f>
        <v>18535873.380800001</v>
      </c>
      <c r="T94" s="197">
        <f>'BS 2027'!O33</f>
        <v>19070589.7808</v>
      </c>
      <c r="U94" s="197">
        <f>'BS 2027'!P33</f>
        <v>19608314.180799998</v>
      </c>
      <c r="V94" s="197">
        <f>'BS 2027'!Q33</f>
        <v>20144552.980800003</v>
      </c>
    </row>
    <row r="95" spans="2:22" x14ac:dyDescent="0.3">
      <c r="B95" t="s">
        <v>55</v>
      </c>
      <c r="E95" s="197">
        <f>'Statements Summary 2023'!V93</f>
        <v>1810916.4</v>
      </c>
      <c r="F95" s="197">
        <f>'Statements Summary 2024'!V95</f>
        <v>4465791.5807999996</v>
      </c>
      <c r="G95" s="197">
        <f>'Statements Summary 2025'!V95</f>
        <v>8073112.3807999995</v>
      </c>
      <c r="H95" s="197">
        <f>'Statements Summary 2026'!V95</f>
        <v>13545694.380800003</v>
      </c>
      <c r="I95" s="197">
        <f t="shared" si="12"/>
        <v>19710636.380800001</v>
      </c>
      <c r="K95" s="197">
        <f>'BS 2027'!F14</f>
        <v>14030098.780800004</v>
      </c>
      <c r="L95" s="197">
        <f>'BS 2027'!G14</f>
        <v>14517511.180800004</v>
      </c>
      <c r="M95" s="197">
        <f>'BS 2027'!H14</f>
        <v>15017759.580800004</v>
      </c>
      <c r="N95" s="197">
        <f>'BS 2027'!I14</f>
        <v>15521015.980800005</v>
      </c>
      <c r="O95" s="197">
        <f>'BS 2027'!J14</f>
        <v>16027280.380800005</v>
      </c>
      <c r="P95" s="197">
        <f>'BS 2027'!K14</f>
        <v>16536176.780800005</v>
      </c>
      <c r="Q95" s="197">
        <f>'BS 2027'!L14</f>
        <v>17052593.180800006</v>
      </c>
      <c r="R95" s="197">
        <f>'BS 2027'!M14</f>
        <v>17572017.580800004</v>
      </c>
      <c r="S95" s="197">
        <f>'BS 2027'!N14</f>
        <v>18102721.980800003</v>
      </c>
      <c r="T95" s="197">
        <f>'BS 2027'!O14</f>
        <v>18636434.380800001</v>
      </c>
      <c r="U95" s="197">
        <f>'BS 2027'!P14</f>
        <v>19173154.7808</v>
      </c>
      <c r="V95" s="197">
        <f>'BS 2027'!Q14</f>
        <v>19710636.380800001</v>
      </c>
    </row>
    <row r="96" spans="2:22" x14ac:dyDescent="0.3">
      <c r="B96" t="s">
        <v>56</v>
      </c>
      <c r="E96" s="197" t="str">
        <f>'Statements Summary 2023'!V94</f>
        <v>-</v>
      </c>
      <c r="F96" s="197" t="str">
        <f>'Statements Summary 2024'!V96</f>
        <v>-</v>
      </c>
      <c r="G96" s="197" t="str">
        <f>'Statements Summary 2025'!V96</f>
        <v>-</v>
      </c>
      <c r="H96" s="197" t="str">
        <f>'Statements Summary 2026'!V96</f>
        <v>-</v>
      </c>
      <c r="I96" s="197" t="str">
        <f t="shared" si="12"/>
        <v>-</v>
      </c>
      <c r="K96" s="197" t="s">
        <v>189</v>
      </c>
      <c r="L96" s="197" t="s">
        <v>189</v>
      </c>
      <c r="M96" s="197" t="s">
        <v>189</v>
      </c>
      <c r="N96" s="197" t="s">
        <v>189</v>
      </c>
      <c r="O96" s="197" t="s">
        <v>189</v>
      </c>
      <c r="P96" s="197" t="s">
        <v>189</v>
      </c>
      <c r="Q96" s="197" t="s">
        <v>189</v>
      </c>
      <c r="R96" s="197" t="s">
        <v>189</v>
      </c>
      <c r="S96" s="197" t="s">
        <v>189</v>
      </c>
      <c r="T96" s="197" t="s">
        <v>189</v>
      </c>
      <c r="U96" s="197" t="s">
        <v>189</v>
      </c>
      <c r="V96" s="197" t="s">
        <v>189</v>
      </c>
    </row>
    <row r="97" spans="2:22" x14ac:dyDescent="0.3">
      <c r="B97" t="s">
        <v>57</v>
      </c>
      <c r="E97" s="197">
        <f>'Statements Summary 2023'!V95</f>
        <v>0</v>
      </c>
      <c r="F97" s="197">
        <f>'Statements Summary 2024'!V97</f>
        <v>0</v>
      </c>
      <c r="G97" s="197">
        <f>'Statements Summary 2025'!V97</f>
        <v>0</v>
      </c>
      <c r="H97" s="197">
        <f>'Statements Summary 2026'!V97</f>
        <v>0</v>
      </c>
      <c r="I97" s="197">
        <f t="shared" si="12"/>
        <v>0</v>
      </c>
      <c r="K97" s="197" t="s">
        <v>189</v>
      </c>
      <c r="L97" s="197" t="s">
        <v>189</v>
      </c>
      <c r="M97" s="197" t="s">
        <v>189</v>
      </c>
      <c r="N97" s="197" t="s">
        <v>189</v>
      </c>
      <c r="O97" s="197" t="s">
        <v>189</v>
      </c>
      <c r="P97" s="197" t="s">
        <v>189</v>
      </c>
      <c r="Q97" s="197" t="s">
        <v>189</v>
      </c>
      <c r="R97" s="197" t="s">
        <v>189</v>
      </c>
      <c r="S97" s="197" t="s">
        <v>189</v>
      </c>
      <c r="T97" s="197" t="s">
        <v>189</v>
      </c>
      <c r="U97" s="197" t="s">
        <v>189</v>
      </c>
      <c r="V97" s="197"/>
    </row>
    <row r="98" spans="2:22" x14ac:dyDescent="0.3">
      <c r="B98" t="s">
        <v>58</v>
      </c>
      <c r="E98" s="197">
        <f>'Statements Summary 2023'!V96</f>
        <v>1860606.7999999998</v>
      </c>
      <c r="F98" s="197">
        <f>'Statements Summary 2024'!V98</f>
        <v>4721832.3983999994</v>
      </c>
      <c r="G98" s="197">
        <f>'Statements Summary 2025'!V98</f>
        <v>8497832.3807999995</v>
      </c>
      <c r="H98" s="197">
        <f>'Statements Summary 2026'!V98</f>
        <v>13971242.980800003</v>
      </c>
      <c r="I98" s="197">
        <f t="shared" si="12"/>
        <v>20144552.980800003</v>
      </c>
      <c r="K98" s="197">
        <f>K94</f>
        <v>14458992.180800004</v>
      </c>
      <c r="L98" s="197">
        <f t="shared" ref="L98:V98" si="13">L94</f>
        <v>14947563.580800004</v>
      </c>
      <c r="M98" s="197">
        <f t="shared" si="13"/>
        <v>15447988.980800005</v>
      </c>
      <c r="N98" s="197">
        <f t="shared" si="13"/>
        <v>15952249.380800005</v>
      </c>
      <c r="O98" s="197">
        <f t="shared" si="13"/>
        <v>16459517.780800005</v>
      </c>
      <c r="P98" s="197">
        <f t="shared" si="13"/>
        <v>16969512.180800006</v>
      </c>
      <c r="Q98" s="197">
        <f t="shared" si="13"/>
        <v>17485804.580800004</v>
      </c>
      <c r="R98" s="197">
        <f t="shared" si="13"/>
        <v>18006232.980800003</v>
      </c>
      <c r="S98" s="197">
        <f t="shared" si="13"/>
        <v>18535873.380800001</v>
      </c>
      <c r="T98" s="197">
        <f t="shared" si="13"/>
        <v>19070589.7808</v>
      </c>
      <c r="U98" s="197">
        <f t="shared" si="13"/>
        <v>19608314.180799998</v>
      </c>
      <c r="V98" s="197">
        <f t="shared" si="13"/>
        <v>20144552.980800003</v>
      </c>
    </row>
    <row r="99" spans="2:22" x14ac:dyDescent="0.3">
      <c r="B99" t="s">
        <v>59</v>
      </c>
      <c r="E99" s="197">
        <f>'Statements Summary 2023'!V97</f>
        <v>1860606.7999999998</v>
      </c>
      <c r="F99" s="197">
        <f>'Statements Summary 2024'!V99</f>
        <v>4721832.3983999994</v>
      </c>
      <c r="G99" s="197">
        <f>'Statements Summary 2025'!V99</f>
        <v>8497832.3807999995</v>
      </c>
      <c r="H99" s="197">
        <f>'Statements Summary 2026'!V99</f>
        <v>13971242.980800003</v>
      </c>
      <c r="I99" s="197">
        <f t="shared" si="12"/>
        <v>20144552.980800003</v>
      </c>
      <c r="K99" s="197">
        <f>K98</f>
        <v>14458992.180800004</v>
      </c>
      <c r="L99" s="197">
        <f t="shared" ref="L99:V99" si="14">L98</f>
        <v>14947563.580800004</v>
      </c>
      <c r="M99" s="197">
        <f t="shared" si="14"/>
        <v>15447988.980800005</v>
      </c>
      <c r="N99" s="197">
        <f t="shared" si="14"/>
        <v>15952249.380800005</v>
      </c>
      <c r="O99" s="197">
        <f t="shared" si="14"/>
        <v>16459517.780800005</v>
      </c>
      <c r="P99" s="197">
        <f t="shared" si="14"/>
        <v>16969512.180800006</v>
      </c>
      <c r="Q99" s="197">
        <f t="shared" si="14"/>
        <v>17485804.580800004</v>
      </c>
      <c r="R99" s="197">
        <f t="shared" si="14"/>
        <v>18006232.980800003</v>
      </c>
      <c r="S99" s="197">
        <f t="shared" si="14"/>
        <v>18535873.380800001</v>
      </c>
      <c r="T99" s="197">
        <f t="shared" si="14"/>
        <v>19070589.7808</v>
      </c>
      <c r="U99" s="197">
        <f t="shared" si="14"/>
        <v>19608314.180799998</v>
      </c>
      <c r="V99" s="197">
        <f t="shared" si="14"/>
        <v>20144552.980800003</v>
      </c>
    </row>
    <row r="101" spans="2:22" x14ac:dyDescent="0.3">
      <c r="B101" s="172" t="s">
        <v>226</v>
      </c>
      <c r="C101" s="145"/>
      <c r="D101" s="145"/>
      <c r="E101" s="145"/>
      <c r="F101" s="145"/>
      <c r="G101" s="145"/>
      <c r="H101" s="145"/>
      <c r="I101" s="145"/>
      <c r="K101" s="334" t="s">
        <v>236</v>
      </c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  <c r="V101" s="334"/>
    </row>
  </sheetData>
  <mergeCells count="6">
    <mergeCell ref="K101:V101"/>
    <mergeCell ref="K2:V2"/>
    <mergeCell ref="K19:V19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6D5D-78D2-4595-8983-B326ABF9A1C6}">
  <dimension ref="A1"/>
  <sheetViews>
    <sheetView showGridLines="0" topLeftCell="B1" zoomScale="94" zoomScaleNormal="94" workbookViewId="0">
      <selection activeCell="AA40" sqref="AA40"/>
    </sheetView>
  </sheetViews>
  <sheetFormatPr defaultRowHeight="14.4" x14ac:dyDescent="0.3"/>
  <cols>
    <col min="1" max="1" width="1.6640625" customWidth="1"/>
  </cols>
  <sheetData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3BE26-08D4-4624-B72E-3E8490ACFED0}">
  <dimension ref="A1"/>
  <sheetViews>
    <sheetView showGridLines="0" workbookViewId="0">
      <selection activeCell="Z82" sqref="Z82"/>
    </sheetView>
  </sheetViews>
  <sheetFormatPr defaultRowHeight="14.4" x14ac:dyDescent="0.3"/>
  <cols>
    <col min="1" max="1" width="1.109375" customWidth="1"/>
  </cols>
  <sheetData>
    <row r="1" ht="5.4" customHeight="1" x14ac:dyDescent="0.3"/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70B8C-D81C-4987-A027-5FC03635FFF5}">
  <dimension ref="A1"/>
  <sheetViews>
    <sheetView showGridLines="0" topLeftCell="A49" zoomScaleNormal="100" workbookViewId="0">
      <selection activeCell="Z64" sqref="Z64"/>
    </sheetView>
  </sheetViews>
  <sheetFormatPr defaultRowHeight="14.4" x14ac:dyDescent="0.3"/>
  <cols>
    <col min="1" max="1" width="0.77734375" customWidth="1"/>
  </cols>
  <sheetData>
    <row r="1" ht="3.6" customHeight="1" x14ac:dyDescent="0.3"/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5DB25-5D1D-45A8-82DA-CE97478132E3}">
  <sheetPr codeName="Sheet3"/>
  <dimension ref="E1:S35"/>
  <sheetViews>
    <sheetView showGridLines="0" workbookViewId="0">
      <selection activeCell="P42" sqref="P42"/>
    </sheetView>
  </sheetViews>
  <sheetFormatPr defaultRowHeight="14.4" x14ac:dyDescent="0.3"/>
  <sheetData>
    <row r="1" spans="5:19" ht="21" x14ac:dyDescent="0.4">
      <c r="E1" s="339" t="s">
        <v>16</v>
      </c>
      <c r="F1" s="339"/>
      <c r="G1" s="339"/>
      <c r="H1" s="339"/>
      <c r="I1" s="339"/>
    </row>
    <row r="5" spans="5:19" ht="18" x14ac:dyDescent="0.35">
      <c r="E5" s="336" t="s">
        <v>17</v>
      </c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8"/>
      <c r="R5" s="7"/>
      <c r="S5" s="7"/>
    </row>
    <row r="22" spans="5:17" ht="21" x14ac:dyDescent="0.4">
      <c r="E22" s="341" t="s">
        <v>207</v>
      </c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3"/>
    </row>
    <row r="24" spans="5:17" x14ac:dyDescent="0.3">
      <c r="E24" s="340" t="s">
        <v>0</v>
      </c>
      <c r="F24" s="340"/>
      <c r="H24" s="335">
        <v>2023</v>
      </c>
      <c r="I24" s="335"/>
      <c r="J24" s="335">
        <v>2024</v>
      </c>
      <c r="K24" s="335"/>
      <c r="L24" s="335">
        <v>2025</v>
      </c>
      <c r="M24" s="335"/>
      <c r="N24" s="335">
        <v>2026</v>
      </c>
      <c r="O24" s="335"/>
      <c r="P24" s="335">
        <v>2027</v>
      </c>
      <c r="Q24" s="335"/>
    </row>
    <row r="27" spans="5:17" x14ac:dyDescent="0.3">
      <c r="E27" t="s">
        <v>2</v>
      </c>
      <c r="H27" s="345">
        <f>'IS 2023'!U13</f>
        <v>3813996</v>
      </c>
      <c r="I27" s="345"/>
      <c r="J27" s="345">
        <f>'IS 2024'!U13</f>
        <v>4284518.9759999998</v>
      </c>
      <c r="K27" s="345"/>
      <c r="L27" s="345">
        <f>'IS 2025'!U13</f>
        <v>4847595</v>
      </c>
      <c r="M27" s="345"/>
      <c r="N27" s="345">
        <f>'IS 2026'!U13</f>
        <v>6644390</v>
      </c>
      <c r="O27" s="345"/>
      <c r="P27" s="345">
        <f>'IS 2027'!U13</f>
        <v>7495090</v>
      </c>
      <c r="Q27" s="345"/>
    </row>
    <row r="28" spans="5:17" x14ac:dyDescent="0.3">
      <c r="E28" t="s">
        <v>3</v>
      </c>
      <c r="H28" s="344">
        <f>'IS 2023'!U14</f>
        <v>-124680</v>
      </c>
      <c r="I28" s="335"/>
      <c r="J28" s="344">
        <f>'IS 2024'!U14</f>
        <v>-124680</v>
      </c>
      <c r="K28" s="335"/>
      <c r="L28" s="344">
        <f>'IS 2025'!U14</f>
        <v>103320</v>
      </c>
      <c r="M28" s="335"/>
      <c r="N28" s="344">
        <f>'IS 2026'!U14</f>
        <v>-390528</v>
      </c>
      <c r="O28" s="335"/>
      <c r="P28" s="344">
        <f>'IS 2027'!U14</f>
        <v>-449528</v>
      </c>
      <c r="Q28" s="335"/>
    </row>
    <row r="29" spans="5:17" x14ac:dyDescent="0.3">
      <c r="E29" s="14" t="s">
        <v>18</v>
      </c>
      <c r="H29" s="345">
        <f>'IS 2023'!U22</f>
        <v>3689316</v>
      </c>
      <c r="I29" s="345"/>
      <c r="J29" s="345">
        <f>'IS 2024'!U23</f>
        <v>4159838.9760000003</v>
      </c>
      <c r="K29" s="345"/>
      <c r="L29" s="345">
        <f>'IS 2025'!U22</f>
        <v>4950915</v>
      </c>
      <c r="M29" s="345"/>
      <c r="N29" s="345">
        <f>'IS 2026'!U22</f>
        <v>6253862</v>
      </c>
      <c r="O29" s="345"/>
      <c r="P29" s="345">
        <f>'IS 2027'!U22</f>
        <v>7045562</v>
      </c>
      <c r="Q29" s="345"/>
    </row>
    <row r="30" spans="5:17" x14ac:dyDescent="0.3">
      <c r="E30" t="s">
        <v>5</v>
      </c>
      <c r="H30" s="344">
        <f>'IS 2023'!U34</f>
        <v>-27420</v>
      </c>
      <c r="I30" s="335"/>
      <c r="J30" s="344">
        <f>'IS 2024'!U35</f>
        <v>-27420</v>
      </c>
      <c r="K30" s="335"/>
      <c r="L30" s="344">
        <f>'IS 2025'!U34</f>
        <v>-27420</v>
      </c>
      <c r="M30" s="335"/>
      <c r="N30" s="344">
        <f>'IS 2026'!U33</f>
        <v>-333322</v>
      </c>
      <c r="O30" s="335"/>
      <c r="P30" s="344">
        <f>'IS 2027'!U33</f>
        <v>-333322</v>
      </c>
      <c r="Q30" s="335"/>
    </row>
    <row r="31" spans="5:17" x14ac:dyDescent="0.3">
      <c r="E31" t="s">
        <v>6</v>
      </c>
      <c r="H31" s="344">
        <f>'IS 2023'!U55</f>
        <v>3562896</v>
      </c>
      <c r="I31" s="335"/>
      <c r="J31" s="344">
        <f>'IS 2024'!U56</f>
        <v>4033418.9760000003</v>
      </c>
      <c r="K31" s="335"/>
      <c r="L31" s="344">
        <f>'IS 2025'!U55</f>
        <v>4824495</v>
      </c>
      <c r="M31" s="344"/>
      <c r="N31" s="344">
        <f>'IS 2026'!U53</f>
        <v>5821540</v>
      </c>
      <c r="O31" s="344"/>
      <c r="P31" s="344">
        <f>'IS 2027'!U53</f>
        <v>6613240</v>
      </c>
      <c r="Q31" s="344"/>
    </row>
    <row r="32" spans="5:17" x14ac:dyDescent="0.3">
      <c r="E32" t="s">
        <v>19</v>
      </c>
      <c r="H32" s="345">
        <f>ABS('IS 2023'!U14)+ABS('IS 2023'!U34)+ABS('IS 2023'!U35)+ABS('IS 2023'!U54)+ABS('IS 2023'!U56)+ABS('IS 2023'!U58)+ABS('IS 2023'!U60)</f>
        <v>2130969.6000000001</v>
      </c>
      <c r="I32" s="340"/>
      <c r="J32" s="345">
        <f>ABS('IS 2024'!U14)+ABS('IS 2024'!U35)+ABS('IS 2024'!U36)+ABS('IS 2024'!U55)+ABS('IS 2024'!U57)+ABS('IS 2024'!U59)+ABS('IS 2024'!U61)</f>
        <v>1737983.7952000001</v>
      </c>
      <c r="K32" s="340"/>
      <c r="L32" s="345">
        <f>ABS('IS 2025'!U14)+ABS('IS 2025'!U34)+ABS('IS 2025'!U35)+ABS('IS 2025'!U54)+ABS('IS 2025'!U56)+ABS('IS 2025'!U58)+ABS('IS 2025'!U60)</f>
        <v>1861233.2</v>
      </c>
      <c r="M32" s="340"/>
      <c r="N32" s="345">
        <f>ABS('IS 2026'!U14)+ABS('IS 2026'!U33)+ABS('IS 2026'!U34)+ABS('IS 2026'!U52)+ABS('IS 2026'!U54)+ABS('IS 2026'!U56)+ABS('IS 2026'!U58)</f>
        <v>2549451</v>
      </c>
      <c r="O32" s="340"/>
      <c r="P32" s="345">
        <f>ABS('IS 2027'!U14)+ABS('IS 2027'!U33)+ABS('IS 2027'!U34)+ABS('IS 2027'!U52)+ABS('IS 2027'!U54)+ABS('IS 2027'!U56)+ABS('IS 2027'!U58)</f>
        <v>2766546</v>
      </c>
      <c r="Q32" s="345"/>
    </row>
    <row r="33" spans="5:17" x14ac:dyDescent="0.3">
      <c r="E33" t="s">
        <v>10</v>
      </c>
      <c r="H33" s="345">
        <f>'IS 2023'!U59</f>
        <v>3562896</v>
      </c>
      <c r="I33" s="340"/>
      <c r="J33" s="345">
        <f>'IS 2024'!U60</f>
        <v>4033418.9760000003</v>
      </c>
      <c r="K33" s="345"/>
      <c r="L33" s="345">
        <f>'IS 2025'!U59</f>
        <v>4824495</v>
      </c>
      <c r="M33" s="345"/>
      <c r="N33" s="345">
        <f>'IS 2026'!U57</f>
        <v>5821540</v>
      </c>
      <c r="O33" s="345"/>
      <c r="P33" s="345">
        <f>'IS 2027'!U57</f>
        <v>6613240</v>
      </c>
      <c r="Q33" s="345"/>
    </row>
    <row r="34" spans="5:17" x14ac:dyDescent="0.3">
      <c r="E34" t="s">
        <v>12</v>
      </c>
      <c r="H34" s="346">
        <f>'IS 2023'!U61</f>
        <v>2850316.8</v>
      </c>
      <c r="I34" s="347"/>
      <c r="J34" s="346">
        <f>'IS 2024'!U62</f>
        <v>3226735.1808000002</v>
      </c>
      <c r="K34" s="346"/>
      <c r="L34" s="346">
        <f>'IS 2025'!U61</f>
        <v>3859596</v>
      </c>
      <c r="M34" s="346"/>
      <c r="N34" s="346">
        <f>'IS 2026'!U59</f>
        <v>4657231.9999999991</v>
      </c>
      <c r="O34" s="346"/>
      <c r="P34" s="346">
        <f>'IS 2027'!U59</f>
        <v>5290592</v>
      </c>
      <c r="Q34" s="346"/>
    </row>
    <row r="35" spans="5:17" x14ac:dyDescent="0.3">
      <c r="J35" s="2"/>
    </row>
  </sheetData>
  <mergeCells count="49">
    <mergeCell ref="L27:M27"/>
    <mergeCell ref="L28:M28"/>
    <mergeCell ref="L29:M29"/>
    <mergeCell ref="L30:M30"/>
    <mergeCell ref="P30:Q30"/>
    <mergeCell ref="N30:O30"/>
    <mergeCell ref="P27:Q27"/>
    <mergeCell ref="P28:Q28"/>
    <mergeCell ref="P29:Q29"/>
    <mergeCell ref="N27:O27"/>
    <mergeCell ref="N28:O28"/>
    <mergeCell ref="N29:O29"/>
    <mergeCell ref="P34:Q34"/>
    <mergeCell ref="L31:M31"/>
    <mergeCell ref="N34:O34"/>
    <mergeCell ref="L32:M32"/>
    <mergeCell ref="L33:M33"/>
    <mergeCell ref="L34:M34"/>
    <mergeCell ref="P31:Q31"/>
    <mergeCell ref="N31:O31"/>
    <mergeCell ref="N32:O32"/>
    <mergeCell ref="N33:O33"/>
    <mergeCell ref="P32:Q32"/>
    <mergeCell ref="P33:Q33"/>
    <mergeCell ref="H34:I34"/>
    <mergeCell ref="J32:K32"/>
    <mergeCell ref="J33:K33"/>
    <mergeCell ref="J34:K34"/>
    <mergeCell ref="H31:I31"/>
    <mergeCell ref="H32:I32"/>
    <mergeCell ref="H33:I33"/>
    <mergeCell ref="J31:K31"/>
    <mergeCell ref="H30:I30"/>
    <mergeCell ref="J27:K27"/>
    <mergeCell ref="J28:K28"/>
    <mergeCell ref="J29:K29"/>
    <mergeCell ref="J30:K30"/>
    <mergeCell ref="H27:I27"/>
    <mergeCell ref="H28:I28"/>
    <mergeCell ref="H29:I29"/>
    <mergeCell ref="N24:O24"/>
    <mergeCell ref="P24:Q24"/>
    <mergeCell ref="E5:Q5"/>
    <mergeCell ref="E1:I1"/>
    <mergeCell ref="E24:F24"/>
    <mergeCell ref="H24:I24"/>
    <mergeCell ref="J24:K24"/>
    <mergeCell ref="L24:M24"/>
    <mergeCell ref="E22:Q22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94AA-C7A6-43C5-A8DC-7ED6875E5A9D}">
  <sheetPr codeName="Sheet17"/>
  <dimension ref="B2:T15"/>
  <sheetViews>
    <sheetView showGridLines="0" topLeftCell="A4" workbookViewId="0">
      <selection activeCell="S10" sqref="S10"/>
    </sheetView>
  </sheetViews>
  <sheetFormatPr defaultRowHeight="14.4" x14ac:dyDescent="0.3"/>
  <cols>
    <col min="4" max="4" width="11.44140625" bestFit="1" customWidth="1"/>
    <col min="5" max="8" width="9" bestFit="1" customWidth="1"/>
  </cols>
  <sheetData>
    <row r="2" spans="2:20" ht="21" x14ac:dyDescent="0.4">
      <c r="B2" s="349" t="s">
        <v>63</v>
      </c>
      <c r="C2" s="349"/>
      <c r="D2" s="349"/>
    </row>
    <row r="5" spans="2:20" ht="18" x14ac:dyDescent="0.35">
      <c r="B5" s="348" t="s">
        <v>208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</row>
    <row r="7" spans="2:20" x14ac:dyDescent="0.3">
      <c r="D7" s="8">
        <v>2023</v>
      </c>
      <c r="E7" s="8">
        <v>2024</v>
      </c>
      <c r="F7" s="8">
        <v>2025</v>
      </c>
      <c r="G7" s="8">
        <v>2026</v>
      </c>
      <c r="H7" s="8">
        <v>2027</v>
      </c>
      <c r="K7" s="8">
        <v>2023</v>
      </c>
      <c r="L7" s="8">
        <v>2024</v>
      </c>
      <c r="M7" s="8">
        <v>2025</v>
      </c>
      <c r="N7" s="8">
        <v>2026</v>
      </c>
      <c r="O7" s="8">
        <v>2027</v>
      </c>
    </row>
    <row r="9" spans="2:20" x14ac:dyDescent="0.3">
      <c r="B9" s="350" t="s">
        <v>222</v>
      </c>
      <c r="C9" s="351"/>
      <c r="D9" s="24">
        <f>ABS('IS 2023'!U40)</f>
        <v>8400</v>
      </c>
      <c r="E9" s="21">
        <f>ABS('IS 2024'!U41)</f>
        <v>8400</v>
      </c>
      <c r="F9" s="21">
        <f>ABS('IS 2025'!U40)</f>
        <v>8400</v>
      </c>
      <c r="G9" s="21">
        <f>ABS('IS 2026'!U39)</f>
        <v>8400</v>
      </c>
      <c r="H9" s="18">
        <f>ABS('IS 2027'!U39)</f>
        <v>8400</v>
      </c>
      <c r="K9" s="25">
        <f>D9/D13</f>
        <v>4.2519589382251109E-2</v>
      </c>
      <c r="L9" s="26">
        <f t="shared" ref="L9:O9" si="0">E9/E13</f>
        <v>4.2519589382251109E-2</v>
      </c>
      <c r="M9" s="26">
        <f t="shared" si="0"/>
        <v>1.2181751735899622E-2</v>
      </c>
      <c r="N9" s="26">
        <f t="shared" si="0"/>
        <v>7.542290701433035E-3</v>
      </c>
      <c r="O9" s="27">
        <f t="shared" si="0"/>
        <v>7.404939094375949E-3</v>
      </c>
    </row>
    <row r="10" spans="2:20" x14ac:dyDescent="0.3">
      <c r="B10" s="352" t="s">
        <v>60</v>
      </c>
      <c r="C10" s="353"/>
      <c r="D10" s="20">
        <f>ABS('IS 2023'!U15)+ABS('IS 2023'!U35)</f>
        <v>162756</v>
      </c>
      <c r="E10" s="17">
        <f>ABS('IS 2024'!U15)+ABS('IS 2024'!U36)</f>
        <v>162756</v>
      </c>
      <c r="F10" s="17">
        <f>ABS('IS 2025'!U15)+ABS('IS 2025'!U35)</f>
        <v>654756</v>
      </c>
      <c r="G10" s="17">
        <f>ABS('IS 2026'!U15)+ABS('IS 2026'!U34)</f>
        <v>920604</v>
      </c>
      <c r="H10" s="19">
        <f>ABS('IS 2027'!U15)+ABS('IS 2027'!U34)</f>
        <v>979604</v>
      </c>
      <c r="K10" s="28">
        <f>D10/D13</f>
        <v>0.82384741541638828</v>
      </c>
      <c r="L10" s="12">
        <f t="shared" ref="L10:O10" si="1">E10/E13</f>
        <v>0.82384741541638828</v>
      </c>
      <c r="M10" s="12">
        <f t="shared" si="1"/>
        <v>0.94953274280841582</v>
      </c>
      <c r="N10" s="12">
        <f t="shared" si="1"/>
        <v>0.82660273677405449</v>
      </c>
      <c r="O10" s="29">
        <f t="shared" si="1"/>
        <v>0.86356047102464961</v>
      </c>
    </row>
    <row r="11" spans="2:20" x14ac:dyDescent="0.3">
      <c r="B11" s="352" t="s">
        <v>126</v>
      </c>
      <c r="C11" s="353"/>
      <c r="D11" s="20">
        <f>ABS('IS 2023'!U42)</f>
        <v>22800</v>
      </c>
      <c r="E11" s="17">
        <f>ABS('IS 2024'!U43)</f>
        <v>22800</v>
      </c>
      <c r="F11" s="17">
        <f>ABS('IS 2025'!U42)</f>
        <v>22800</v>
      </c>
      <c r="G11" s="17">
        <f>ABS('IS 2026'!U41)</f>
        <v>22800</v>
      </c>
      <c r="H11" s="19">
        <f>ABS('IS 2027'!U41)</f>
        <v>22800</v>
      </c>
      <c r="K11" s="28">
        <f>D11/D13</f>
        <v>0.11541031403753872</v>
      </c>
      <c r="L11" s="12">
        <f t="shared" ref="L11:O11" si="2">E11/E13</f>
        <v>0.11541031403753872</v>
      </c>
      <c r="M11" s="12">
        <f t="shared" si="2"/>
        <v>3.3064754711727547E-2</v>
      </c>
      <c r="N11" s="12">
        <f t="shared" si="2"/>
        <v>2.0471931903889667E-2</v>
      </c>
      <c r="O11" s="29">
        <f t="shared" si="2"/>
        <v>2.0099120399020433E-2</v>
      </c>
    </row>
    <row r="12" spans="2:20" x14ac:dyDescent="0.3">
      <c r="B12" s="352" t="s">
        <v>61</v>
      </c>
      <c r="C12" s="353"/>
      <c r="D12" s="20">
        <f>ABS('IS 2023'!U26)</f>
        <v>3600</v>
      </c>
      <c r="E12" s="17">
        <f>ABS('IS 2024'!U27)</f>
        <v>3600</v>
      </c>
      <c r="F12" s="17">
        <f>ABS('IS 2025'!U26)</f>
        <v>3600</v>
      </c>
      <c r="G12" s="17">
        <f>ABS('IS 2026'!U26)</f>
        <v>161916</v>
      </c>
      <c r="H12" s="19">
        <f>ABS('IS 2027'!U28)</f>
        <v>123574</v>
      </c>
      <c r="K12" s="28">
        <f>D12/D13</f>
        <v>1.8222681163821905E-2</v>
      </c>
      <c r="L12" s="12">
        <f t="shared" ref="L12:O12" si="3">E12/E13</f>
        <v>1.8222681163821905E-2</v>
      </c>
      <c r="M12" s="12">
        <f t="shared" si="3"/>
        <v>5.2207507439569808E-3</v>
      </c>
      <c r="N12" s="12">
        <f t="shared" si="3"/>
        <v>0.14538304062062277</v>
      </c>
      <c r="O12" s="29">
        <f t="shared" si="3"/>
        <v>0.10893546948195398</v>
      </c>
    </row>
    <row r="13" spans="2:20" x14ac:dyDescent="0.3">
      <c r="B13" s="354"/>
      <c r="C13" s="355"/>
      <c r="D13" s="210">
        <f>SUM(D9:D12)</f>
        <v>197556</v>
      </c>
      <c r="E13" s="22">
        <f t="shared" ref="E13:H13" si="4">SUM(E9:E12)</f>
        <v>197556</v>
      </c>
      <c r="F13" s="22">
        <f t="shared" si="4"/>
        <v>689556</v>
      </c>
      <c r="G13" s="22">
        <f t="shared" si="4"/>
        <v>1113720</v>
      </c>
      <c r="H13" s="23">
        <f t="shared" si="4"/>
        <v>1134378</v>
      </c>
      <c r="K13" s="30">
        <v>1</v>
      </c>
      <c r="L13" s="31">
        <v>1</v>
      </c>
      <c r="M13" s="31">
        <v>1</v>
      </c>
      <c r="N13" s="31">
        <v>1</v>
      </c>
      <c r="O13" s="32">
        <v>1</v>
      </c>
    </row>
    <row r="15" spans="2:20" ht="18" x14ac:dyDescent="0.35">
      <c r="B15" s="348" t="s">
        <v>62</v>
      </c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</row>
  </sheetData>
  <mergeCells count="8">
    <mergeCell ref="B15:T15"/>
    <mergeCell ref="B2:D2"/>
    <mergeCell ref="B5:T5"/>
    <mergeCell ref="B9:C9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64742-2F5F-4924-A5E4-3C5087B28221}">
  <dimension ref="C2:Q49"/>
  <sheetViews>
    <sheetView showGridLines="0" workbookViewId="0">
      <selection activeCell="Q56" sqref="Q56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359" t="s">
        <v>69</v>
      </c>
      <c r="D2" s="360"/>
      <c r="E2" s="360"/>
      <c r="F2" s="360"/>
      <c r="G2" s="360"/>
      <c r="H2" s="360"/>
      <c r="I2" s="361"/>
    </row>
    <row r="5" spans="3:17" x14ac:dyDescent="0.3">
      <c r="C5" s="362" t="s">
        <v>209</v>
      </c>
      <c r="D5" s="362"/>
      <c r="E5" s="362"/>
      <c r="F5" s="362"/>
      <c r="G5" s="362"/>
      <c r="H5" s="362"/>
      <c r="I5" s="362"/>
    </row>
    <row r="7" spans="3:17" x14ac:dyDescent="0.3">
      <c r="H7" s="359" t="s">
        <v>71</v>
      </c>
      <c r="I7" s="360"/>
      <c r="J7" s="360"/>
      <c r="K7" s="360"/>
      <c r="L7" s="360"/>
      <c r="M7" s="360"/>
      <c r="N7" s="360"/>
      <c r="O7" s="360"/>
      <c r="P7" s="360"/>
      <c r="Q7" s="361"/>
    </row>
    <row r="8" spans="3:17" x14ac:dyDescent="0.3">
      <c r="C8" s="363" t="s">
        <v>70</v>
      </c>
      <c r="D8" s="364"/>
      <c r="E8" s="364"/>
      <c r="F8" s="365"/>
      <c r="H8" s="366">
        <v>2023</v>
      </c>
      <c r="I8" s="367"/>
      <c r="J8" s="366">
        <v>2024</v>
      </c>
      <c r="K8" s="367"/>
      <c r="L8" s="366">
        <v>2025</v>
      </c>
      <c r="M8" s="367"/>
      <c r="N8" s="366">
        <v>2026</v>
      </c>
      <c r="O8" s="367"/>
      <c r="P8" s="366">
        <v>2027</v>
      </c>
      <c r="Q8" s="367"/>
    </row>
    <row r="9" spans="3:17" x14ac:dyDescent="0.3">
      <c r="C9" s="368" t="s">
        <v>296</v>
      </c>
      <c r="D9" s="369"/>
      <c r="E9" s="369"/>
      <c r="F9" s="370"/>
      <c r="H9" s="214">
        <v>1</v>
      </c>
      <c r="I9" s="215">
        <v>50000</v>
      </c>
      <c r="J9" s="214">
        <v>2</v>
      </c>
      <c r="K9" s="216">
        <v>50000</v>
      </c>
      <c r="L9" s="215">
        <v>2</v>
      </c>
      <c r="M9" s="215">
        <v>50000</v>
      </c>
      <c r="N9" s="214">
        <v>3</v>
      </c>
      <c r="O9" s="216">
        <v>50000</v>
      </c>
      <c r="P9" s="215">
        <v>3</v>
      </c>
      <c r="Q9" s="216">
        <v>50000</v>
      </c>
    </row>
    <row r="10" spans="3:17" x14ac:dyDescent="0.3">
      <c r="C10" s="356" t="s">
        <v>297</v>
      </c>
      <c r="D10" s="357"/>
      <c r="E10" s="357"/>
      <c r="F10" s="358"/>
      <c r="H10" s="217">
        <v>3</v>
      </c>
      <c r="I10" s="218">
        <v>65000</v>
      </c>
      <c r="J10" s="217">
        <v>27</v>
      </c>
      <c r="K10" s="219">
        <v>65500</v>
      </c>
      <c r="L10" s="218">
        <v>29</v>
      </c>
      <c r="M10" s="218">
        <v>70000</v>
      </c>
      <c r="N10" s="217">
        <v>30</v>
      </c>
      <c r="O10" s="219">
        <v>73000</v>
      </c>
      <c r="P10" s="218">
        <v>45</v>
      </c>
      <c r="Q10" s="219">
        <v>75000</v>
      </c>
    </row>
    <row r="11" spans="3:17" x14ac:dyDescent="0.3">
      <c r="C11" s="356" t="s">
        <v>298</v>
      </c>
      <c r="D11" s="357"/>
      <c r="E11" s="357"/>
      <c r="F11" s="358"/>
      <c r="H11" s="217">
        <v>9</v>
      </c>
      <c r="I11" s="218">
        <v>25000</v>
      </c>
      <c r="J11" s="217">
        <v>6</v>
      </c>
      <c r="K11" s="219">
        <v>25000</v>
      </c>
      <c r="L11" s="218">
        <v>6</v>
      </c>
      <c r="M11" s="218">
        <v>25000</v>
      </c>
      <c r="N11" s="217">
        <v>7</v>
      </c>
      <c r="O11" s="219">
        <v>25000</v>
      </c>
      <c r="P11" s="218">
        <v>8</v>
      </c>
      <c r="Q11" s="219">
        <v>25000</v>
      </c>
    </row>
    <row r="12" spans="3:17" x14ac:dyDescent="0.3">
      <c r="C12" s="304" t="s">
        <v>299</v>
      </c>
      <c r="D12" s="305"/>
      <c r="E12" s="305"/>
      <c r="F12" s="306"/>
      <c r="H12" s="217">
        <v>2</v>
      </c>
      <c r="I12" s="218">
        <v>45000</v>
      </c>
      <c r="J12" s="217">
        <v>1</v>
      </c>
      <c r="K12" s="219">
        <v>46000</v>
      </c>
      <c r="L12" s="218">
        <v>1</v>
      </c>
      <c r="M12" s="218">
        <v>46500</v>
      </c>
      <c r="N12" s="217">
        <v>1</v>
      </c>
      <c r="O12" s="219">
        <v>46750</v>
      </c>
      <c r="P12" s="218">
        <v>1</v>
      </c>
      <c r="Q12" s="219">
        <v>47000</v>
      </c>
    </row>
    <row r="13" spans="3:17" x14ac:dyDescent="0.3">
      <c r="C13" s="304" t="s">
        <v>300</v>
      </c>
      <c r="D13" s="305"/>
      <c r="E13" s="305"/>
      <c r="F13" s="306"/>
      <c r="H13" s="217">
        <v>2</v>
      </c>
      <c r="I13" s="218">
        <v>45000</v>
      </c>
      <c r="J13" s="217">
        <v>1</v>
      </c>
      <c r="K13" s="219">
        <v>45000</v>
      </c>
      <c r="L13" s="217">
        <v>1</v>
      </c>
      <c r="M13" s="219">
        <v>45000</v>
      </c>
      <c r="N13" s="217">
        <v>1</v>
      </c>
      <c r="O13" s="219">
        <v>45500</v>
      </c>
      <c r="P13" s="217">
        <v>1</v>
      </c>
      <c r="Q13" s="219">
        <v>45500</v>
      </c>
    </row>
    <row r="14" spans="3:17" x14ac:dyDescent="0.3">
      <c r="C14" s="304" t="s">
        <v>301</v>
      </c>
      <c r="D14" s="305"/>
      <c r="E14" s="305"/>
      <c r="F14" s="306"/>
      <c r="H14" s="217">
        <v>1</v>
      </c>
      <c r="I14" s="218">
        <v>40000</v>
      </c>
      <c r="J14" s="217">
        <v>1</v>
      </c>
      <c r="K14" s="219">
        <v>40000</v>
      </c>
      <c r="L14" s="217">
        <v>1</v>
      </c>
      <c r="M14" s="219">
        <v>40000</v>
      </c>
      <c r="N14" s="217">
        <v>1</v>
      </c>
      <c r="O14" s="219">
        <v>40100</v>
      </c>
      <c r="P14" s="217">
        <v>1</v>
      </c>
      <c r="Q14" s="219">
        <v>40100</v>
      </c>
    </row>
    <row r="15" spans="3:17" x14ac:dyDescent="0.3">
      <c r="C15" s="304" t="s">
        <v>302</v>
      </c>
      <c r="D15" s="305"/>
      <c r="E15" s="305"/>
      <c r="F15" s="306"/>
      <c r="H15" s="217">
        <v>2</v>
      </c>
      <c r="I15" s="218">
        <v>37000</v>
      </c>
      <c r="J15" s="217">
        <v>1</v>
      </c>
      <c r="K15" s="219">
        <v>37000</v>
      </c>
      <c r="L15" s="217">
        <v>1</v>
      </c>
      <c r="M15" s="219">
        <v>37000</v>
      </c>
      <c r="N15" s="217">
        <v>1</v>
      </c>
      <c r="O15" s="219">
        <v>37200</v>
      </c>
      <c r="P15" s="217">
        <v>1</v>
      </c>
      <c r="Q15" s="219">
        <v>37200</v>
      </c>
    </row>
    <row r="16" spans="3:17" x14ac:dyDescent="0.3">
      <c r="C16" s="304" t="s">
        <v>303</v>
      </c>
      <c r="D16" s="305"/>
      <c r="E16" s="305"/>
      <c r="F16" s="306"/>
      <c r="H16" s="217">
        <v>4</v>
      </c>
      <c r="I16" s="218">
        <v>37000</v>
      </c>
      <c r="J16" s="217">
        <v>1</v>
      </c>
      <c r="K16" s="219">
        <v>37000</v>
      </c>
      <c r="L16" s="217">
        <v>1</v>
      </c>
      <c r="M16" s="219">
        <v>37000</v>
      </c>
      <c r="N16" s="217">
        <v>1</v>
      </c>
      <c r="O16" s="219">
        <v>37000</v>
      </c>
      <c r="P16" s="217">
        <v>1</v>
      </c>
      <c r="Q16" s="219">
        <v>37000</v>
      </c>
    </row>
    <row r="17" spans="3:17" x14ac:dyDescent="0.3">
      <c r="C17" s="304" t="s">
        <v>304</v>
      </c>
      <c r="D17" s="305"/>
      <c r="E17" s="305"/>
      <c r="F17" s="306"/>
      <c r="H17" s="217">
        <v>2</v>
      </c>
      <c r="I17" s="218">
        <v>36000</v>
      </c>
      <c r="J17" s="217">
        <v>1</v>
      </c>
      <c r="K17" s="219">
        <v>36000</v>
      </c>
      <c r="L17" s="217">
        <v>1</v>
      </c>
      <c r="M17" s="219">
        <v>36000</v>
      </c>
      <c r="N17" s="217">
        <v>1</v>
      </c>
      <c r="O17" s="219">
        <v>36000</v>
      </c>
      <c r="P17" s="217">
        <v>1</v>
      </c>
      <c r="Q17" s="219">
        <v>36000</v>
      </c>
    </row>
    <row r="18" spans="3:17" x14ac:dyDescent="0.3">
      <c r="C18" s="304"/>
      <c r="D18" s="305"/>
      <c r="E18" s="305"/>
      <c r="F18" s="306"/>
      <c r="H18" s="217"/>
      <c r="I18" s="218"/>
      <c r="J18" s="217"/>
      <c r="K18" s="219"/>
      <c r="L18" s="217"/>
      <c r="M18" s="219"/>
      <c r="N18" s="217"/>
      <c r="O18" s="219"/>
      <c r="P18" s="217"/>
      <c r="Q18" s="219"/>
    </row>
    <row r="19" spans="3:17" x14ac:dyDescent="0.3">
      <c r="C19" s="304"/>
      <c r="D19" s="305"/>
      <c r="E19" s="305"/>
      <c r="F19" s="306"/>
      <c r="H19" s="217"/>
      <c r="I19" s="218"/>
      <c r="J19" s="217"/>
      <c r="K19" s="219"/>
      <c r="L19" s="217"/>
      <c r="M19" s="219"/>
      <c r="N19" s="217"/>
      <c r="O19" s="219"/>
      <c r="P19" s="217"/>
      <c r="Q19" s="219"/>
    </row>
    <row r="20" spans="3:17" x14ac:dyDescent="0.3">
      <c r="C20" s="304"/>
      <c r="D20" s="305"/>
      <c r="E20" s="305"/>
      <c r="F20" s="306"/>
      <c r="H20" s="217"/>
      <c r="I20" s="218"/>
      <c r="J20" s="217"/>
      <c r="K20" s="219"/>
      <c r="L20" s="218"/>
      <c r="M20" s="218"/>
      <c r="N20" s="217"/>
      <c r="O20" s="219"/>
      <c r="P20" s="218"/>
      <c r="Q20" s="219"/>
    </row>
    <row r="21" spans="3:17" x14ac:dyDescent="0.3">
      <c r="C21" s="304"/>
      <c r="D21" s="305"/>
      <c r="E21" s="305"/>
      <c r="F21" s="306"/>
      <c r="H21" s="217"/>
      <c r="I21" s="218"/>
      <c r="J21" s="217"/>
      <c r="K21" s="219"/>
      <c r="L21" s="218"/>
      <c r="M21" s="218"/>
      <c r="N21" s="217"/>
      <c r="O21" s="219"/>
      <c r="P21" s="218"/>
      <c r="Q21" s="219"/>
    </row>
    <row r="22" spans="3:17" x14ac:dyDescent="0.3">
      <c r="C22" s="304"/>
      <c r="D22" s="305"/>
      <c r="E22" s="305"/>
      <c r="F22" s="306"/>
      <c r="H22" s="217"/>
      <c r="I22" s="218"/>
      <c r="J22" s="217"/>
      <c r="K22" s="219"/>
      <c r="L22" s="218"/>
      <c r="M22" s="218"/>
      <c r="N22" s="217"/>
      <c r="O22" s="219"/>
      <c r="P22" s="218"/>
      <c r="Q22" s="219"/>
    </row>
    <row r="23" spans="3:17" x14ac:dyDescent="0.3">
      <c r="C23" s="356"/>
      <c r="D23" s="357"/>
      <c r="E23" s="357"/>
      <c r="F23" s="358"/>
      <c r="H23" s="217"/>
      <c r="I23" s="218"/>
      <c r="J23" s="217"/>
      <c r="K23" s="219"/>
      <c r="L23" s="218"/>
      <c r="M23" s="218"/>
      <c r="N23" s="217"/>
      <c r="O23" s="219"/>
      <c r="P23" s="218"/>
      <c r="Q23" s="219"/>
    </row>
    <row r="24" spans="3:17" x14ac:dyDescent="0.3">
      <c r="C24" s="356"/>
      <c r="D24" s="357"/>
      <c r="E24" s="357"/>
      <c r="F24" s="358"/>
      <c r="H24" s="217"/>
      <c r="I24" s="218"/>
      <c r="J24" s="217"/>
      <c r="K24" s="219"/>
      <c r="L24" s="218"/>
      <c r="M24" s="218"/>
      <c r="N24" s="217"/>
      <c r="O24" s="219"/>
      <c r="P24" s="218"/>
      <c r="Q24" s="219"/>
    </row>
    <row r="25" spans="3:17" x14ac:dyDescent="0.3">
      <c r="C25" s="356"/>
      <c r="D25" s="357"/>
      <c r="E25" s="357"/>
      <c r="F25" s="358"/>
      <c r="H25" s="217"/>
      <c r="I25" s="218"/>
      <c r="J25" s="217"/>
      <c r="K25" s="219"/>
      <c r="L25" s="218"/>
      <c r="M25" s="218"/>
      <c r="N25" s="217"/>
      <c r="O25" s="219"/>
      <c r="P25" s="218"/>
      <c r="Q25" s="219"/>
    </row>
    <row r="26" spans="3:17" x14ac:dyDescent="0.3">
      <c r="C26" s="356"/>
      <c r="D26" s="357"/>
      <c r="E26" s="357"/>
      <c r="F26" s="358"/>
      <c r="H26" s="217"/>
      <c r="I26" s="218"/>
      <c r="J26" s="217"/>
      <c r="K26" s="219"/>
      <c r="L26" s="218"/>
      <c r="M26" s="218"/>
      <c r="N26" s="217"/>
      <c r="O26" s="219"/>
      <c r="P26" s="218"/>
      <c r="Q26" s="219"/>
    </row>
    <row r="27" spans="3:17" x14ac:dyDescent="0.3">
      <c r="C27" s="356"/>
      <c r="D27" s="357"/>
      <c r="E27" s="357"/>
      <c r="F27" s="358"/>
      <c r="H27" s="217"/>
      <c r="I27" s="218"/>
      <c r="J27" s="217"/>
      <c r="K27" s="219"/>
      <c r="L27" s="218"/>
      <c r="M27" s="218"/>
      <c r="N27" s="217"/>
      <c r="O27" s="219"/>
      <c r="P27" s="218"/>
      <c r="Q27" s="219"/>
    </row>
    <row r="28" spans="3:17" x14ac:dyDescent="0.3">
      <c r="C28" s="371"/>
      <c r="D28" s="372"/>
      <c r="E28" s="372"/>
      <c r="F28" s="373"/>
      <c r="H28" s="241"/>
      <c r="I28" s="242"/>
      <c r="J28" s="241"/>
      <c r="K28" s="243"/>
      <c r="L28" s="242"/>
      <c r="M28" s="242"/>
      <c r="N28" s="241"/>
      <c r="O28" s="243"/>
      <c r="P28" s="242"/>
      <c r="Q28" s="243"/>
    </row>
    <row r="29" spans="3:17" x14ac:dyDescent="0.3">
      <c r="C29" s="363" t="s">
        <v>72</v>
      </c>
      <c r="D29" s="364"/>
      <c r="E29" s="364"/>
      <c r="F29" s="365"/>
      <c r="H29" s="366">
        <v>2023</v>
      </c>
      <c r="I29" s="367"/>
      <c r="J29" s="366">
        <v>2024</v>
      </c>
      <c r="K29" s="367"/>
      <c r="L29" s="366">
        <v>2025</v>
      </c>
      <c r="M29" s="367"/>
      <c r="N29" s="366">
        <v>2026</v>
      </c>
      <c r="O29" s="367"/>
      <c r="P29" s="366">
        <v>2027</v>
      </c>
      <c r="Q29" s="367"/>
    </row>
    <row r="30" spans="3:17" x14ac:dyDescent="0.3">
      <c r="C30" s="368" t="s">
        <v>296</v>
      </c>
      <c r="D30" s="369"/>
      <c r="E30" s="369"/>
      <c r="F30" s="370"/>
      <c r="H30" s="214">
        <f>H9</f>
        <v>1</v>
      </c>
      <c r="I30" s="216">
        <f>SUM(H9*I9)</f>
        <v>50000</v>
      </c>
      <c r="J30" s="214">
        <f>J9</f>
        <v>2</v>
      </c>
      <c r="K30" s="216">
        <f>SUM(J9*K9)</f>
        <v>100000</v>
      </c>
      <c r="L30" s="214">
        <f>L9</f>
        <v>2</v>
      </c>
      <c r="M30" s="216">
        <f>SUM(L9*M9)</f>
        <v>100000</v>
      </c>
      <c r="N30" s="214">
        <f>N9</f>
        <v>3</v>
      </c>
      <c r="O30" s="216">
        <f>SUM(N9*O9)</f>
        <v>150000</v>
      </c>
      <c r="P30" s="214">
        <f>P9</f>
        <v>3</v>
      </c>
      <c r="Q30" s="216">
        <f>SUM(P9*Q9)</f>
        <v>150000</v>
      </c>
    </row>
    <row r="31" spans="3:17" x14ac:dyDescent="0.3">
      <c r="C31" s="356" t="s">
        <v>297</v>
      </c>
      <c r="D31" s="357"/>
      <c r="E31" s="357"/>
      <c r="F31" s="358"/>
      <c r="H31" s="217">
        <f>H10</f>
        <v>3</v>
      </c>
      <c r="I31" s="219">
        <f>SUM(H10*I10)</f>
        <v>195000</v>
      </c>
      <c r="J31" s="217">
        <f>J10</f>
        <v>27</v>
      </c>
      <c r="K31" s="219">
        <f>SUM(J10*K10)</f>
        <v>1768500</v>
      </c>
      <c r="L31" s="217">
        <f>L10</f>
        <v>29</v>
      </c>
      <c r="M31" s="219">
        <f>SUM(L10*M10)</f>
        <v>2030000</v>
      </c>
      <c r="N31" s="217">
        <f>N10</f>
        <v>30</v>
      </c>
      <c r="O31" s="219">
        <f>SUM(N10*O10)</f>
        <v>2190000</v>
      </c>
      <c r="P31" s="217">
        <f>P10</f>
        <v>45</v>
      </c>
      <c r="Q31" s="219">
        <f>SUM(P10*Q10)</f>
        <v>3375000</v>
      </c>
    </row>
    <row r="32" spans="3:17" x14ac:dyDescent="0.3">
      <c r="C32" s="356" t="s">
        <v>298</v>
      </c>
      <c r="D32" s="357"/>
      <c r="E32" s="357"/>
      <c r="F32" s="358"/>
      <c r="H32" s="217">
        <f>H11</f>
        <v>9</v>
      </c>
      <c r="I32" s="219">
        <f>SUM(H11*I11)</f>
        <v>225000</v>
      </c>
      <c r="J32" s="217">
        <f>J11</f>
        <v>6</v>
      </c>
      <c r="K32" s="219">
        <f>SUM(J11*K11)</f>
        <v>150000</v>
      </c>
      <c r="L32" s="217">
        <f>L11</f>
        <v>6</v>
      </c>
      <c r="M32" s="219">
        <f>SUM(L11*M11)</f>
        <v>150000</v>
      </c>
      <c r="N32" s="217">
        <f>N11</f>
        <v>7</v>
      </c>
      <c r="O32" s="219">
        <f>SUM(N11*O11)</f>
        <v>175000</v>
      </c>
      <c r="P32" s="217">
        <f>P11</f>
        <v>8</v>
      </c>
      <c r="Q32" s="219">
        <f>SUM(P11*Q11)</f>
        <v>200000</v>
      </c>
    </row>
    <row r="33" spans="3:17" x14ac:dyDescent="0.3">
      <c r="C33" s="304" t="s">
        <v>299</v>
      </c>
      <c r="D33" s="305"/>
      <c r="E33" s="305"/>
      <c r="F33" s="306"/>
      <c r="H33" s="217">
        <f>H12</f>
        <v>2</v>
      </c>
      <c r="I33" s="219">
        <f>SUM(H12*I12)</f>
        <v>90000</v>
      </c>
      <c r="J33" s="217">
        <f>J12</f>
        <v>1</v>
      </c>
      <c r="K33" s="219">
        <f>SUM(J12*K12)</f>
        <v>46000</v>
      </c>
      <c r="L33" s="217">
        <f>L12</f>
        <v>1</v>
      </c>
      <c r="M33" s="219">
        <f>SUM(L12*M12)</f>
        <v>46500</v>
      </c>
      <c r="N33" s="217">
        <f>N12</f>
        <v>1</v>
      </c>
      <c r="O33" s="219">
        <f>SUM(N12*O12)</f>
        <v>46750</v>
      </c>
      <c r="P33" s="217">
        <f>P12</f>
        <v>1</v>
      </c>
      <c r="Q33" s="219">
        <f>SUM(P12*Q12)</f>
        <v>47000</v>
      </c>
    </row>
    <row r="34" spans="3:17" x14ac:dyDescent="0.3">
      <c r="C34" s="304" t="s">
        <v>300</v>
      </c>
      <c r="D34" s="305"/>
      <c r="E34" s="305"/>
      <c r="F34" s="306"/>
      <c r="G34" s="244"/>
      <c r="H34" s="217">
        <f t="shared" ref="H34:H38" si="0">H13</f>
        <v>2</v>
      </c>
      <c r="I34" s="219">
        <f t="shared" ref="I34:I38" si="1">SUM(H13*I13)</f>
        <v>90000</v>
      </c>
      <c r="J34" s="217">
        <f t="shared" ref="J34:J38" si="2">J13</f>
        <v>1</v>
      </c>
      <c r="K34" s="219">
        <f t="shared" ref="K34:K38" si="3">SUM(J13*K13)</f>
        <v>45000</v>
      </c>
      <c r="L34" s="217">
        <f t="shared" ref="L34:L38" si="4">L13</f>
        <v>1</v>
      </c>
      <c r="M34" s="219">
        <f t="shared" ref="M34:M38" si="5">SUM(L13*M13)</f>
        <v>45000</v>
      </c>
      <c r="N34" s="217">
        <f t="shared" ref="N34:N38" si="6">N13</f>
        <v>1</v>
      </c>
      <c r="O34" s="219">
        <f t="shared" ref="O34:O38" si="7">SUM(N13*O13)</f>
        <v>45500</v>
      </c>
      <c r="P34" s="217">
        <f t="shared" ref="P34:P38" si="8">P13</f>
        <v>1</v>
      </c>
      <c r="Q34" s="219">
        <f t="shared" ref="Q34:Q38" si="9">SUM(P13*Q13)</f>
        <v>45500</v>
      </c>
    </row>
    <row r="35" spans="3:17" x14ac:dyDescent="0.3">
      <c r="C35" s="304" t="s">
        <v>301</v>
      </c>
      <c r="D35" s="305"/>
      <c r="E35" s="305"/>
      <c r="F35" s="306"/>
      <c r="H35" s="217">
        <f t="shared" si="0"/>
        <v>1</v>
      </c>
      <c r="I35" s="219">
        <f t="shared" si="1"/>
        <v>40000</v>
      </c>
      <c r="J35" s="217">
        <f t="shared" si="2"/>
        <v>1</v>
      </c>
      <c r="K35" s="219">
        <f t="shared" si="3"/>
        <v>40000</v>
      </c>
      <c r="L35" s="217">
        <f t="shared" si="4"/>
        <v>1</v>
      </c>
      <c r="M35" s="219">
        <f t="shared" si="5"/>
        <v>40000</v>
      </c>
      <c r="N35" s="217">
        <f t="shared" si="6"/>
        <v>1</v>
      </c>
      <c r="O35" s="219">
        <f t="shared" si="7"/>
        <v>40100</v>
      </c>
      <c r="P35" s="217">
        <f t="shared" si="8"/>
        <v>1</v>
      </c>
      <c r="Q35" s="219">
        <f t="shared" si="9"/>
        <v>40100</v>
      </c>
    </row>
    <row r="36" spans="3:17" x14ac:dyDescent="0.3">
      <c r="C36" s="304" t="s">
        <v>302</v>
      </c>
      <c r="D36" s="305"/>
      <c r="E36" s="305"/>
      <c r="F36" s="306"/>
      <c r="H36" s="217">
        <f t="shared" si="0"/>
        <v>2</v>
      </c>
      <c r="I36" s="219">
        <f t="shared" si="1"/>
        <v>74000</v>
      </c>
      <c r="J36" s="217">
        <f t="shared" si="2"/>
        <v>1</v>
      </c>
      <c r="K36" s="219">
        <f t="shared" si="3"/>
        <v>37000</v>
      </c>
      <c r="L36" s="217">
        <f t="shared" si="4"/>
        <v>1</v>
      </c>
      <c r="M36" s="219">
        <f t="shared" si="5"/>
        <v>37000</v>
      </c>
      <c r="N36" s="217">
        <f t="shared" si="6"/>
        <v>1</v>
      </c>
      <c r="O36" s="219">
        <f t="shared" si="7"/>
        <v>37200</v>
      </c>
      <c r="P36" s="217">
        <f t="shared" si="8"/>
        <v>1</v>
      </c>
      <c r="Q36" s="219">
        <f t="shared" si="9"/>
        <v>37200</v>
      </c>
    </row>
    <row r="37" spans="3:17" x14ac:dyDescent="0.3">
      <c r="C37" s="304" t="s">
        <v>303</v>
      </c>
      <c r="D37" s="305"/>
      <c r="E37" s="305"/>
      <c r="F37" s="306"/>
      <c r="H37" s="217">
        <f t="shared" si="0"/>
        <v>4</v>
      </c>
      <c r="I37" s="219">
        <f t="shared" si="1"/>
        <v>148000</v>
      </c>
      <c r="J37" s="217">
        <f t="shared" si="2"/>
        <v>1</v>
      </c>
      <c r="K37" s="219">
        <f t="shared" si="3"/>
        <v>37000</v>
      </c>
      <c r="L37" s="217">
        <f t="shared" si="4"/>
        <v>1</v>
      </c>
      <c r="M37" s="219">
        <f t="shared" si="5"/>
        <v>37000</v>
      </c>
      <c r="N37" s="217">
        <f t="shared" si="6"/>
        <v>1</v>
      </c>
      <c r="O37" s="219">
        <f t="shared" si="7"/>
        <v>37000</v>
      </c>
      <c r="P37" s="217">
        <f t="shared" si="8"/>
        <v>1</v>
      </c>
      <c r="Q37" s="219">
        <f t="shared" si="9"/>
        <v>37000</v>
      </c>
    </row>
    <row r="38" spans="3:17" x14ac:dyDescent="0.3">
      <c r="C38" s="304" t="s">
        <v>304</v>
      </c>
      <c r="D38" s="305"/>
      <c r="E38" s="305"/>
      <c r="F38" s="306"/>
      <c r="H38" s="217">
        <f t="shared" si="0"/>
        <v>2</v>
      </c>
      <c r="I38" s="219">
        <f t="shared" si="1"/>
        <v>72000</v>
      </c>
      <c r="J38" s="217">
        <f t="shared" si="2"/>
        <v>1</v>
      </c>
      <c r="K38" s="219">
        <f t="shared" si="3"/>
        <v>36000</v>
      </c>
      <c r="L38" s="217">
        <f t="shared" si="4"/>
        <v>1</v>
      </c>
      <c r="M38" s="219">
        <f t="shared" si="5"/>
        <v>36000</v>
      </c>
      <c r="N38" s="217">
        <f t="shared" si="6"/>
        <v>1</v>
      </c>
      <c r="O38" s="219">
        <f t="shared" si="7"/>
        <v>36000</v>
      </c>
      <c r="P38" s="217">
        <f t="shared" si="8"/>
        <v>1</v>
      </c>
      <c r="Q38" s="219">
        <f t="shared" si="9"/>
        <v>36000</v>
      </c>
    </row>
    <row r="39" spans="3:17" x14ac:dyDescent="0.3">
      <c r="C39" s="304"/>
      <c r="D39" s="305"/>
      <c r="E39" s="305"/>
      <c r="F39" s="306"/>
      <c r="H39" s="217"/>
      <c r="I39" s="219"/>
      <c r="J39" s="217"/>
      <c r="K39" s="219"/>
      <c r="L39" s="217"/>
      <c r="M39" s="219"/>
      <c r="N39" s="217"/>
      <c r="O39" s="219"/>
      <c r="P39" s="217"/>
      <c r="Q39" s="219"/>
    </row>
    <row r="40" spans="3:17" x14ac:dyDescent="0.3">
      <c r="C40" s="304"/>
      <c r="D40" s="305"/>
      <c r="E40" s="305"/>
      <c r="F40" s="306"/>
      <c r="H40" s="217"/>
      <c r="I40" s="219"/>
      <c r="J40" s="217"/>
      <c r="K40" s="219"/>
      <c r="L40" s="217"/>
      <c r="M40" s="219"/>
      <c r="N40" s="217"/>
      <c r="O40" s="219"/>
      <c r="P40" s="217"/>
      <c r="Q40" s="219"/>
    </row>
    <row r="41" spans="3:17" x14ac:dyDescent="0.3">
      <c r="C41" s="356"/>
      <c r="D41" s="357"/>
      <c r="E41" s="357"/>
      <c r="F41" s="358"/>
      <c r="H41" s="217"/>
      <c r="I41" s="218"/>
      <c r="J41" s="217"/>
      <c r="K41" s="219"/>
      <c r="L41" s="218"/>
      <c r="M41" s="218"/>
      <c r="N41" s="217"/>
      <c r="O41" s="219"/>
      <c r="P41" s="218"/>
      <c r="Q41" s="219"/>
    </row>
    <row r="42" spans="3:17" x14ac:dyDescent="0.3">
      <c r="C42" s="356"/>
      <c r="D42" s="357"/>
      <c r="E42" s="357"/>
      <c r="F42" s="358"/>
      <c r="H42" s="217"/>
      <c r="I42" s="218"/>
      <c r="J42" s="217"/>
      <c r="K42" s="219"/>
      <c r="L42" s="218"/>
      <c r="M42" s="218"/>
      <c r="N42" s="217"/>
      <c r="O42" s="219"/>
      <c r="P42" s="218"/>
      <c r="Q42" s="219"/>
    </row>
    <row r="43" spans="3:17" x14ac:dyDescent="0.3">
      <c r="C43" s="356"/>
      <c r="D43" s="357"/>
      <c r="E43" s="357"/>
      <c r="F43" s="358"/>
      <c r="H43" s="217"/>
      <c r="I43" s="218"/>
      <c r="J43" s="217"/>
      <c r="K43" s="219"/>
      <c r="L43" s="218"/>
      <c r="M43" s="218"/>
      <c r="N43" s="217"/>
      <c r="O43" s="219"/>
      <c r="P43" s="218"/>
      <c r="Q43" s="219"/>
    </row>
    <row r="44" spans="3:17" x14ac:dyDescent="0.3">
      <c r="C44" s="356"/>
      <c r="D44" s="357"/>
      <c r="E44" s="357"/>
      <c r="F44" s="358"/>
      <c r="H44" s="217"/>
      <c r="I44" s="218"/>
      <c r="J44" s="217"/>
      <c r="K44" s="219"/>
      <c r="L44" s="218"/>
      <c r="M44" s="218"/>
      <c r="N44" s="217"/>
      <c r="O44" s="219"/>
      <c r="P44" s="218"/>
      <c r="Q44" s="219"/>
    </row>
    <row r="45" spans="3:17" x14ac:dyDescent="0.3">
      <c r="C45" s="356"/>
      <c r="D45" s="357"/>
      <c r="E45" s="357"/>
      <c r="F45" s="358"/>
      <c r="H45" s="217"/>
      <c r="I45" s="218"/>
      <c r="J45" s="217"/>
      <c r="K45" s="219"/>
      <c r="L45" s="218"/>
      <c r="M45" s="218"/>
      <c r="N45" s="217"/>
      <c r="O45" s="219"/>
      <c r="P45" s="218"/>
      <c r="Q45" s="219"/>
    </row>
    <row r="46" spans="3:17" x14ac:dyDescent="0.3">
      <c r="C46" s="356"/>
      <c r="D46" s="357"/>
      <c r="E46" s="357"/>
      <c r="F46" s="358"/>
      <c r="H46" s="217"/>
      <c r="I46" s="218"/>
      <c r="J46" s="217"/>
      <c r="K46" s="219"/>
      <c r="L46" s="218"/>
      <c r="M46" s="218"/>
      <c r="N46" s="217"/>
      <c r="O46" s="219"/>
      <c r="P46" s="218"/>
      <c r="Q46" s="219"/>
    </row>
    <row r="47" spans="3:17" x14ac:dyDescent="0.3">
      <c r="C47" s="356"/>
      <c r="D47" s="357"/>
      <c r="E47" s="357"/>
      <c r="F47" s="358"/>
      <c r="H47" s="217"/>
      <c r="I47" s="218"/>
      <c r="J47" s="217"/>
      <c r="K47" s="219"/>
      <c r="L47" s="218"/>
      <c r="M47" s="218"/>
      <c r="N47" s="217"/>
      <c r="O47" s="219"/>
      <c r="P47" s="218"/>
      <c r="Q47" s="219"/>
    </row>
    <row r="48" spans="3:17" x14ac:dyDescent="0.3">
      <c r="C48" s="356"/>
      <c r="D48" s="357"/>
      <c r="E48" s="357"/>
      <c r="F48" s="358"/>
      <c r="H48" s="217"/>
      <c r="I48" s="218"/>
      <c r="J48" s="217"/>
      <c r="K48" s="219"/>
      <c r="L48" s="218"/>
      <c r="M48" s="218"/>
      <c r="N48" s="217"/>
      <c r="O48" s="219"/>
      <c r="P48" s="218"/>
      <c r="Q48" s="219"/>
    </row>
    <row r="49" spans="3:17" x14ac:dyDescent="0.3">
      <c r="C49" s="371"/>
      <c r="D49" s="372"/>
      <c r="E49" s="372"/>
      <c r="F49" s="373"/>
      <c r="H49" s="217"/>
      <c r="I49" s="218"/>
      <c r="J49" s="217"/>
      <c r="K49" s="219"/>
      <c r="L49" s="218"/>
      <c r="M49" s="218"/>
      <c r="N49" s="217"/>
      <c r="O49" s="219"/>
      <c r="P49" s="218"/>
      <c r="Q49" s="219"/>
    </row>
  </sheetData>
  <mergeCells count="36">
    <mergeCell ref="C47:F47"/>
    <mergeCell ref="C48:F48"/>
    <mergeCell ref="C49:F49"/>
    <mergeCell ref="C41:F41"/>
    <mergeCell ref="C42:F42"/>
    <mergeCell ref="C43:F43"/>
    <mergeCell ref="C44:F44"/>
    <mergeCell ref="C45:F45"/>
    <mergeCell ref="C46:F46"/>
    <mergeCell ref="L29:M29"/>
    <mergeCell ref="N29:O29"/>
    <mergeCell ref="P29:Q29"/>
    <mergeCell ref="C30:F30"/>
    <mergeCell ref="C31:F31"/>
    <mergeCell ref="H29:I29"/>
    <mergeCell ref="J29:K29"/>
    <mergeCell ref="C32:F32"/>
    <mergeCell ref="C26:F26"/>
    <mergeCell ref="C27:F27"/>
    <mergeCell ref="C28:F28"/>
    <mergeCell ref="C29:F29"/>
    <mergeCell ref="C25:F25"/>
    <mergeCell ref="C2:I2"/>
    <mergeCell ref="C5:I5"/>
    <mergeCell ref="H7:Q7"/>
    <mergeCell ref="C8:F8"/>
    <mergeCell ref="H8:I8"/>
    <mergeCell ref="J8:K8"/>
    <mergeCell ref="L8:M8"/>
    <mergeCell ref="N8:O8"/>
    <mergeCell ref="P8:Q8"/>
    <mergeCell ref="C9:F9"/>
    <mergeCell ref="C10:F10"/>
    <mergeCell ref="C11:F11"/>
    <mergeCell ref="C23:F23"/>
    <mergeCell ref="C24:F2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808-8A50-40B6-9620-FEAE4C53CF38}">
  <sheetPr codeName="Sheet39"/>
  <dimension ref="C2:Q46"/>
  <sheetViews>
    <sheetView showGridLines="0" workbookViewId="0">
      <selection activeCell="H38" sqref="H38:Q38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359" t="s">
        <v>218</v>
      </c>
      <c r="D2" s="360"/>
      <c r="E2" s="360"/>
      <c r="F2" s="360"/>
      <c r="G2" s="360"/>
      <c r="H2" s="360"/>
      <c r="I2" s="361"/>
    </row>
    <row r="6" spans="3:17" x14ac:dyDescent="0.3">
      <c r="H6" s="334" t="s">
        <v>283</v>
      </c>
      <c r="I6" s="334"/>
      <c r="J6" s="334"/>
      <c r="K6" s="334"/>
      <c r="L6" s="334"/>
      <c r="M6" s="334"/>
      <c r="N6" s="334"/>
      <c r="O6" s="334"/>
      <c r="P6" s="334"/>
      <c r="Q6" s="334"/>
    </row>
    <row r="7" spans="3:17" x14ac:dyDescent="0.3">
      <c r="H7" s="375">
        <v>2023</v>
      </c>
      <c r="I7" s="375"/>
      <c r="J7" s="375">
        <v>2024</v>
      </c>
      <c r="K7" s="375"/>
      <c r="L7" s="375">
        <v>2025</v>
      </c>
      <c r="M7" s="375"/>
      <c r="N7" s="375">
        <v>2026</v>
      </c>
      <c r="O7" s="375"/>
      <c r="P7" s="375">
        <v>2027</v>
      </c>
      <c r="Q7" s="375"/>
    </row>
    <row r="8" spans="3:17" x14ac:dyDescent="0.3">
      <c r="C8" s="368" t="s">
        <v>237</v>
      </c>
      <c r="D8" s="369"/>
      <c r="E8" s="369"/>
      <c r="F8" s="237"/>
      <c r="H8" s="374"/>
      <c r="I8" s="374"/>
      <c r="J8" s="374">
        <f>(J24-H24)/J24</f>
        <v>0.1111111111111111</v>
      </c>
      <c r="K8" s="374"/>
      <c r="L8" s="374">
        <f t="shared" ref="L8" si="0">(L24-J24)/L24</f>
        <v>4.2553191489361701E-2</v>
      </c>
      <c r="M8" s="374"/>
      <c r="N8" s="374">
        <f t="shared" ref="N8" si="1">(N24-L24)/N24</f>
        <v>2.0833333333333332E-2</v>
      </c>
      <c r="O8" s="374"/>
      <c r="P8" s="374">
        <f t="shared" ref="P8" si="2">(P24-N24)/P24</f>
        <v>0.04</v>
      </c>
      <c r="Q8" s="374"/>
    </row>
    <row r="9" spans="3:17" x14ac:dyDescent="0.3">
      <c r="C9" s="356" t="s">
        <v>238</v>
      </c>
      <c r="D9" s="357"/>
      <c r="E9" s="357"/>
      <c r="F9" s="238"/>
      <c r="H9" s="374"/>
      <c r="I9" s="374"/>
      <c r="J9" s="374">
        <f t="shared" ref="J9:J13" si="3">(J25-H25)/J25</f>
        <v>0.1111111111111111</v>
      </c>
      <c r="K9" s="374"/>
      <c r="L9" s="374">
        <f t="shared" ref="L9:L13" si="4">(L25-J25)/L25</f>
        <v>4.2553191489361701E-2</v>
      </c>
      <c r="M9" s="374"/>
      <c r="N9" s="374">
        <f t="shared" ref="N9:N13" si="5">(N25-L25)/N25</f>
        <v>2.0833333333333332E-2</v>
      </c>
      <c r="O9" s="374"/>
      <c r="P9" s="374">
        <f t="shared" ref="P9:P13" si="6">(P25-N25)/P25</f>
        <v>7.6923076923076927E-2</v>
      </c>
      <c r="Q9" s="374"/>
    </row>
    <row r="10" spans="3:17" x14ac:dyDescent="0.3">
      <c r="C10" s="356" t="s">
        <v>239</v>
      </c>
      <c r="D10" s="357"/>
      <c r="E10" s="357"/>
      <c r="F10" s="238"/>
      <c r="H10" s="374"/>
      <c r="I10" s="374"/>
      <c r="J10" s="374">
        <f t="shared" si="3"/>
        <v>3.8095238095238099E-2</v>
      </c>
      <c r="K10" s="374"/>
      <c r="L10" s="374">
        <f t="shared" si="4"/>
        <v>0.11016949152542373</v>
      </c>
      <c r="M10" s="374"/>
      <c r="N10" s="374">
        <f t="shared" si="5"/>
        <v>2.0746887966804978E-2</v>
      </c>
      <c r="O10" s="374"/>
      <c r="P10" s="374">
        <f t="shared" si="6"/>
        <v>7.662835249042145E-2</v>
      </c>
      <c r="Q10" s="374"/>
    </row>
    <row r="11" spans="3:17" x14ac:dyDescent="0.3">
      <c r="C11" s="356" t="s">
        <v>240</v>
      </c>
      <c r="D11" s="357"/>
      <c r="E11" s="357"/>
      <c r="F11" s="238"/>
      <c r="H11" s="374"/>
      <c r="I11" s="374"/>
      <c r="J11" s="374">
        <f t="shared" si="3"/>
        <v>3.3333333333333333E-2</v>
      </c>
      <c r="K11" s="374"/>
      <c r="L11" s="374">
        <f t="shared" si="4"/>
        <v>0.11392405063291139</v>
      </c>
      <c r="M11" s="374"/>
      <c r="N11" s="374">
        <f t="shared" si="5"/>
        <v>2.0661157024793389E-2</v>
      </c>
      <c r="O11" s="374"/>
      <c r="P11" s="374">
        <f t="shared" si="6"/>
        <v>7.6335877862595422E-2</v>
      </c>
      <c r="Q11" s="374"/>
    </row>
    <row r="12" spans="3:17" x14ac:dyDescent="0.3">
      <c r="C12" s="356" t="s">
        <v>241</v>
      </c>
      <c r="D12" s="357"/>
      <c r="E12" s="357"/>
      <c r="F12" s="238"/>
      <c r="H12" s="374"/>
      <c r="I12" s="374"/>
      <c r="J12" s="374">
        <f t="shared" si="3"/>
        <v>2.8571428571428571E-2</v>
      </c>
      <c r="K12" s="374"/>
      <c r="L12" s="374">
        <f t="shared" si="4"/>
        <v>0.11764705882352941</v>
      </c>
      <c r="M12" s="374"/>
      <c r="N12" s="374">
        <f t="shared" si="5"/>
        <v>2.0576131687242798E-2</v>
      </c>
      <c r="O12" s="374"/>
      <c r="P12" s="374">
        <f t="shared" si="6"/>
        <v>7.6045627376425853E-2</v>
      </c>
      <c r="Q12" s="374"/>
    </row>
    <row r="13" spans="3:17" x14ac:dyDescent="0.3">
      <c r="C13" s="371" t="s">
        <v>242</v>
      </c>
      <c r="D13" s="372"/>
      <c r="E13" s="372"/>
      <c r="F13" s="239"/>
      <c r="H13" s="374"/>
      <c r="I13" s="374"/>
      <c r="J13" s="374">
        <f t="shared" si="3"/>
        <v>2.3809523809523808E-2</v>
      </c>
      <c r="K13" s="374"/>
      <c r="L13" s="374">
        <f t="shared" si="4"/>
        <v>0.12133891213389121</v>
      </c>
      <c r="M13" s="374"/>
      <c r="N13" s="374">
        <f t="shared" si="5"/>
        <v>2.0491803278688523E-2</v>
      </c>
      <c r="O13" s="374"/>
      <c r="P13" s="374">
        <f t="shared" si="6"/>
        <v>7.575757575757576E-2</v>
      </c>
      <c r="Q13" s="374"/>
    </row>
    <row r="15" spans="3:17" x14ac:dyDescent="0.3">
      <c r="H15" s="376" t="s">
        <v>215</v>
      </c>
      <c r="I15" s="376"/>
      <c r="J15" s="376"/>
      <c r="K15" s="376"/>
      <c r="L15" s="376"/>
      <c r="M15" s="376"/>
      <c r="N15" s="376"/>
      <c r="O15" s="376"/>
      <c r="P15" s="376"/>
      <c r="Q15" s="376"/>
    </row>
    <row r="16" spans="3:17" x14ac:dyDescent="0.3">
      <c r="C16" s="368" t="s">
        <v>237</v>
      </c>
      <c r="D16" s="369"/>
      <c r="E16" s="369"/>
      <c r="F16" s="237"/>
      <c r="H16" s="377">
        <v>5</v>
      </c>
      <c r="I16" s="377"/>
      <c r="J16" s="377">
        <v>9</v>
      </c>
      <c r="K16" s="377"/>
      <c r="L16" s="377">
        <v>10</v>
      </c>
      <c r="M16" s="377"/>
      <c r="N16" s="377">
        <v>12</v>
      </c>
      <c r="O16" s="377"/>
      <c r="P16" s="377">
        <v>15</v>
      </c>
      <c r="Q16" s="377"/>
    </row>
    <row r="17" spans="3:17" x14ac:dyDescent="0.3">
      <c r="C17" s="356" t="s">
        <v>238</v>
      </c>
      <c r="D17" s="357"/>
      <c r="E17" s="357"/>
      <c r="F17" s="238"/>
      <c r="H17" s="377">
        <v>6</v>
      </c>
      <c r="I17" s="377"/>
      <c r="J17" s="377">
        <v>9</v>
      </c>
      <c r="K17" s="377"/>
      <c r="L17" s="377">
        <v>12</v>
      </c>
      <c r="M17" s="377"/>
      <c r="N17" s="377">
        <v>12</v>
      </c>
      <c r="O17" s="377"/>
      <c r="P17" s="377">
        <v>16</v>
      </c>
      <c r="Q17" s="377"/>
    </row>
    <row r="18" spans="3:17" x14ac:dyDescent="0.3">
      <c r="C18" s="356" t="s">
        <v>239</v>
      </c>
      <c r="D18" s="357"/>
      <c r="E18" s="357"/>
      <c r="F18" s="238"/>
      <c r="H18" s="377">
        <v>5</v>
      </c>
      <c r="I18" s="377"/>
      <c r="J18" s="377">
        <v>9</v>
      </c>
      <c r="K18" s="377"/>
      <c r="L18" s="377">
        <v>12</v>
      </c>
      <c r="M18" s="377"/>
      <c r="N18" s="377">
        <v>12</v>
      </c>
      <c r="O18" s="377"/>
      <c r="P18" s="377">
        <v>17</v>
      </c>
      <c r="Q18" s="377"/>
    </row>
    <row r="19" spans="3:17" x14ac:dyDescent="0.3">
      <c r="C19" s="356" t="s">
        <v>240</v>
      </c>
      <c r="D19" s="357"/>
      <c r="E19" s="357"/>
      <c r="F19" s="238"/>
      <c r="H19" s="377">
        <v>5</v>
      </c>
      <c r="I19" s="377"/>
      <c r="J19" s="377">
        <v>9</v>
      </c>
      <c r="K19" s="377"/>
      <c r="L19" s="377">
        <v>12</v>
      </c>
      <c r="M19" s="377"/>
      <c r="N19" s="377">
        <v>15</v>
      </c>
      <c r="O19" s="377"/>
      <c r="P19" s="377">
        <v>15</v>
      </c>
      <c r="Q19" s="377"/>
    </row>
    <row r="20" spans="3:17" x14ac:dyDescent="0.3">
      <c r="C20" s="356" t="s">
        <v>241</v>
      </c>
      <c r="D20" s="357"/>
      <c r="E20" s="357"/>
      <c r="F20" s="238"/>
      <c r="H20" s="377">
        <v>7</v>
      </c>
      <c r="I20" s="377"/>
      <c r="J20" s="377">
        <v>9</v>
      </c>
      <c r="K20" s="377"/>
      <c r="L20" s="377">
        <v>12</v>
      </c>
      <c r="M20" s="377"/>
      <c r="N20" s="377">
        <v>15</v>
      </c>
      <c r="O20" s="377"/>
      <c r="P20" s="377">
        <v>15</v>
      </c>
      <c r="Q20" s="377"/>
    </row>
    <row r="21" spans="3:17" x14ac:dyDescent="0.3">
      <c r="C21" s="371" t="s">
        <v>242</v>
      </c>
      <c r="D21" s="372"/>
      <c r="E21" s="372"/>
      <c r="F21" s="239"/>
      <c r="H21" s="377">
        <v>4</v>
      </c>
      <c r="I21" s="377"/>
      <c r="J21" s="377">
        <v>9</v>
      </c>
      <c r="K21" s="377"/>
      <c r="L21" s="377">
        <v>12</v>
      </c>
      <c r="M21" s="377"/>
      <c r="N21" s="377">
        <v>15</v>
      </c>
      <c r="O21" s="377"/>
      <c r="P21" s="377">
        <v>19</v>
      </c>
      <c r="Q21" s="377"/>
    </row>
    <row r="23" spans="3:17" x14ac:dyDescent="0.3">
      <c r="H23" s="376" t="s">
        <v>216</v>
      </c>
      <c r="I23" s="376"/>
      <c r="J23" s="376"/>
      <c r="K23" s="376"/>
      <c r="L23" s="376"/>
      <c r="M23" s="376"/>
      <c r="N23" s="376"/>
      <c r="O23" s="376"/>
      <c r="P23" s="376"/>
      <c r="Q23" s="376"/>
    </row>
    <row r="24" spans="3:17" x14ac:dyDescent="0.3">
      <c r="C24" s="368" t="s">
        <v>237</v>
      </c>
      <c r="D24" s="369"/>
      <c r="E24" s="369"/>
      <c r="F24" s="237"/>
      <c r="H24" s="377">
        <v>200</v>
      </c>
      <c r="I24" s="377"/>
      <c r="J24" s="377">
        <v>225</v>
      </c>
      <c r="K24" s="377"/>
      <c r="L24" s="377">
        <v>235</v>
      </c>
      <c r="M24" s="377"/>
      <c r="N24" s="377">
        <v>240</v>
      </c>
      <c r="O24" s="377"/>
      <c r="P24" s="377">
        <v>250</v>
      </c>
      <c r="Q24" s="377"/>
    </row>
    <row r="25" spans="3:17" x14ac:dyDescent="0.3">
      <c r="C25" s="356" t="s">
        <v>238</v>
      </c>
      <c r="D25" s="357"/>
      <c r="E25" s="357"/>
      <c r="F25" s="238"/>
      <c r="H25" s="377">
        <v>200</v>
      </c>
      <c r="I25" s="377"/>
      <c r="J25" s="377">
        <v>225</v>
      </c>
      <c r="K25" s="377"/>
      <c r="L25" s="377">
        <v>235</v>
      </c>
      <c r="M25" s="377"/>
      <c r="N25" s="377">
        <v>240</v>
      </c>
      <c r="O25" s="377"/>
      <c r="P25" s="377">
        <v>260</v>
      </c>
      <c r="Q25" s="377"/>
    </row>
    <row r="26" spans="3:17" x14ac:dyDescent="0.3">
      <c r="C26" s="356" t="s">
        <v>239</v>
      </c>
      <c r="D26" s="357"/>
      <c r="E26" s="357"/>
      <c r="F26" s="238"/>
      <c r="H26" s="377">
        <v>202</v>
      </c>
      <c r="I26" s="377"/>
      <c r="J26" s="377">
        <v>210</v>
      </c>
      <c r="K26" s="377"/>
      <c r="L26" s="377">
        <v>236</v>
      </c>
      <c r="M26" s="377"/>
      <c r="N26" s="377">
        <v>241</v>
      </c>
      <c r="O26" s="377"/>
      <c r="P26" s="377">
        <v>261</v>
      </c>
      <c r="Q26" s="377"/>
    </row>
    <row r="27" spans="3:17" x14ac:dyDescent="0.3">
      <c r="C27" s="356" t="s">
        <v>240</v>
      </c>
      <c r="D27" s="357"/>
      <c r="E27" s="357"/>
      <c r="F27" s="238"/>
      <c r="H27" s="377">
        <v>203</v>
      </c>
      <c r="I27" s="377"/>
      <c r="J27" s="377">
        <v>210</v>
      </c>
      <c r="K27" s="377"/>
      <c r="L27" s="377">
        <v>237</v>
      </c>
      <c r="M27" s="377"/>
      <c r="N27" s="377">
        <v>242</v>
      </c>
      <c r="O27" s="377"/>
      <c r="P27" s="377">
        <v>262</v>
      </c>
      <c r="Q27" s="377"/>
    </row>
    <row r="28" spans="3:17" x14ac:dyDescent="0.3">
      <c r="C28" s="356" t="s">
        <v>241</v>
      </c>
      <c r="D28" s="357"/>
      <c r="E28" s="357"/>
      <c r="F28" s="238"/>
      <c r="H28" s="377">
        <v>204</v>
      </c>
      <c r="I28" s="377"/>
      <c r="J28" s="377">
        <v>210</v>
      </c>
      <c r="K28" s="377"/>
      <c r="L28" s="377">
        <v>238</v>
      </c>
      <c r="M28" s="377"/>
      <c r="N28" s="377">
        <v>243</v>
      </c>
      <c r="O28" s="377"/>
      <c r="P28" s="377">
        <v>263</v>
      </c>
      <c r="Q28" s="377"/>
    </row>
    <row r="29" spans="3:17" x14ac:dyDescent="0.3">
      <c r="C29" s="371" t="s">
        <v>242</v>
      </c>
      <c r="D29" s="372"/>
      <c r="E29" s="372"/>
      <c r="F29" s="239"/>
      <c r="H29" s="377">
        <v>205</v>
      </c>
      <c r="I29" s="377"/>
      <c r="J29" s="377">
        <v>210</v>
      </c>
      <c r="K29" s="377"/>
      <c r="L29" s="377">
        <v>239</v>
      </c>
      <c r="M29" s="377"/>
      <c r="N29" s="377">
        <v>244</v>
      </c>
      <c r="O29" s="377"/>
      <c r="P29" s="377">
        <v>264</v>
      </c>
      <c r="Q29" s="377"/>
    </row>
    <row r="31" spans="3:17" x14ac:dyDescent="0.3">
      <c r="H31" s="376" t="s">
        <v>217</v>
      </c>
      <c r="I31" s="376"/>
      <c r="J31" s="376"/>
      <c r="K31" s="376"/>
      <c r="L31" s="376"/>
      <c r="M31" s="376"/>
      <c r="N31" s="376"/>
      <c r="O31" s="376"/>
      <c r="P31" s="376"/>
      <c r="Q31" s="376"/>
    </row>
    <row r="32" spans="3:17" x14ac:dyDescent="0.3">
      <c r="C32" s="368" t="s">
        <v>237</v>
      </c>
      <c r="D32" s="369"/>
      <c r="E32" s="369"/>
      <c r="F32" s="237"/>
      <c r="H32" s="377">
        <v>345</v>
      </c>
      <c r="I32" s="377"/>
      <c r="J32" s="377">
        <v>355</v>
      </c>
      <c r="K32" s="377"/>
      <c r="L32" s="377">
        <v>360</v>
      </c>
      <c r="M32" s="377"/>
      <c r="N32" s="377">
        <v>370</v>
      </c>
      <c r="O32" s="377"/>
      <c r="P32" s="377">
        <v>400</v>
      </c>
      <c r="Q32" s="377"/>
    </row>
    <row r="33" spans="3:17" x14ac:dyDescent="0.3">
      <c r="C33" s="356" t="s">
        <v>238</v>
      </c>
      <c r="D33" s="357"/>
      <c r="E33" s="357"/>
      <c r="F33" s="238"/>
      <c r="H33" s="377">
        <v>300</v>
      </c>
      <c r="I33" s="377"/>
      <c r="J33" s="377">
        <v>300</v>
      </c>
      <c r="K33" s="377"/>
      <c r="L33" s="377">
        <v>310</v>
      </c>
      <c r="M33" s="377"/>
      <c r="N33" s="377">
        <v>340</v>
      </c>
      <c r="O33" s="377"/>
      <c r="P33" s="377">
        <v>400</v>
      </c>
      <c r="Q33" s="377"/>
    </row>
    <row r="34" spans="3:17" x14ac:dyDescent="0.3">
      <c r="C34" s="356" t="s">
        <v>239</v>
      </c>
      <c r="D34" s="357"/>
      <c r="E34" s="357"/>
      <c r="F34" s="238"/>
      <c r="H34" s="377">
        <v>280</v>
      </c>
      <c r="I34" s="377"/>
      <c r="J34" s="377">
        <v>281</v>
      </c>
      <c r="K34" s="377"/>
      <c r="L34" s="377">
        <v>282</v>
      </c>
      <c r="M34" s="377"/>
      <c r="N34" s="377">
        <v>290</v>
      </c>
      <c r="O34" s="377"/>
      <c r="P34" s="377">
        <v>320</v>
      </c>
      <c r="Q34" s="377"/>
    </row>
    <row r="35" spans="3:17" x14ac:dyDescent="0.3">
      <c r="C35" s="356" t="s">
        <v>240</v>
      </c>
      <c r="D35" s="357"/>
      <c r="E35" s="357"/>
      <c r="F35" s="238"/>
      <c r="H35" s="377">
        <v>350</v>
      </c>
      <c r="I35" s="377"/>
      <c r="J35" s="377">
        <v>350</v>
      </c>
      <c r="K35" s="377"/>
      <c r="L35" s="377">
        <v>360</v>
      </c>
      <c r="M35" s="377"/>
      <c r="N35" s="377">
        <v>370</v>
      </c>
      <c r="O35" s="377"/>
      <c r="P35" s="377">
        <v>400</v>
      </c>
      <c r="Q35" s="377"/>
    </row>
    <row r="36" spans="3:17" x14ac:dyDescent="0.3">
      <c r="C36" s="356" t="s">
        <v>241</v>
      </c>
      <c r="D36" s="357"/>
      <c r="E36" s="357"/>
      <c r="F36" s="238"/>
      <c r="H36" s="377">
        <v>345</v>
      </c>
      <c r="I36" s="377"/>
      <c r="J36" s="377">
        <v>355</v>
      </c>
      <c r="K36" s="377"/>
      <c r="L36" s="377">
        <v>360</v>
      </c>
      <c r="M36" s="377"/>
      <c r="N36" s="377">
        <v>370</v>
      </c>
      <c r="O36" s="377"/>
      <c r="P36" s="377">
        <v>400</v>
      </c>
      <c r="Q36" s="377"/>
    </row>
    <row r="37" spans="3:17" x14ac:dyDescent="0.3">
      <c r="C37" s="371" t="s">
        <v>242</v>
      </c>
      <c r="D37" s="372"/>
      <c r="E37" s="372"/>
      <c r="F37" s="239"/>
      <c r="H37" s="377">
        <v>345</v>
      </c>
      <c r="I37" s="377"/>
      <c r="J37" s="377">
        <v>355</v>
      </c>
      <c r="K37" s="377"/>
      <c r="L37" s="377">
        <v>360</v>
      </c>
      <c r="M37" s="377"/>
      <c r="N37" s="377">
        <v>370</v>
      </c>
      <c r="O37" s="377"/>
      <c r="P37" s="377">
        <v>400</v>
      </c>
      <c r="Q37" s="377"/>
    </row>
    <row r="38" spans="3:17" x14ac:dyDescent="0.3">
      <c r="H38" s="334" t="s">
        <v>72</v>
      </c>
      <c r="I38" s="334"/>
      <c r="J38" s="334"/>
      <c r="K38" s="334"/>
      <c r="L38" s="334"/>
      <c r="M38" s="334"/>
      <c r="N38" s="334"/>
      <c r="O38" s="334"/>
      <c r="P38" s="334"/>
      <c r="Q38" s="334"/>
    </row>
    <row r="39" spans="3:17" x14ac:dyDescent="0.3">
      <c r="H39" s="378">
        <v>2023</v>
      </c>
      <c r="I39" s="378"/>
      <c r="J39" s="378">
        <v>2024</v>
      </c>
      <c r="K39" s="378"/>
      <c r="L39" s="378">
        <v>2025</v>
      </c>
      <c r="M39" s="378"/>
      <c r="N39" s="378">
        <v>2026</v>
      </c>
      <c r="O39" s="378"/>
      <c r="P39" s="378">
        <v>2027</v>
      </c>
      <c r="Q39" s="378"/>
    </row>
    <row r="40" spans="3:17" x14ac:dyDescent="0.3">
      <c r="C40" s="368" t="s">
        <v>237</v>
      </c>
      <c r="D40" s="369"/>
      <c r="E40" s="369"/>
      <c r="F40" s="237"/>
      <c r="H40" s="379">
        <f>(H16*H24*H32)</f>
        <v>345000</v>
      </c>
      <c r="I40" s="379"/>
      <c r="J40" s="379">
        <f t="shared" ref="J40" si="7">(J16*J24*J32)</f>
        <v>718875</v>
      </c>
      <c r="K40" s="379"/>
      <c r="L40" s="379">
        <f t="shared" ref="L40" si="8">(L16*L24*L32)</f>
        <v>846000</v>
      </c>
      <c r="M40" s="379"/>
      <c r="N40" s="379">
        <f t="shared" ref="N40" si="9">(N16*N24*N32)</f>
        <v>1065600</v>
      </c>
      <c r="O40" s="379"/>
      <c r="P40" s="379">
        <f t="shared" ref="P40" si="10">(P16*P24*P32)</f>
        <v>1500000</v>
      </c>
      <c r="Q40" s="379"/>
    </row>
    <row r="41" spans="3:17" x14ac:dyDescent="0.3">
      <c r="C41" s="356" t="s">
        <v>238</v>
      </c>
      <c r="D41" s="357"/>
      <c r="E41" s="357"/>
      <c r="F41" s="238"/>
      <c r="H41" s="379">
        <f t="shared" ref="H41:P45" si="11">(H17*H25*H33)</f>
        <v>360000</v>
      </c>
      <c r="I41" s="379"/>
      <c r="J41" s="379">
        <f t="shared" si="11"/>
        <v>607500</v>
      </c>
      <c r="K41" s="379"/>
      <c r="L41" s="379">
        <f t="shared" si="11"/>
        <v>874200</v>
      </c>
      <c r="M41" s="379"/>
      <c r="N41" s="379">
        <f t="shared" si="11"/>
        <v>979200</v>
      </c>
      <c r="O41" s="379"/>
      <c r="P41" s="379">
        <f t="shared" si="11"/>
        <v>1664000</v>
      </c>
      <c r="Q41" s="379"/>
    </row>
    <row r="42" spans="3:17" x14ac:dyDescent="0.3">
      <c r="C42" s="356" t="s">
        <v>239</v>
      </c>
      <c r="D42" s="357"/>
      <c r="E42" s="357"/>
      <c r="F42" s="238"/>
      <c r="H42" s="379">
        <f t="shared" si="11"/>
        <v>282800</v>
      </c>
      <c r="I42" s="379"/>
      <c r="J42" s="379">
        <f t="shared" si="11"/>
        <v>531090</v>
      </c>
      <c r="K42" s="379"/>
      <c r="L42" s="379">
        <f t="shared" si="11"/>
        <v>798624</v>
      </c>
      <c r="M42" s="379"/>
      <c r="N42" s="379">
        <f t="shared" si="11"/>
        <v>838680</v>
      </c>
      <c r="O42" s="379"/>
      <c r="P42" s="379">
        <f t="shared" si="11"/>
        <v>1419840</v>
      </c>
      <c r="Q42" s="379"/>
    </row>
    <row r="43" spans="3:17" x14ac:dyDescent="0.3">
      <c r="C43" s="356" t="s">
        <v>240</v>
      </c>
      <c r="D43" s="357"/>
      <c r="E43" s="357"/>
      <c r="F43" s="238"/>
      <c r="H43" s="379">
        <f t="shared" si="11"/>
        <v>355250</v>
      </c>
      <c r="I43" s="379"/>
      <c r="J43" s="379">
        <f t="shared" si="11"/>
        <v>661500</v>
      </c>
      <c r="K43" s="379"/>
      <c r="L43" s="379">
        <f t="shared" si="11"/>
        <v>1023840</v>
      </c>
      <c r="M43" s="379"/>
      <c r="N43" s="379">
        <f t="shared" si="11"/>
        <v>1343100</v>
      </c>
      <c r="O43" s="379"/>
      <c r="P43" s="379">
        <f t="shared" si="11"/>
        <v>1572000</v>
      </c>
      <c r="Q43" s="379"/>
    </row>
    <row r="44" spans="3:17" x14ac:dyDescent="0.3">
      <c r="C44" s="356" t="s">
        <v>241</v>
      </c>
      <c r="D44" s="357"/>
      <c r="E44" s="357"/>
      <c r="F44" s="238"/>
      <c r="H44" s="379">
        <f t="shared" si="11"/>
        <v>492660</v>
      </c>
      <c r="I44" s="379"/>
      <c r="J44" s="379">
        <f t="shared" si="11"/>
        <v>670950</v>
      </c>
      <c r="K44" s="379"/>
      <c r="L44" s="379">
        <f t="shared" si="11"/>
        <v>1028160</v>
      </c>
      <c r="M44" s="379"/>
      <c r="N44" s="379">
        <f t="shared" si="11"/>
        <v>1348650</v>
      </c>
      <c r="O44" s="379"/>
      <c r="P44" s="379">
        <f t="shared" si="11"/>
        <v>1578000</v>
      </c>
      <c r="Q44" s="379"/>
    </row>
    <row r="45" spans="3:17" x14ac:dyDescent="0.3">
      <c r="C45" s="371" t="s">
        <v>242</v>
      </c>
      <c r="D45" s="372"/>
      <c r="E45" s="372"/>
      <c r="F45" s="240"/>
      <c r="H45" s="379">
        <f t="shared" si="11"/>
        <v>282900</v>
      </c>
      <c r="I45" s="379"/>
      <c r="J45" s="379">
        <f t="shared" si="11"/>
        <v>670950</v>
      </c>
      <c r="K45" s="379"/>
      <c r="L45" s="379">
        <f t="shared" si="11"/>
        <v>1032480</v>
      </c>
      <c r="M45" s="379"/>
      <c r="N45" s="379">
        <f t="shared" si="11"/>
        <v>1354200</v>
      </c>
      <c r="O45" s="379"/>
      <c r="P45" s="379">
        <f t="shared" si="11"/>
        <v>2006400</v>
      </c>
      <c r="Q45" s="379"/>
    </row>
    <row r="46" spans="3:17" x14ac:dyDescent="0.3">
      <c r="C46" s="189"/>
      <c r="D46" s="189"/>
      <c r="E46" s="189"/>
      <c r="F46" s="189"/>
    </row>
  </sheetData>
  <mergeCells count="196">
    <mergeCell ref="C45:E45"/>
    <mergeCell ref="H45:I45"/>
    <mergeCell ref="J45:K45"/>
    <mergeCell ref="L45:M45"/>
    <mergeCell ref="N45:O45"/>
    <mergeCell ref="P45:Q45"/>
    <mergeCell ref="C44:E44"/>
    <mergeCell ref="H44:I44"/>
    <mergeCell ref="J44:K44"/>
    <mergeCell ref="L44:M44"/>
    <mergeCell ref="N44:O44"/>
    <mergeCell ref="P44:Q44"/>
    <mergeCell ref="C43:E43"/>
    <mergeCell ref="H43:I43"/>
    <mergeCell ref="J43:K43"/>
    <mergeCell ref="L43:M43"/>
    <mergeCell ref="N43:O43"/>
    <mergeCell ref="P43:Q43"/>
    <mergeCell ref="C42:E42"/>
    <mergeCell ref="H42:I42"/>
    <mergeCell ref="J42:K42"/>
    <mergeCell ref="L42:M42"/>
    <mergeCell ref="N42:O42"/>
    <mergeCell ref="P42:Q42"/>
    <mergeCell ref="C41:E41"/>
    <mergeCell ref="H41:I41"/>
    <mergeCell ref="J41:K41"/>
    <mergeCell ref="L41:M41"/>
    <mergeCell ref="N41:O41"/>
    <mergeCell ref="P41:Q41"/>
    <mergeCell ref="C40:E40"/>
    <mergeCell ref="H40:I40"/>
    <mergeCell ref="J40:K40"/>
    <mergeCell ref="L40:M40"/>
    <mergeCell ref="N40:O40"/>
    <mergeCell ref="P40:Q40"/>
    <mergeCell ref="H38:Q38"/>
    <mergeCell ref="H39:I39"/>
    <mergeCell ref="J39:K39"/>
    <mergeCell ref="L39:M39"/>
    <mergeCell ref="N39:O39"/>
    <mergeCell ref="P39:Q39"/>
    <mergeCell ref="C37:E37"/>
    <mergeCell ref="H37:I37"/>
    <mergeCell ref="J37:K37"/>
    <mergeCell ref="L37:M37"/>
    <mergeCell ref="N37:O37"/>
    <mergeCell ref="P37:Q37"/>
    <mergeCell ref="C36:E36"/>
    <mergeCell ref="H36:I36"/>
    <mergeCell ref="J36:K36"/>
    <mergeCell ref="L36:M36"/>
    <mergeCell ref="N36:O36"/>
    <mergeCell ref="P36:Q36"/>
    <mergeCell ref="C35:E35"/>
    <mergeCell ref="H35:I35"/>
    <mergeCell ref="J35:K35"/>
    <mergeCell ref="L35:M35"/>
    <mergeCell ref="N35:O35"/>
    <mergeCell ref="P35:Q35"/>
    <mergeCell ref="C34:E34"/>
    <mergeCell ref="H34:I34"/>
    <mergeCell ref="J34:K34"/>
    <mergeCell ref="L34:M34"/>
    <mergeCell ref="N34:O34"/>
    <mergeCell ref="P34:Q34"/>
    <mergeCell ref="C33:E33"/>
    <mergeCell ref="H33:I33"/>
    <mergeCell ref="J33:K33"/>
    <mergeCell ref="L33:M33"/>
    <mergeCell ref="N33:O33"/>
    <mergeCell ref="P33:Q33"/>
    <mergeCell ref="H31:Q31"/>
    <mergeCell ref="C32:E32"/>
    <mergeCell ref="H32:I32"/>
    <mergeCell ref="J32:K32"/>
    <mergeCell ref="L32:M32"/>
    <mergeCell ref="N32:O32"/>
    <mergeCell ref="P32:Q32"/>
    <mergeCell ref="C29:E29"/>
    <mergeCell ref="H29:I29"/>
    <mergeCell ref="J29:K29"/>
    <mergeCell ref="L29:M29"/>
    <mergeCell ref="N29:O29"/>
    <mergeCell ref="P29:Q29"/>
    <mergeCell ref="C28:E28"/>
    <mergeCell ref="H28:I28"/>
    <mergeCell ref="J28:K28"/>
    <mergeCell ref="L28:M28"/>
    <mergeCell ref="N28:O28"/>
    <mergeCell ref="P28:Q28"/>
    <mergeCell ref="C27:E27"/>
    <mergeCell ref="H27:I27"/>
    <mergeCell ref="J27:K27"/>
    <mergeCell ref="L27:M27"/>
    <mergeCell ref="N27:O27"/>
    <mergeCell ref="P27:Q27"/>
    <mergeCell ref="C26:E26"/>
    <mergeCell ref="H26:I26"/>
    <mergeCell ref="J26:K26"/>
    <mergeCell ref="L26:M26"/>
    <mergeCell ref="N26:O26"/>
    <mergeCell ref="P26:Q26"/>
    <mergeCell ref="C25:E25"/>
    <mergeCell ref="H25:I25"/>
    <mergeCell ref="J25:K25"/>
    <mergeCell ref="L25:M25"/>
    <mergeCell ref="N25:O25"/>
    <mergeCell ref="P25:Q25"/>
    <mergeCell ref="H23:Q23"/>
    <mergeCell ref="C24:E24"/>
    <mergeCell ref="H24:I24"/>
    <mergeCell ref="J24:K24"/>
    <mergeCell ref="L24:M24"/>
    <mergeCell ref="N24:O24"/>
    <mergeCell ref="P24:Q24"/>
    <mergeCell ref="C21:E21"/>
    <mergeCell ref="H21:I21"/>
    <mergeCell ref="J21:K21"/>
    <mergeCell ref="L21:M21"/>
    <mergeCell ref="N21:O21"/>
    <mergeCell ref="P21:Q21"/>
    <mergeCell ref="C20:E20"/>
    <mergeCell ref="H20:I20"/>
    <mergeCell ref="J20:K20"/>
    <mergeCell ref="L20:M20"/>
    <mergeCell ref="N20:O20"/>
    <mergeCell ref="P20:Q20"/>
    <mergeCell ref="C19:E19"/>
    <mergeCell ref="H19:I19"/>
    <mergeCell ref="J19:K19"/>
    <mergeCell ref="L19:M19"/>
    <mergeCell ref="N19:O19"/>
    <mergeCell ref="P19:Q19"/>
    <mergeCell ref="C18:E18"/>
    <mergeCell ref="H18:I18"/>
    <mergeCell ref="J18:K18"/>
    <mergeCell ref="L18:M18"/>
    <mergeCell ref="N18:O18"/>
    <mergeCell ref="P18:Q18"/>
    <mergeCell ref="C17:E17"/>
    <mergeCell ref="H17:I17"/>
    <mergeCell ref="J17:K17"/>
    <mergeCell ref="L17:M17"/>
    <mergeCell ref="N17:O17"/>
    <mergeCell ref="P17:Q17"/>
    <mergeCell ref="H15:Q15"/>
    <mergeCell ref="C16:E16"/>
    <mergeCell ref="H16:I16"/>
    <mergeCell ref="J16:K16"/>
    <mergeCell ref="L16:M16"/>
    <mergeCell ref="N16:O16"/>
    <mergeCell ref="P16:Q16"/>
    <mergeCell ref="C13:E13"/>
    <mergeCell ref="H13:I13"/>
    <mergeCell ref="J13:K13"/>
    <mergeCell ref="L13:M13"/>
    <mergeCell ref="N13:O13"/>
    <mergeCell ref="P13:Q13"/>
    <mergeCell ref="C12:E12"/>
    <mergeCell ref="H12:I12"/>
    <mergeCell ref="J12:K12"/>
    <mergeCell ref="L12:M12"/>
    <mergeCell ref="N12:O12"/>
    <mergeCell ref="P12:Q12"/>
    <mergeCell ref="C11:E11"/>
    <mergeCell ref="H11:I11"/>
    <mergeCell ref="J11:K11"/>
    <mergeCell ref="L11:M11"/>
    <mergeCell ref="N11:O11"/>
    <mergeCell ref="P11:Q11"/>
    <mergeCell ref="C10:E10"/>
    <mergeCell ref="H10:I10"/>
    <mergeCell ref="J10:K10"/>
    <mergeCell ref="L10:M10"/>
    <mergeCell ref="N10:O10"/>
    <mergeCell ref="P10:Q10"/>
    <mergeCell ref="C9:E9"/>
    <mergeCell ref="H9:I9"/>
    <mergeCell ref="J9:K9"/>
    <mergeCell ref="L9:M9"/>
    <mergeCell ref="N9:O9"/>
    <mergeCell ref="P9:Q9"/>
    <mergeCell ref="C2:I2"/>
    <mergeCell ref="C8:E8"/>
    <mergeCell ref="H8:I8"/>
    <mergeCell ref="J8:K8"/>
    <mergeCell ref="L8:M8"/>
    <mergeCell ref="N8:O8"/>
    <mergeCell ref="P8:Q8"/>
    <mergeCell ref="H6:Q6"/>
    <mergeCell ref="H7:I7"/>
    <mergeCell ref="J7:K7"/>
    <mergeCell ref="L7:M7"/>
    <mergeCell ref="N7:O7"/>
    <mergeCell ref="P7:Q7"/>
  </mergeCells>
  <phoneticPr fontId="7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2982-561E-4408-AA22-943173B7C308}">
  <sheetPr codeName="Sheet5"/>
  <dimension ref="B2:U30"/>
  <sheetViews>
    <sheetView workbookViewId="0">
      <selection activeCell="Q30" sqref="Q30"/>
    </sheetView>
  </sheetViews>
  <sheetFormatPr defaultRowHeight="14.4" x14ac:dyDescent="0.3"/>
  <cols>
    <col min="1" max="1" width="6.109375" customWidth="1"/>
    <col min="7" max="8" width="9.5546875" bestFit="1" customWidth="1"/>
    <col min="9" max="9" width="9.33203125" customWidth="1"/>
    <col min="10" max="10" width="9.77734375" customWidth="1"/>
    <col min="11" max="11" width="9.44140625" customWidth="1"/>
    <col min="12" max="12" width="9.77734375" customWidth="1"/>
    <col min="13" max="13" width="9.6640625" customWidth="1"/>
    <col min="14" max="14" width="9.44140625" customWidth="1"/>
    <col min="15" max="15" width="9.77734375" customWidth="1"/>
    <col min="16" max="16" width="9.6640625" customWidth="1"/>
    <col min="17" max="17" width="9.88671875" customWidth="1"/>
    <col min="18" max="18" width="9.44140625" customWidth="1"/>
    <col min="19" max="19" width="9.88671875" customWidth="1"/>
    <col min="21" max="21" width="9.88671875" bestFit="1" customWidth="1"/>
  </cols>
  <sheetData>
    <row r="2" spans="2:21" ht="18" x14ac:dyDescent="0.35">
      <c r="B2" s="250"/>
      <c r="C2" s="251" t="s">
        <v>220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3"/>
    </row>
    <row r="3" spans="2:21" x14ac:dyDescent="0.3">
      <c r="B3" s="254"/>
      <c r="C3" s="255" t="s">
        <v>141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6"/>
    </row>
    <row r="4" spans="2:21" x14ac:dyDescent="0.3">
      <c r="B4" s="254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6"/>
    </row>
    <row r="5" spans="2:21" x14ac:dyDescent="0.3">
      <c r="B5" s="266"/>
      <c r="C5" s="267" t="s">
        <v>170</v>
      </c>
      <c r="D5" s="268"/>
      <c r="E5" s="268"/>
      <c r="F5" s="268"/>
      <c r="G5" s="269">
        <v>2023</v>
      </c>
      <c r="H5" s="270">
        <v>2024</v>
      </c>
      <c r="I5" s="270">
        <v>2024</v>
      </c>
      <c r="J5" s="270">
        <v>2024</v>
      </c>
      <c r="K5" s="270">
        <v>2024</v>
      </c>
      <c r="L5" s="270">
        <v>2024</v>
      </c>
      <c r="M5" s="270">
        <v>2024</v>
      </c>
      <c r="N5" s="270">
        <v>2024</v>
      </c>
      <c r="O5" s="270">
        <v>2024</v>
      </c>
      <c r="P5" s="270">
        <v>2024</v>
      </c>
      <c r="Q5" s="270">
        <v>2024</v>
      </c>
      <c r="R5" s="270">
        <v>2024</v>
      </c>
      <c r="S5" s="270">
        <v>2024</v>
      </c>
      <c r="T5" s="288">
        <v>2024</v>
      </c>
      <c r="U5" s="194">
        <v>2023</v>
      </c>
    </row>
    <row r="6" spans="2:21" x14ac:dyDescent="0.3">
      <c r="B6" s="271"/>
      <c r="C6" s="272" t="s">
        <v>64</v>
      </c>
      <c r="D6" s="273"/>
      <c r="E6" s="273"/>
      <c r="F6" s="273"/>
      <c r="G6" s="269" t="s">
        <v>36</v>
      </c>
      <c r="H6" s="274" t="s">
        <v>25</v>
      </c>
      <c r="I6" s="274" t="s">
        <v>26</v>
      </c>
      <c r="J6" s="274" t="s">
        <v>27</v>
      </c>
      <c r="K6" s="274" t="s">
        <v>28</v>
      </c>
      <c r="L6" s="274" t="s">
        <v>29</v>
      </c>
      <c r="M6" s="274" t="s">
        <v>30</v>
      </c>
      <c r="N6" s="274" t="s">
        <v>31</v>
      </c>
      <c r="O6" s="274" t="s">
        <v>32</v>
      </c>
      <c r="P6" s="274" t="s">
        <v>33</v>
      </c>
      <c r="Q6" s="274" t="s">
        <v>34</v>
      </c>
      <c r="R6" s="274" t="s">
        <v>35</v>
      </c>
      <c r="S6" s="275" t="s">
        <v>36</v>
      </c>
      <c r="T6" s="285"/>
      <c r="U6" s="157"/>
    </row>
    <row r="7" spans="2:21" x14ac:dyDescent="0.3">
      <c r="B7" s="254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7"/>
    </row>
    <row r="8" spans="2:21" x14ac:dyDescent="0.3">
      <c r="B8" s="258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60"/>
    </row>
    <row r="9" spans="2:21" x14ac:dyDescent="0.3">
      <c r="B9" s="281" t="s">
        <v>116</v>
      </c>
      <c r="C9" s="273"/>
      <c r="D9" s="273"/>
      <c r="E9" s="282"/>
      <c r="F9" s="283" t="s">
        <v>219</v>
      </c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60"/>
    </row>
    <row r="10" spans="2:21" x14ac:dyDescent="0.3">
      <c r="B10" s="261" t="s">
        <v>200</v>
      </c>
      <c r="C10" s="255"/>
      <c r="D10" s="255"/>
      <c r="E10" s="259"/>
      <c r="F10" s="262">
        <v>0.05</v>
      </c>
      <c r="G10" s="255"/>
      <c r="H10" s="263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60"/>
    </row>
    <row r="11" spans="2:21" x14ac:dyDescent="0.3">
      <c r="B11" s="261" t="s">
        <v>201</v>
      </c>
      <c r="C11" s="255"/>
      <c r="D11" s="255"/>
      <c r="E11" s="259"/>
      <c r="F11" s="262">
        <v>0.05</v>
      </c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60"/>
    </row>
    <row r="12" spans="2:21" x14ac:dyDescent="0.3">
      <c r="B12" s="261" t="s">
        <v>202</v>
      </c>
      <c r="C12" s="255"/>
      <c r="D12" s="255"/>
      <c r="E12" s="259"/>
      <c r="F12" s="262">
        <v>0.1</v>
      </c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60"/>
    </row>
    <row r="13" spans="2:21" x14ac:dyDescent="0.3">
      <c r="B13" s="261" t="s">
        <v>203</v>
      </c>
      <c r="C13" s="255"/>
      <c r="D13" s="255"/>
      <c r="E13" s="259"/>
      <c r="F13" s="262">
        <v>0.1</v>
      </c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60"/>
    </row>
    <row r="14" spans="2:21" x14ac:dyDescent="0.3">
      <c r="B14" s="261" t="s">
        <v>204</v>
      </c>
      <c r="C14" s="255"/>
      <c r="D14" s="255"/>
      <c r="E14" s="259"/>
      <c r="F14" s="262">
        <v>0.15</v>
      </c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60"/>
    </row>
    <row r="15" spans="2:21" x14ac:dyDescent="0.3">
      <c r="B15" s="261" t="s">
        <v>205</v>
      </c>
      <c r="C15" s="255"/>
      <c r="D15" s="255"/>
      <c r="E15" s="259"/>
      <c r="F15" s="262">
        <v>0.05</v>
      </c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60"/>
    </row>
    <row r="16" spans="2:21" x14ac:dyDescent="0.3">
      <c r="B16" s="258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380" t="s">
        <v>72</v>
      </c>
      <c r="U16" s="340"/>
    </row>
    <row r="17" spans="2:21" x14ac:dyDescent="0.3">
      <c r="B17" s="266"/>
      <c r="C17" s="268"/>
      <c r="D17" s="267" t="s">
        <v>115</v>
      </c>
      <c r="E17" s="268"/>
      <c r="F17" s="268"/>
      <c r="G17" s="276">
        <v>-1870127</v>
      </c>
      <c r="H17" s="277">
        <v>-1800127</v>
      </c>
      <c r="I17" s="277">
        <v>-1800127</v>
      </c>
      <c r="J17" s="277">
        <v>-1810127</v>
      </c>
      <c r="K17" s="277">
        <v>-1810127</v>
      </c>
      <c r="L17" s="277">
        <v>-1810127</v>
      </c>
      <c r="M17" s="277">
        <v>-1970664</v>
      </c>
      <c r="N17" s="277">
        <v>-1900127</v>
      </c>
      <c r="O17" s="277">
        <v>-2000127</v>
      </c>
      <c r="P17" s="277">
        <v>-1900127</v>
      </c>
      <c r="Q17" s="277">
        <v>-1998126</v>
      </c>
      <c r="R17" s="277">
        <v>-1998126</v>
      </c>
      <c r="S17" s="278">
        <v>-2000144</v>
      </c>
      <c r="T17" s="286"/>
      <c r="U17" s="289">
        <v>18335403</v>
      </c>
    </row>
    <row r="18" spans="2:21" x14ac:dyDescent="0.3">
      <c r="B18" s="271"/>
      <c r="C18" s="273"/>
      <c r="D18" s="272" t="s">
        <v>116</v>
      </c>
      <c r="E18" s="273"/>
      <c r="F18" s="273"/>
      <c r="G18" s="279">
        <v>-38444</v>
      </c>
      <c r="H18" s="280">
        <f>SUM(H19:H24)</f>
        <v>-10390</v>
      </c>
      <c r="I18" s="280">
        <f t="shared" ref="I18:S18" si="0">SUM(I19:I24)</f>
        <v>-10390</v>
      </c>
      <c r="J18" s="280">
        <f t="shared" si="0"/>
        <v>-10390</v>
      </c>
      <c r="K18" s="280">
        <f t="shared" si="0"/>
        <v>-10390</v>
      </c>
      <c r="L18" s="280">
        <f t="shared" si="0"/>
        <v>-10390</v>
      </c>
      <c r="M18" s="280">
        <f t="shared" si="0"/>
        <v>-10390</v>
      </c>
      <c r="N18" s="280">
        <f t="shared" si="0"/>
        <v>-10390</v>
      </c>
      <c r="O18" s="280">
        <f t="shared" si="0"/>
        <v>-10390</v>
      </c>
      <c r="P18" s="280">
        <f t="shared" si="0"/>
        <v>-10390</v>
      </c>
      <c r="Q18" s="280">
        <f t="shared" si="0"/>
        <v>-10390</v>
      </c>
      <c r="R18" s="280">
        <f t="shared" si="0"/>
        <v>-10390</v>
      </c>
      <c r="S18" s="280">
        <f t="shared" si="0"/>
        <v>-10390</v>
      </c>
      <c r="T18" s="287">
        <f t="shared" ref="T18:T22" si="1">SUM(H18:S18)</f>
        <v>-124680</v>
      </c>
      <c r="U18" s="289">
        <v>449528</v>
      </c>
    </row>
    <row r="19" spans="2:21" x14ac:dyDescent="0.3">
      <c r="B19" s="254"/>
      <c r="C19" s="255"/>
      <c r="D19" s="264" t="s">
        <v>200</v>
      </c>
      <c r="E19" s="255"/>
      <c r="F19" s="299"/>
      <c r="G19" s="300">
        <f>'IS 2023'!F15</f>
        <v>-9500</v>
      </c>
      <c r="H19" s="300">
        <f>'IS 2023'!G15</f>
        <v>-9500</v>
      </c>
      <c r="I19" s="300">
        <f>'IS 2023'!H15</f>
        <v>-9500</v>
      </c>
      <c r="J19" s="300">
        <f>'IS 2023'!I15</f>
        <v>-9500</v>
      </c>
      <c r="K19" s="300">
        <f>'IS 2023'!J15</f>
        <v>-9500</v>
      </c>
      <c r="L19" s="300">
        <f>'IS 2023'!K15</f>
        <v>-9500</v>
      </c>
      <c r="M19" s="300">
        <f>'IS 2023'!L15</f>
        <v>-9500</v>
      </c>
      <c r="N19" s="300">
        <f>'IS 2023'!M15</f>
        <v>-9500</v>
      </c>
      <c r="O19" s="300">
        <f>'IS 2023'!N15</f>
        <v>-9500</v>
      </c>
      <c r="P19" s="300">
        <f>'IS 2023'!O15</f>
        <v>-9500</v>
      </c>
      <c r="Q19" s="300">
        <f>'IS 2023'!P15</f>
        <v>-9500</v>
      </c>
      <c r="R19" s="300">
        <f>'IS 2023'!Q15</f>
        <v>-9500</v>
      </c>
      <c r="S19" s="300">
        <f>'IS 2023'!R15</f>
        <v>-9500</v>
      </c>
      <c r="T19" s="284">
        <f t="shared" si="1"/>
        <v>-114000</v>
      </c>
      <c r="U19" s="289">
        <v>438848</v>
      </c>
    </row>
    <row r="20" spans="2:21" x14ac:dyDescent="0.3">
      <c r="B20" s="254"/>
      <c r="C20" s="255"/>
      <c r="D20" s="264" t="s">
        <v>201</v>
      </c>
      <c r="E20" s="255"/>
      <c r="F20" s="301"/>
      <c r="G20" s="300">
        <f>'IS 2023'!F16</f>
        <v>-700</v>
      </c>
      <c r="H20" s="300">
        <f>'IS 2023'!G16</f>
        <v>-700</v>
      </c>
      <c r="I20" s="300">
        <f>'IS 2023'!H16</f>
        <v>-700</v>
      </c>
      <c r="J20" s="300">
        <f>'IS 2023'!I16</f>
        <v>-700</v>
      </c>
      <c r="K20" s="300">
        <f>'IS 2023'!J16</f>
        <v>-700</v>
      </c>
      <c r="L20" s="300">
        <f>'IS 2023'!K16</f>
        <v>-700</v>
      </c>
      <c r="M20" s="300">
        <f>'IS 2023'!L16</f>
        <v>-700</v>
      </c>
      <c r="N20" s="300">
        <f>'IS 2023'!M16</f>
        <v>-700</v>
      </c>
      <c r="O20" s="300">
        <f>'IS 2023'!N16</f>
        <v>-700</v>
      </c>
      <c r="P20" s="300">
        <f>'IS 2023'!O16</f>
        <v>-700</v>
      </c>
      <c r="Q20" s="300">
        <f>'IS 2023'!P16</f>
        <v>-700</v>
      </c>
      <c r="R20" s="300">
        <f>'IS 2023'!Q16</f>
        <v>-700</v>
      </c>
      <c r="S20" s="300">
        <f>'IS 2023'!R16</f>
        <v>-700</v>
      </c>
      <c r="T20" s="284">
        <f t="shared" si="1"/>
        <v>-8400</v>
      </c>
      <c r="U20" s="289">
        <v>8400</v>
      </c>
    </row>
    <row r="21" spans="2:21" x14ac:dyDescent="0.3">
      <c r="B21" s="254"/>
      <c r="C21" s="255"/>
      <c r="D21" s="264" t="s">
        <v>202</v>
      </c>
      <c r="E21" s="255"/>
      <c r="F21" s="301"/>
      <c r="G21" s="300">
        <f>'IS 2023'!F17</f>
        <v>-125</v>
      </c>
      <c r="H21" s="300">
        <f>'IS 2023'!G17</f>
        <v>-125</v>
      </c>
      <c r="I21" s="300">
        <f>'IS 2023'!H17</f>
        <v>-125</v>
      </c>
      <c r="J21" s="300">
        <f>'IS 2023'!I17</f>
        <v>-125</v>
      </c>
      <c r="K21" s="300">
        <f>'IS 2023'!J17</f>
        <v>-125</v>
      </c>
      <c r="L21" s="300">
        <f>'IS 2023'!K17</f>
        <v>-125</v>
      </c>
      <c r="M21" s="300">
        <f>'IS 2023'!L17</f>
        <v>-125</v>
      </c>
      <c r="N21" s="300">
        <f>'IS 2023'!M17</f>
        <v>-125</v>
      </c>
      <c r="O21" s="300">
        <f>'IS 2023'!N17</f>
        <v>-125</v>
      </c>
      <c r="P21" s="300">
        <f>'IS 2023'!O17</f>
        <v>-125</v>
      </c>
      <c r="Q21" s="300">
        <f>'IS 2023'!P17</f>
        <v>-125</v>
      </c>
      <c r="R21" s="300">
        <f>'IS 2023'!Q17</f>
        <v>-125</v>
      </c>
      <c r="S21" s="300">
        <f>'IS 2023'!R17</f>
        <v>-125</v>
      </c>
      <c r="T21" s="284">
        <f t="shared" si="1"/>
        <v>-1500</v>
      </c>
      <c r="U21" s="289">
        <v>1500</v>
      </c>
    </row>
    <row r="22" spans="2:21" x14ac:dyDescent="0.3">
      <c r="B22" s="254"/>
      <c r="C22" s="255"/>
      <c r="D22" s="264" t="s">
        <v>203</v>
      </c>
      <c r="E22" s="255"/>
      <c r="F22" s="302"/>
      <c r="G22" s="300">
        <f>'IS 2023'!F18</f>
        <v>-65</v>
      </c>
      <c r="H22" s="300">
        <f>'IS 2023'!G18</f>
        <v>-65</v>
      </c>
      <c r="I22" s="300">
        <f>'IS 2023'!H18</f>
        <v>-65</v>
      </c>
      <c r="J22" s="300">
        <f>'IS 2023'!I18</f>
        <v>-65</v>
      </c>
      <c r="K22" s="300">
        <f>'IS 2023'!J18</f>
        <v>-65</v>
      </c>
      <c r="L22" s="300">
        <f>'IS 2023'!K18</f>
        <v>-65</v>
      </c>
      <c r="M22" s="300">
        <f>'IS 2023'!L18</f>
        <v>-65</v>
      </c>
      <c r="N22" s="300">
        <f>'IS 2023'!M18</f>
        <v>-65</v>
      </c>
      <c r="O22" s="300">
        <f>'IS 2023'!N18</f>
        <v>-65</v>
      </c>
      <c r="P22" s="300">
        <f>'IS 2023'!O18</f>
        <v>-65</v>
      </c>
      <c r="Q22" s="300">
        <f>'IS 2023'!P18</f>
        <v>-65</v>
      </c>
      <c r="R22" s="300">
        <f>'IS 2023'!Q18</f>
        <v>-65</v>
      </c>
      <c r="S22" s="300">
        <f>'IS 2023'!R18</f>
        <v>-65</v>
      </c>
      <c r="T22" s="284">
        <f t="shared" si="1"/>
        <v>-780</v>
      </c>
      <c r="U22" s="290">
        <v>780</v>
      </c>
    </row>
    <row r="23" spans="2:21" x14ac:dyDescent="0.3">
      <c r="B23" s="254"/>
      <c r="C23" s="255"/>
      <c r="D23" s="264" t="s">
        <v>204</v>
      </c>
      <c r="E23" s="255"/>
      <c r="F23" s="255"/>
      <c r="G23" s="25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84"/>
      <c r="U23" s="290"/>
    </row>
    <row r="24" spans="2:21" x14ac:dyDescent="0.3">
      <c r="B24" s="254"/>
      <c r="C24" s="255"/>
      <c r="D24" s="264" t="s">
        <v>205</v>
      </c>
      <c r="E24" s="255"/>
      <c r="F24" s="255"/>
      <c r="G24" s="25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84"/>
      <c r="U24" s="290"/>
    </row>
    <row r="25" spans="2:21" x14ac:dyDescent="0.3"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</row>
    <row r="26" spans="2:21" x14ac:dyDescent="0.3"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</row>
    <row r="27" spans="2:21" x14ac:dyDescent="0.3"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9"/>
    </row>
    <row r="28" spans="2:21" x14ac:dyDescent="0.3"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</row>
    <row r="29" spans="2:21" x14ac:dyDescent="0.3"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</row>
    <row r="30" spans="2:21" x14ac:dyDescent="0.3"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</row>
  </sheetData>
  <mergeCells count="1">
    <mergeCell ref="T16:U16"/>
  </mergeCells>
  <dataValidations count="1">
    <dataValidation type="list" allowBlank="1" showInputMessage="1" showErrorMessage="1" sqref="F10:F15" xr:uid="{A7B9AC77-3BDD-42A8-9C5E-212ECCDE8A37}">
      <formula1>"5%,10%,15%,20%,25%,30%"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F679-812C-4C16-9DCD-AB2979357F89}">
  <sheetPr codeName="Sheet6"/>
  <dimension ref="A2:AB36"/>
  <sheetViews>
    <sheetView showGridLines="0" zoomScale="71" zoomScaleNormal="71" workbookViewId="0">
      <selection activeCell="R52" sqref="R52"/>
    </sheetView>
  </sheetViews>
  <sheetFormatPr defaultColWidth="12" defaultRowHeight="15" x14ac:dyDescent="0.25"/>
  <cols>
    <col min="1" max="1" width="3.33203125" style="67" customWidth="1"/>
    <col min="2" max="2" width="26.6640625" style="67" customWidth="1"/>
    <col min="3" max="6" width="13.33203125" style="67" customWidth="1"/>
    <col min="7" max="7" width="3.33203125" style="67" customWidth="1"/>
    <col min="8" max="9" width="14.109375" style="67" customWidth="1"/>
    <col min="10" max="15" width="12" style="67"/>
    <col min="16" max="16" width="3.33203125" style="67" customWidth="1"/>
    <col min="17" max="24" width="12" style="67"/>
    <col min="25" max="25" width="3.33203125" style="67" customWidth="1"/>
    <col min="26" max="16384" width="12" style="67"/>
  </cols>
  <sheetData>
    <row r="2" spans="1:25" x14ac:dyDescent="0.25">
      <c r="B2" s="82" t="s">
        <v>221</v>
      </c>
      <c r="C2" s="395"/>
      <c r="D2" s="396"/>
      <c r="E2" s="83"/>
      <c r="F2" s="397" t="s">
        <v>277</v>
      </c>
      <c r="G2" s="398"/>
      <c r="H2" s="398"/>
      <c r="I2" s="395"/>
      <c r="J2" s="395"/>
      <c r="K2" s="396"/>
    </row>
    <row r="4" spans="1:25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ht="17.399999999999999" x14ac:dyDescent="0.25">
      <c r="A5" s="84"/>
      <c r="B5" s="381" t="s">
        <v>258</v>
      </c>
      <c r="C5" s="382" t="s">
        <v>259</v>
      </c>
      <c r="D5" s="383"/>
      <c r="E5" s="382" t="s">
        <v>94</v>
      </c>
      <c r="F5" s="386"/>
      <c r="G5" s="84"/>
      <c r="H5" s="388" t="s">
        <v>264</v>
      </c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84"/>
    </row>
    <row r="6" spans="1:25" ht="17.399999999999999" x14ac:dyDescent="0.25">
      <c r="A6" s="84"/>
      <c r="B6" s="381"/>
      <c r="C6" s="384"/>
      <c r="D6" s="385"/>
      <c r="E6" s="384"/>
      <c r="F6" s="387"/>
      <c r="G6" s="84"/>
      <c r="H6" s="68"/>
      <c r="I6" s="68"/>
      <c r="J6" s="68"/>
      <c r="K6" s="68"/>
      <c r="L6" s="68"/>
      <c r="M6" s="68"/>
      <c r="N6" s="68"/>
      <c r="O6" s="68"/>
      <c r="P6" s="69"/>
      <c r="Q6" s="68"/>
      <c r="R6" s="68"/>
      <c r="S6" s="68"/>
      <c r="T6" s="68"/>
      <c r="U6" s="68"/>
      <c r="V6" s="68"/>
      <c r="W6" s="68"/>
      <c r="X6" s="68"/>
      <c r="Y6" s="84"/>
    </row>
    <row r="7" spans="1:25" s="72" customFormat="1" ht="30" x14ac:dyDescent="0.3">
      <c r="A7" s="85"/>
      <c r="B7" s="71">
        <f>SUM(D11:D35)</f>
        <v>453</v>
      </c>
      <c r="C7" s="390">
        <f>SUM(E11:E35)</f>
        <v>432</v>
      </c>
      <c r="D7" s="391"/>
      <c r="E7" s="392">
        <f>SUM(E11:E35)/SUM(D11:D35)</f>
        <v>0.95364238410596025</v>
      </c>
      <c r="F7" s="393"/>
      <c r="G7" s="85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85"/>
    </row>
    <row r="8" spans="1:25" x14ac:dyDescent="0.25">
      <c r="A8" s="84"/>
      <c r="B8" s="84"/>
      <c r="C8" s="84"/>
      <c r="D8" s="84"/>
      <c r="E8" s="84"/>
      <c r="F8" s="84"/>
      <c r="G8" s="84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84"/>
    </row>
    <row r="9" spans="1:25" ht="17.399999999999999" x14ac:dyDescent="0.25">
      <c r="A9" s="84"/>
      <c r="B9" s="400" t="s">
        <v>263</v>
      </c>
      <c r="C9" s="400"/>
      <c r="D9" s="400"/>
      <c r="E9" s="400"/>
      <c r="F9" s="400"/>
      <c r="G9" s="84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84"/>
    </row>
    <row r="10" spans="1:25" ht="26.4" x14ac:dyDescent="0.25">
      <c r="A10" s="84"/>
      <c r="B10" s="401" t="s">
        <v>95</v>
      </c>
      <c r="C10" s="401"/>
      <c r="D10" s="73" t="s">
        <v>260</v>
      </c>
      <c r="E10" s="73" t="s">
        <v>259</v>
      </c>
      <c r="F10" s="73" t="s">
        <v>96</v>
      </c>
      <c r="G10" s="84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84"/>
    </row>
    <row r="11" spans="1:25" ht="19.95" customHeight="1" x14ac:dyDescent="0.25">
      <c r="A11" s="84"/>
      <c r="B11" s="394" t="s">
        <v>257</v>
      </c>
      <c r="C11" s="394"/>
      <c r="D11" s="74">
        <v>12</v>
      </c>
      <c r="E11" s="74">
        <v>12</v>
      </c>
      <c r="F11" s="75">
        <f>D11/E11</f>
        <v>1</v>
      </c>
      <c r="G11" s="84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84"/>
    </row>
    <row r="12" spans="1:25" ht="19.95" customHeight="1" x14ac:dyDescent="0.25">
      <c r="A12" s="84"/>
      <c r="B12" s="394" t="s">
        <v>257</v>
      </c>
      <c r="C12" s="394"/>
      <c r="D12" s="74">
        <v>24</v>
      </c>
      <c r="E12" s="74">
        <v>24</v>
      </c>
      <c r="F12" s="76">
        <f t="shared" ref="F12:F35" si="0">D12/E12</f>
        <v>1</v>
      </c>
      <c r="G12" s="84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84"/>
    </row>
    <row r="13" spans="1:25" ht="19.95" customHeight="1" x14ac:dyDescent="0.25">
      <c r="A13" s="84"/>
      <c r="B13" s="394" t="s">
        <v>257</v>
      </c>
      <c r="C13" s="394"/>
      <c r="D13" s="74">
        <v>12</v>
      </c>
      <c r="E13" s="74">
        <v>12</v>
      </c>
      <c r="F13" s="75">
        <f t="shared" si="0"/>
        <v>1</v>
      </c>
      <c r="G13" s="84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84"/>
    </row>
    <row r="14" spans="1:25" ht="19.95" customHeight="1" x14ac:dyDescent="0.25">
      <c r="A14" s="84"/>
      <c r="B14" s="394" t="s">
        <v>257</v>
      </c>
      <c r="C14" s="394"/>
      <c r="D14" s="74">
        <v>12</v>
      </c>
      <c r="E14" s="74">
        <v>12</v>
      </c>
      <c r="F14" s="76">
        <f t="shared" si="0"/>
        <v>1</v>
      </c>
      <c r="G14" s="84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84"/>
    </row>
    <row r="15" spans="1:25" ht="19.95" customHeight="1" x14ac:dyDescent="0.25">
      <c r="A15" s="84"/>
      <c r="B15" s="394" t="s">
        <v>257</v>
      </c>
      <c r="C15" s="394"/>
      <c r="D15" s="74">
        <v>25</v>
      </c>
      <c r="E15" s="74">
        <v>24</v>
      </c>
      <c r="F15" s="75">
        <f t="shared" si="0"/>
        <v>1.0416666666666667</v>
      </c>
      <c r="G15" s="84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84"/>
    </row>
    <row r="16" spans="1:25" ht="19.95" customHeight="1" x14ac:dyDescent="0.25">
      <c r="A16" s="84"/>
      <c r="B16" s="394" t="s">
        <v>257</v>
      </c>
      <c r="C16" s="394"/>
      <c r="D16" s="74">
        <v>12</v>
      </c>
      <c r="E16" s="74">
        <v>12</v>
      </c>
      <c r="F16" s="76">
        <f t="shared" si="0"/>
        <v>1</v>
      </c>
      <c r="G16" s="84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84"/>
    </row>
    <row r="17" spans="1:28" ht="19.95" customHeight="1" x14ac:dyDescent="0.25">
      <c r="A17" s="84"/>
      <c r="B17" s="394" t="s">
        <v>257</v>
      </c>
      <c r="C17" s="394"/>
      <c r="D17" s="74">
        <v>26</v>
      </c>
      <c r="E17" s="74">
        <v>24</v>
      </c>
      <c r="F17" s="75">
        <f t="shared" si="0"/>
        <v>1.0833333333333333</v>
      </c>
      <c r="G17" s="84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84"/>
    </row>
    <row r="18" spans="1:28" ht="19.95" customHeight="1" x14ac:dyDescent="0.25">
      <c r="A18" s="84"/>
      <c r="B18" s="394" t="s">
        <v>257</v>
      </c>
      <c r="C18" s="394"/>
      <c r="D18" s="74">
        <v>28</v>
      </c>
      <c r="E18" s="74">
        <v>24</v>
      </c>
      <c r="F18" s="76">
        <f t="shared" si="0"/>
        <v>1.1666666666666667</v>
      </c>
      <c r="G18" s="84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84"/>
    </row>
    <row r="19" spans="1:28" ht="19.95" customHeight="1" x14ac:dyDescent="0.25">
      <c r="A19" s="84"/>
      <c r="B19" s="394" t="s">
        <v>257</v>
      </c>
      <c r="C19" s="394"/>
      <c r="D19" s="74">
        <v>30</v>
      </c>
      <c r="E19" s="74">
        <v>24</v>
      </c>
      <c r="F19" s="75">
        <f t="shared" si="0"/>
        <v>1.25</v>
      </c>
      <c r="G19" s="84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84"/>
    </row>
    <row r="20" spans="1:28" ht="19.95" customHeight="1" x14ac:dyDescent="0.25">
      <c r="A20" s="84"/>
      <c r="B20" s="394" t="s">
        <v>257</v>
      </c>
      <c r="C20" s="394"/>
      <c r="D20" s="74">
        <v>24</v>
      </c>
      <c r="E20" s="74">
        <v>24</v>
      </c>
      <c r="F20" s="76">
        <f t="shared" si="0"/>
        <v>1</v>
      </c>
      <c r="G20" s="84"/>
      <c r="H20" s="388" t="s">
        <v>210</v>
      </c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84"/>
    </row>
    <row r="21" spans="1:28" ht="19.95" customHeight="1" x14ac:dyDescent="0.25">
      <c r="A21" s="84"/>
      <c r="B21" s="394" t="s">
        <v>257</v>
      </c>
      <c r="C21" s="394"/>
      <c r="D21" s="74">
        <v>12</v>
      </c>
      <c r="E21" s="74">
        <v>12</v>
      </c>
      <c r="F21" s="75">
        <f t="shared" si="0"/>
        <v>1</v>
      </c>
      <c r="G21" s="84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84"/>
    </row>
    <row r="22" spans="1:28" ht="19.95" customHeight="1" x14ac:dyDescent="0.25">
      <c r="A22" s="84"/>
      <c r="B22" s="394" t="s">
        <v>257</v>
      </c>
      <c r="C22" s="394"/>
      <c r="D22" s="74">
        <v>12</v>
      </c>
      <c r="E22" s="74">
        <v>12</v>
      </c>
      <c r="F22" s="76">
        <f t="shared" si="0"/>
        <v>1</v>
      </c>
      <c r="G22" s="84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84"/>
    </row>
    <row r="23" spans="1:28" ht="19.95" customHeight="1" x14ac:dyDescent="0.25">
      <c r="A23" s="84"/>
      <c r="B23" s="394" t="s">
        <v>257</v>
      </c>
      <c r="C23" s="394"/>
      <c r="D23" s="74">
        <v>14</v>
      </c>
      <c r="E23" s="74">
        <v>12</v>
      </c>
      <c r="F23" s="75">
        <f t="shared" si="0"/>
        <v>1.1666666666666667</v>
      </c>
      <c r="G23" s="84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84"/>
    </row>
    <row r="24" spans="1:28" ht="19.95" customHeight="1" x14ac:dyDescent="0.25">
      <c r="A24" s="84"/>
      <c r="B24" s="394" t="s">
        <v>257</v>
      </c>
      <c r="C24" s="394"/>
      <c r="D24" s="74">
        <v>26</v>
      </c>
      <c r="E24" s="74">
        <v>24</v>
      </c>
      <c r="F24" s="76">
        <f t="shared" si="0"/>
        <v>1.0833333333333333</v>
      </c>
      <c r="G24" s="84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84"/>
    </row>
    <row r="25" spans="1:28" ht="19.95" customHeight="1" x14ac:dyDescent="0.25">
      <c r="A25" s="84"/>
      <c r="B25" s="394" t="s">
        <v>257</v>
      </c>
      <c r="C25" s="394"/>
      <c r="D25" s="74">
        <v>12</v>
      </c>
      <c r="E25" s="74">
        <v>12</v>
      </c>
      <c r="F25" s="75">
        <f t="shared" si="0"/>
        <v>1</v>
      </c>
      <c r="G25" s="84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84"/>
    </row>
    <row r="26" spans="1:28" ht="19.95" customHeight="1" x14ac:dyDescent="0.25">
      <c r="A26" s="84"/>
      <c r="B26" s="394" t="s">
        <v>257</v>
      </c>
      <c r="C26" s="394"/>
      <c r="D26" s="74">
        <v>12</v>
      </c>
      <c r="E26" s="74">
        <v>12</v>
      </c>
      <c r="F26" s="76">
        <f t="shared" si="0"/>
        <v>1</v>
      </c>
      <c r="G26" s="84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84"/>
    </row>
    <row r="27" spans="1:28" ht="19.95" customHeight="1" x14ac:dyDescent="0.25">
      <c r="A27" s="84"/>
      <c r="B27" s="394" t="s">
        <v>257</v>
      </c>
      <c r="C27" s="394"/>
      <c r="D27" s="74">
        <v>13</v>
      </c>
      <c r="E27" s="74">
        <v>12</v>
      </c>
      <c r="F27" s="75">
        <f t="shared" si="0"/>
        <v>1.0833333333333333</v>
      </c>
      <c r="G27" s="84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84"/>
    </row>
    <row r="28" spans="1:28" ht="19.95" customHeight="1" x14ac:dyDescent="0.25">
      <c r="A28" s="84"/>
      <c r="B28" s="394" t="s">
        <v>257</v>
      </c>
      <c r="C28" s="394"/>
      <c r="D28" s="74">
        <v>12</v>
      </c>
      <c r="E28" s="74">
        <v>12</v>
      </c>
      <c r="F28" s="76">
        <f t="shared" si="0"/>
        <v>1</v>
      </c>
      <c r="G28" s="84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84"/>
      <c r="AB28" s="77"/>
    </row>
    <row r="29" spans="1:28" ht="19.95" customHeight="1" x14ac:dyDescent="0.25">
      <c r="A29" s="84"/>
      <c r="B29" s="394" t="s">
        <v>257</v>
      </c>
      <c r="C29" s="394"/>
      <c r="D29" s="74">
        <v>25</v>
      </c>
      <c r="E29" s="74">
        <v>24</v>
      </c>
      <c r="F29" s="75">
        <f t="shared" si="0"/>
        <v>1.0416666666666667</v>
      </c>
      <c r="G29" s="84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84"/>
    </row>
    <row r="30" spans="1:28" ht="19.95" customHeight="1" x14ac:dyDescent="0.25">
      <c r="A30" s="84"/>
      <c r="B30" s="394" t="s">
        <v>257</v>
      </c>
      <c r="C30" s="394"/>
      <c r="D30" s="74">
        <v>26</v>
      </c>
      <c r="E30" s="74">
        <v>24</v>
      </c>
      <c r="F30" s="76">
        <f t="shared" si="0"/>
        <v>1.0833333333333333</v>
      </c>
      <c r="G30" s="84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84"/>
    </row>
    <row r="31" spans="1:28" ht="19.95" customHeight="1" x14ac:dyDescent="0.25">
      <c r="A31" s="84"/>
      <c r="B31" s="394" t="s">
        <v>257</v>
      </c>
      <c r="C31" s="394"/>
      <c r="D31" s="74">
        <v>24</v>
      </c>
      <c r="E31" s="74">
        <v>24</v>
      </c>
      <c r="F31" s="75">
        <f t="shared" si="0"/>
        <v>1</v>
      </c>
      <c r="G31" s="84"/>
      <c r="H31" s="78"/>
      <c r="I31" s="78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84"/>
    </row>
    <row r="32" spans="1:28" ht="19.95" customHeight="1" x14ac:dyDescent="0.25">
      <c r="A32" s="84"/>
      <c r="B32" s="394" t="s">
        <v>257</v>
      </c>
      <c r="C32" s="394"/>
      <c r="D32" s="74">
        <v>12</v>
      </c>
      <c r="E32" s="74">
        <v>12</v>
      </c>
      <c r="F32" s="76">
        <f t="shared" si="0"/>
        <v>1</v>
      </c>
      <c r="G32" s="84"/>
      <c r="H32" s="79"/>
      <c r="I32" s="80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84"/>
    </row>
    <row r="33" spans="1:25" ht="19.95" customHeight="1" x14ac:dyDescent="0.25">
      <c r="A33" s="84"/>
      <c r="B33" s="394" t="s">
        <v>257</v>
      </c>
      <c r="C33" s="394"/>
      <c r="D33" s="74">
        <v>24</v>
      </c>
      <c r="E33" s="74">
        <v>24</v>
      </c>
      <c r="F33" s="75">
        <f t="shared" si="0"/>
        <v>1</v>
      </c>
      <c r="G33" s="84"/>
      <c r="H33" s="81"/>
      <c r="I33" s="80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84"/>
    </row>
    <row r="34" spans="1:25" ht="19.95" customHeight="1" x14ac:dyDescent="0.25">
      <c r="A34" s="84"/>
      <c r="B34" s="394" t="s">
        <v>257</v>
      </c>
      <c r="C34" s="394"/>
      <c r="D34" s="74">
        <v>12</v>
      </c>
      <c r="E34" s="74">
        <v>12</v>
      </c>
      <c r="F34" s="76">
        <f t="shared" si="0"/>
        <v>1</v>
      </c>
      <c r="G34" s="84"/>
      <c r="H34" s="81"/>
      <c r="I34" s="80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84"/>
    </row>
    <row r="35" spans="1:25" ht="19.95" customHeight="1" x14ac:dyDescent="0.25">
      <c r="A35" s="84"/>
      <c r="B35" s="394" t="s">
        <v>257</v>
      </c>
      <c r="C35" s="394"/>
      <c r="D35" s="74">
        <v>12</v>
      </c>
      <c r="E35" s="74">
        <v>12</v>
      </c>
      <c r="F35" s="75">
        <f t="shared" si="0"/>
        <v>1</v>
      </c>
      <c r="G35" s="84"/>
      <c r="H35" s="81"/>
      <c r="I35" s="80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84"/>
    </row>
    <row r="36" spans="1:25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</sheetData>
  <mergeCells count="38">
    <mergeCell ref="F2:H2"/>
    <mergeCell ref="I2:K2"/>
    <mergeCell ref="B31:C31"/>
    <mergeCell ref="B32:C32"/>
    <mergeCell ref="B33:C33"/>
    <mergeCell ref="H30:X30"/>
    <mergeCell ref="H20:X20"/>
    <mergeCell ref="B18:C18"/>
    <mergeCell ref="B19:C19"/>
    <mergeCell ref="B20:C20"/>
    <mergeCell ref="B9:F9"/>
    <mergeCell ref="B10:C10"/>
    <mergeCell ref="B11:C11"/>
    <mergeCell ref="B12:C12"/>
    <mergeCell ref="B13:C13"/>
    <mergeCell ref="B14:C14"/>
    <mergeCell ref="B34:C34"/>
    <mergeCell ref="B35:C35"/>
    <mergeCell ref="C2:D2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5:C15"/>
    <mergeCell ref="B16:C16"/>
    <mergeCell ref="B17:C17"/>
    <mergeCell ref="B5:B6"/>
    <mergeCell ref="C5:D6"/>
    <mergeCell ref="E5:F6"/>
    <mergeCell ref="H5:X5"/>
    <mergeCell ref="C7:D7"/>
    <mergeCell ref="E7:F7"/>
  </mergeCells>
  <phoneticPr fontId="7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A605-5749-4E77-B2F3-60FEE105176F}">
  <sheetPr codeName="Sheet23"/>
  <dimension ref="A1:Y145"/>
  <sheetViews>
    <sheetView showGridLines="0" workbookViewId="0">
      <selection activeCell="I47" sqref="I47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5546875" style="127" bestFit="1" customWidth="1"/>
    <col min="7" max="7" width="9.6640625" customWidth="1"/>
    <col min="8" max="8" width="9.6640625" bestFit="1" customWidth="1"/>
    <col min="9" max="9" width="10.44140625" customWidth="1"/>
    <col min="10" max="13" width="9.5546875" bestFit="1" customWidth="1"/>
    <col min="14" max="14" width="9.5546875" customWidth="1"/>
    <col min="15" max="16" width="9.5546875" bestFit="1" customWidth="1"/>
    <col min="17" max="17" width="10" customWidth="1"/>
    <col min="18" max="18" width="9.5546875" bestFit="1" customWidth="1"/>
    <col min="19" max="19" width="9.33203125" customWidth="1"/>
    <col min="20" max="20" width="9.77734375" customWidth="1"/>
    <col min="21" max="21" width="10.5546875" bestFit="1" customWidth="1"/>
    <col min="22" max="22" width="9.88671875" bestFit="1" customWidth="1"/>
  </cols>
  <sheetData>
    <row r="1" spans="1:25" x14ac:dyDescent="0.3">
      <c r="F1"/>
    </row>
    <row r="2" spans="1:25" ht="18" x14ac:dyDescent="0.35">
      <c r="B2" s="4" t="s">
        <v>169</v>
      </c>
      <c r="F2"/>
    </row>
    <row r="3" spans="1:25" x14ac:dyDescent="0.3">
      <c r="B3" t="s">
        <v>141</v>
      </c>
      <c r="F3"/>
    </row>
    <row r="4" spans="1:25" x14ac:dyDescent="0.3">
      <c r="F4"/>
    </row>
    <row r="5" spans="1:25" x14ac:dyDescent="0.3">
      <c r="A5" s="145"/>
      <c r="B5" s="172" t="s">
        <v>170</v>
      </c>
      <c r="C5" s="145"/>
      <c r="D5" s="145"/>
      <c r="E5" s="145"/>
      <c r="F5" s="199">
        <v>2023</v>
      </c>
      <c r="G5" s="199">
        <v>2023</v>
      </c>
      <c r="H5" s="199">
        <v>2023</v>
      </c>
      <c r="I5" s="199">
        <v>2023</v>
      </c>
      <c r="J5" s="199">
        <v>2023</v>
      </c>
      <c r="K5" s="199">
        <v>2023</v>
      </c>
      <c r="L5" s="199">
        <v>2023</v>
      </c>
      <c r="M5" s="199">
        <v>2023</v>
      </c>
      <c r="N5" s="199">
        <v>2023</v>
      </c>
      <c r="O5" s="199">
        <v>2023</v>
      </c>
      <c r="P5" s="199">
        <v>2023</v>
      </c>
      <c r="Q5" s="199">
        <v>2023</v>
      </c>
      <c r="R5" s="199">
        <v>2024</v>
      </c>
      <c r="S5" s="199">
        <v>2024</v>
      </c>
      <c r="T5" s="199">
        <v>2024</v>
      </c>
      <c r="U5" s="145"/>
    </row>
    <row r="6" spans="1:25" ht="15" thickBot="1" x14ac:dyDescent="0.35">
      <c r="A6" s="157"/>
      <c r="B6" s="158" t="s">
        <v>64</v>
      </c>
      <c r="C6" s="146"/>
      <c r="D6" s="146"/>
      <c r="E6" s="146"/>
      <c r="F6" s="198" t="s">
        <v>25</v>
      </c>
      <c r="G6" s="198" t="s">
        <v>26</v>
      </c>
      <c r="H6" s="198" t="s">
        <v>27</v>
      </c>
      <c r="I6" s="198" t="s">
        <v>28</v>
      </c>
      <c r="J6" s="198" t="s">
        <v>29</v>
      </c>
      <c r="K6" s="198" t="s">
        <v>30</v>
      </c>
      <c r="L6" s="198" t="s">
        <v>31</v>
      </c>
      <c r="M6" s="198" t="s">
        <v>32</v>
      </c>
      <c r="N6" s="198" t="s">
        <v>33</v>
      </c>
      <c r="O6" s="198" t="s">
        <v>34</v>
      </c>
      <c r="P6" s="198" t="s">
        <v>35</v>
      </c>
      <c r="Q6" s="198" t="s">
        <v>36</v>
      </c>
      <c r="R6" s="198" t="s">
        <v>25</v>
      </c>
      <c r="S6" s="198" t="s">
        <v>26</v>
      </c>
      <c r="T6" s="198" t="s">
        <v>27</v>
      </c>
      <c r="U6" s="195" t="s">
        <v>72</v>
      </c>
    </row>
    <row r="7" spans="1:25" s="126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67" t="s">
        <v>169</v>
      </c>
      <c r="F8"/>
    </row>
    <row r="9" spans="1:25" x14ac:dyDescent="0.3">
      <c r="C9" s="168"/>
      <c r="F9"/>
    </row>
    <row r="10" spans="1:25" x14ac:dyDescent="0.3">
      <c r="C10" s="167" t="s">
        <v>48</v>
      </c>
      <c r="F10"/>
      <c r="G10" s="169"/>
      <c r="H10" s="169"/>
      <c r="I10" s="169"/>
      <c r="J10" s="169"/>
      <c r="K10" s="169"/>
      <c r="L10" s="168"/>
      <c r="M10" s="169"/>
      <c r="N10" s="169"/>
      <c r="O10" s="169"/>
      <c r="P10" s="169"/>
      <c r="Q10" s="169"/>
      <c r="R10" s="169"/>
      <c r="S10" s="169"/>
      <c r="T10" s="169"/>
      <c r="V10" s="1"/>
    </row>
    <row r="11" spans="1:25" x14ac:dyDescent="0.3">
      <c r="C11" s="168" t="s">
        <v>171</v>
      </c>
      <c r="F11" s="169">
        <f>'CF 2023'!G40</f>
        <v>117560</v>
      </c>
      <c r="G11" s="169">
        <f>F14+'CF 2023'!H49</f>
        <v>214109.59999999998</v>
      </c>
      <c r="H11" s="169">
        <f>G14+'CF 2023'!I49</f>
        <v>327001.19999999995</v>
      </c>
      <c r="I11" s="169">
        <f>H14+'CF 2023'!J49</f>
        <v>449923.6</v>
      </c>
      <c r="J11" s="169">
        <f>I14+'CF 2023'!K49</f>
        <v>596476</v>
      </c>
      <c r="K11" s="169">
        <f>J14+'CF 2023'!L49</f>
        <v>769248</v>
      </c>
      <c r="L11" s="169">
        <f>K14+'CF 2023'!M49</f>
        <v>952570</v>
      </c>
      <c r="M11" s="169">
        <f>L14+'CF 2023'!N49</f>
        <v>1141514</v>
      </c>
      <c r="N11" s="169">
        <f>M14+'CF 2023'!O49</f>
        <v>1325263.2</v>
      </c>
      <c r="O11" s="169">
        <f>N14+'CF 2023'!P49</f>
        <v>1496289.5999999999</v>
      </c>
      <c r="P11" s="169">
        <f>O14+'CF 2023'!Q49</f>
        <v>1657076.4</v>
      </c>
      <c r="Q11" s="169">
        <f>P14+'CF 2023'!R49</f>
        <v>1810916.4</v>
      </c>
      <c r="R11" s="169">
        <f>'BS 2024'!F11</f>
        <v>1998484.4735999999</v>
      </c>
      <c r="S11" s="169">
        <f>'BS 2024'!G11</f>
        <v>2193238.9439999997</v>
      </c>
      <c r="T11" s="169">
        <f>'BS 2024'!H11</f>
        <v>2395179.8111999994</v>
      </c>
      <c r="U11" s="1"/>
      <c r="V11" s="1"/>
    </row>
    <row r="12" spans="1:25" x14ac:dyDescent="0.3">
      <c r="C12" s="168" t="s">
        <v>172</v>
      </c>
      <c r="F12" s="169"/>
      <c r="G12" s="168"/>
      <c r="H12" s="168"/>
      <c r="I12" s="168" t="s">
        <v>189</v>
      </c>
      <c r="J12" s="168"/>
      <c r="K12" s="168" t="s">
        <v>189</v>
      </c>
      <c r="L12" s="168"/>
      <c r="M12" s="168"/>
      <c r="N12" s="168"/>
      <c r="O12" s="168"/>
      <c r="P12" s="168"/>
      <c r="Q12" s="168"/>
      <c r="R12" s="168"/>
      <c r="S12" s="168" t="s">
        <v>189</v>
      </c>
      <c r="T12" s="168" t="s">
        <v>189</v>
      </c>
      <c r="V12" s="1"/>
    </row>
    <row r="13" spans="1:25" x14ac:dyDescent="0.3">
      <c r="C13" s="168" t="s">
        <v>173</v>
      </c>
      <c r="F13"/>
      <c r="I13" s="169"/>
      <c r="K13" s="169"/>
      <c r="S13" s="169"/>
      <c r="T13" s="169"/>
      <c r="V13" s="1"/>
    </row>
    <row r="14" spans="1:25" x14ac:dyDescent="0.3">
      <c r="C14" s="168" t="s">
        <v>174</v>
      </c>
      <c r="F14" s="169">
        <f>SUM(F11:F13)</f>
        <v>117560</v>
      </c>
      <c r="G14" s="169">
        <f t="shared" ref="G14:Q14" si="0">SUM(G11:G13)</f>
        <v>214109.59999999998</v>
      </c>
      <c r="H14" s="169">
        <f t="shared" si="0"/>
        <v>327001.19999999995</v>
      </c>
      <c r="I14" s="169">
        <f t="shared" si="0"/>
        <v>449923.6</v>
      </c>
      <c r="J14" s="169">
        <f t="shared" si="0"/>
        <v>596476</v>
      </c>
      <c r="K14" s="169">
        <f t="shared" si="0"/>
        <v>769248</v>
      </c>
      <c r="L14" s="169">
        <f t="shared" si="0"/>
        <v>952570</v>
      </c>
      <c r="M14" s="169">
        <f t="shared" si="0"/>
        <v>1141514</v>
      </c>
      <c r="N14" s="169">
        <f t="shared" si="0"/>
        <v>1325263.2</v>
      </c>
      <c r="O14" s="169">
        <f t="shared" si="0"/>
        <v>1496289.5999999999</v>
      </c>
      <c r="P14" s="169">
        <f t="shared" si="0"/>
        <v>1657076.4</v>
      </c>
      <c r="Q14" s="169">
        <f t="shared" si="0"/>
        <v>1810916.4</v>
      </c>
      <c r="R14" s="169">
        <f t="shared" ref="R14" si="1">SUM(R11:R13)</f>
        <v>1998484.4735999999</v>
      </c>
      <c r="S14" s="169">
        <f t="shared" ref="S14" si="2">SUM(S11:S13)</f>
        <v>2193238.9439999997</v>
      </c>
      <c r="T14" s="169">
        <f t="shared" ref="T14" si="3">SUM(T11:T13)</f>
        <v>2395179.8111999994</v>
      </c>
      <c r="U14" s="208">
        <f>SUM(F14:Q14)</f>
        <v>10857948</v>
      </c>
      <c r="V14" s="1"/>
    </row>
    <row r="15" spans="1:25" x14ac:dyDescent="0.3">
      <c r="C15" s="167" t="s">
        <v>49</v>
      </c>
      <c r="F15"/>
      <c r="G15" s="168"/>
      <c r="H15" s="168"/>
      <c r="I15" s="168"/>
      <c r="J15" s="171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V15" s="1"/>
    </row>
    <row r="16" spans="1:25" x14ac:dyDescent="0.3">
      <c r="C16" s="170" t="s">
        <v>175</v>
      </c>
      <c r="F16" s="169">
        <f>ABS('CF 2023'!G42)-'IS 2023'!F56</f>
        <v>451711</v>
      </c>
      <c r="G16" s="169">
        <f>F16-'IS 2023'!G56</f>
        <v>453422</v>
      </c>
      <c r="H16" s="169">
        <f>G16-'IS 2023'!H56</f>
        <v>455133</v>
      </c>
      <c r="I16" s="169">
        <f>H16-'IS 2023'!I56</f>
        <v>456844</v>
      </c>
      <c r="J16" s="169">
        <f>I16-'IS 2023'!J56</f>
        <v>458555</v>
      </c>
      <c r="K16" s="169">
        <f>J16-'IS 2023'!K56</f>
        <v>460266</v>
      </c>
      <c r="L16" s="169">
        <f>K16-'IS 2023'!L56</f>
        <v>461977</v>
      </c>
      <c r="M16" s="169">
        <f>L16-'IS 2023'!M56</f>
        <v>463688</v>
      </c>
      <c r="N16" s="169">
        <f>M16-'IS 2023'!N56</f>
        <v>465399</v>
      </c>
      <c r="O16" s="169">
        <f>N16-'IS 2023'!O56</f>
        <v>467110</v>
      </c>
      <c r="P16" s="169">
        <f>O16-'IS 2023'!P56</f>
        <v>468821</v>
      </c>
      <c r="Q16" s="169">
        <f>P16-'IS 2023'!Q56</f>
        <v>470532</v>
      </c>
      <c r="R16" s="169">
        <f>'BS 2024'!F16</f>
        <v>471982</v>
      </c>
      <c r="S16" s="176">
        <f>R16-'IS 2024'!G57</f>
        <v>473432</v>
      </c>
      <c r="T16" s="176">
        <f>S16-'IS 2024'!H57</f>
        <v>474882</v>
      </c>
      <c r="V16" s="1"/>
    </row>
    <row r="17" spans="1:22" x14ac:dyDescent="0.3">
      <c r="C17" s="170" t="s">
        <v>176</v>
      </c>
      <c r="F17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V17" s="1"/>
    </row>
    <row r="18" spans="1:22" x14ac:dyDescent="0.3">
      <c r="C18" s="170" t="s">
        <v>177</v>
      </c>
      <c r="F18" s="176">
        <f>SUM(F16:F17)</f>
        <v>451711</v>
      </c>
      <c r="G18" s="176">
        <f t="shared" ref="G18:T18" si="4">SUM(G16:G17)</f>
        <v>453422</v>
      </c>
      <c r="H18" s="176">
        <f t="shared" si="4"/>
        <v>455133</v>
      </c>
      <c r="I18" s="176">
        <f t="shared" si="4"/>
        <v>456844</v>
      </c>
      <c r="J18" s="176">
        <f t="shared" si="4"/>
        <v>458555</v>
      </c>
      <c r="K18" s="176">
        <f t="shared" si="4"/>
        <v>460266</v>
      </c>
      <c r="L18" s="176">
        <f t="shared" si="4"/>
        <v>461977</v>
      </c>
      <c r="M18" s="176">
        <f t="shared" si="4"/>
        <v>463688</v>
      </c>
      <c r="N18" s="176">
        <f t="shared" si="4"/>
        <v>465399</v>
      </c>
      <c r="O18" s="176">
        <f t="shared" si="4"/>
        <v>467110</v>
      </c>
      <c r="P18" s="176">
        <f t="shared" si="4"/>
        <v>468821</v>
      </c>
      <c r="Q18" s="176">
        <f t="shared" si="4"/>
        <v>470532</v>
      </c>
      <c r="R18" s="176">
        <f t="shared" si="4"/>
        <v>471982</v>
      </c>
      <c r="S18" s="176">
        <f t="shared" si="4"/>
        <v>473432</v>
      </c>
      <c r="T18" s="176">
        <f t="shared" si="4"/>
        <v>474882</v>
      </c>
      <c r="V18" s="1"/>
    </row>
    <row r="19" spans="1:22" x14ac:dyDescent="0.3">
      <c r="A19" s="140"/>
      <c r="B19" s="145"/>
      <c r="C19" s="179" t="s">
        <v>178</v>
      </c>
      <c r="D19" s="145"/>
      <c r="E19" s="145"/>
      <c r="F19" s="180">
        <f>SUM(F17:F18)</f>
        <v>451711</v>
      </c>
      <c r="G19" s="180">
        <f t="shared" ref="G19:T19" si="5">SUM(G17:G18)</f>
        <v>453422</v>
      </c>
      <c r="H19" s="180">
        <f t="shared" si="5"/>
        <v>455133</v>
      </c>
      <c r="I19" s="180">
        <f t="shared" si="5"/>
        <v>456844</v>
      </c>
      <c r="J19" s="180">
        <f t="shared" si="5"/>
        <v>458555</v>
      </c>
      <c r="K19" s="180">
        <f t="shared" si="5"/>
        <v>460266</v>
      </c>
      <c r="L19" s="180">
        <f t="shared" si="5"/>
        <v>461977</v>
      </c>
      <c r="M19" s="180">
        <f t="shared" si="5"/>
        <v>463688</v>
      </c>
      <c r="N19" s="180">
        <f t="shared" si="5"/>
        <v>465399</v>
      </c>
      <c r="O19" s="180">
        <f t="shared" si="5"/>
        <v>467110</v>
      </c>
      <c r="P19" s="180">
        <f t="shared" si="5"/>
        <v>468821</v>
      </c>
      <c r="Q19" s="180">
        <f t="shared" si="5"/>
        <v>470532</v>
      </c>
      <c r="R19" s="180">
        <f t="shared" si="5"/>
        <v>471982</v>
      </c>
      <c r="S19" s="180">
        <f t="shared" si="5"/>
        <v>473432</v>
      </c>
      <c r="T19" s="180">
        <f t="shared" si="5"/>
        <v>474882</v>
      </c>
      <c r="U19" s="153">
        <f>SUM(F19:Q19)</f>
        <v>5533458</v>
      </c>
      <c r="V19" s="1"/>
    </row>
    <row r="20" spans="1:22" x14ac:dyDescent="0.3">
      <c r="A20" s="157"/>
      <c r="B20" s="146"/>
      <c r="C20" s="181" t="s">
        <v>50</v>
      </c>
      <c r="D20" s="146"/>
      <c r="E20" s="146"/>
      <c r="F20" s="182">
        <f>F14+F19</f>
        <v>569271</v>
      </c>
      <c r="G20" s="182">
        <f>G14+G19</f>
        <v>667531.6</v>
      </c>
      <c r="H20" s="182">
        <f t="shared" ref="H20:T20" si="6">H14+H19</f>
        <v>782134.2</v>
      </c>
      <c r="I20" s="182">
        <f t="shared" si="6"/>
        <v>906767.6</v>
      </c>
      <c r="J20" s="182">
        <f t="shared" si="6"/>
        <v>1055031</v>
      </c>
      <c r="K20" s="182">
        <f t="shared" si="6"/>
        <v>1229514</v>
      </c>
      <c r="L20" s="182">
        <f t="shared" si="6"/>
        <v>1414547</v>
      </c>
      <c r="M20" s="182">
        <f t="shared" si="6"/>
        <v>1605202</v>
      </c>
      <c r="N20" s="182">
        <f t="shared" si="6"/>
        <v>1790662.2</v>
      </c>
      <c r="O20" s="182">
        <f t="shared" si="6"/>
        <v>1963399.5999999999</v>
      </c>
      <c r="P20" s="182">
        <f t="shared" si="6"/>
        <v>2125897.4</v>
      </c>
      <c r="Q20" s="182">
        <f t="shared" si="6"/>
        <v>2281448.4</v>
      </c>
      <c r="R20" s="182">
        <f t="shared" si="6"/>
        <v>2470466.4736000001</v>
      </c>
      <c r="S20" s="182">
        <f t="shared" si="6"/>
        <v>2666670.9439999997</v>
      </c>
      <c r="T20" s="182">
        <f t="shared" si="6"/>
        <v>2870061.8111999994</v>
      </c>
      <c r="U20" s="147">
        <f>SUM(F20:Q20)</f>
        <v>16391406</v>
      </c>
      <c r="V20" s="1"/>
    </row>
    <row r="21" spans="1:22" x14ac:dyDescent="0.3">
      <c r="C21" s="178" t="s">
        <v>51</v>
      </c>
      <c r="F21"/>
      <c r="I21" s="171"/>
      <c r="K21" s="171"/>
      <c r="S21" s="171"/>
      <c r="T21" s="171"/>
      <c r="V21" s="1"/>
    </row>
    <row r="22" spans="1:22" x14ac:dyDescent="0.3">
      <c r="C22" s="170" t="s">
        <v>179</v>
      </c>
      <c r="F22" s="171"/>
      <c r="G22" s="171"/>
      <c r="Q22" s="171"/>
      <c r="V22" s="1"/>
    </row>
    <row r="23" spans="1:22" x14ac:dyDescent="0.3">
      <c r="C23" s="170" t="s">
        <v>180</v>
      </c>
      <c r="F23"/>
      <c r="H23" s="171"/>
      <c r="J23" s="171"/>
      <c r="V23" s="1"/>
    </row>
    <row r="24" spans="1:22" x14ac:dyDescent="0.3">
      <c r="C24" s="168" t="s">
        <v>181</v>
      </c>
      <c r="F24" s="208">
        <f>'CF 2023'!G48</f>
        <v>-51815</v>
      </c>
      <c r="G24" s="208">
        <f>'CF 2023'!H48</f>
        <v>-49926</v>
      </c>
      <c r="H24" s="208">
        <f>'CF 2023'!I48</f>
        <v>-53170.600000000006</v>
      </c>
      <c r="I24" s="208">
        <f>'CF 2023'!J48</f>
        <v>-54837.4</v>
      </c>
      <c r="J24" s="208">
        <f>'CF 2023'!K48</f>
        <v>-59904</v>
      </c>
      <c r="K24" s="208">
        <f>'CF 2023'!L48</f>
        <v>-65618</v>
      </c>
      <c r="L24" s="208">
        <f>'CF 2023'!M48</f>
        <v>-67414.600000000006</v>
      </c>
      <c r="M24" s="208">
        <f>'CF 2023'!N48</f>
        <v>-67979.199999999997</v>
      </c>
      <c r="N24" s="208">
        <f>'CF 2023'!O48</f>
        <v>-65839.600000000006</v>
      </c>
      <c r="O24" s="208">
        <f>'CF 2023'!P48</f>
        <v>-61818</v>
      </c>
      <c r="P24" s="208">
        <f>'CF 2023'!Q48</f>
        <v>-58417.200000000004</v>
      </c>
      <c r="Q24" s="208">
        <f>'CF 2023'!R48</f>
        <v>-55839.600000000006</v>
      </c>
      <c r="R24" s="208">
        <f>'CF 2023'!S48</f>
        <v>-63430.718400000012</v>
      </c>
      <c r="S24" s="208">
        <f>'CF 2023'!T48</f>
        <v>-64386.417599999986</v>
      </c>
      <c r="T24" s="208">
        <f>'CF 2023'!U48</f>
        <v>-65342.116799999996</v>
      </c>
      <c r="V24" s="1"/>
    </row>
    <row r="25" spans="1:22" x14ac:dyDescent="0.3">
      <c r="A25" s="145"/>
      <c r="B25" s="145"/>
      <c r="C25" s="172" t="s">
        <v>182</v>
      </c>
      <c r="D25" s="145"/>
      <c r="E25" s="145"/>
      <c r="F25" s="153">
        <f>SUM(F22:F24)</f>
        <v>-51815</v>
      </c>
      <c r="G25" s="153">
        <f t="shared" ref="G25:I25" si="7">SUM(G22:G24)</f>
        <v>-49926</v>
      </c>
      <c r="H25" s="153">
        <f t="shared" si="7"/>
        <v>-53170.600000000006</v>
      </c>
      <c r="I25" s="153">
        <f t="shared" si="7"/>
        <v>-54837.4</v>
      </c>
      <c r="J25" s="153">
        <f t="shared" ref="J25" si="8">SUM(J22:J24)</f>
        <v>-59904</v>
      </c>
      <c r="K25" s="153">
        <f t="shared" ref="K25:L25" si="9">SUM(K22:K24)</f>
        <v>-65618</v>
      </c>
      <c r="L25" s="153">
        <f t="shared" si="9"/>
        <v>-67414.600000000006</v>
      </c>
      <c r="M25" s="153">
        <f t="shared" ref="M25" si="10">SUM(M22:M24)</f>
        <v>-67979.199999999997</v>
      </c>
      <c r="N25" s="153">
        <f t="shared" ref="N25:O25" si="11">SUM(N22:N24)</f>
        <v>-65839.600000000006</v>
      </c>
      <c r="O25" s="153">
        <f t="shared" si="11"/>
        <v>-61818</v>
      </c>
      <c r="P25" s="153">
        <f t="shared" ref="P25" si="12">SUM(P22:P24)</f>
        <v>-58417.200000000004</v>
      </c>
      <c r="Q25" s="153">
        <f t="shared" ref="Q25:R25" si="13">SUM(Q22:Q24)</f>
        <v>-55839.600000000006</v>
      </c>
      <c r="R25" s="153">
        <f t="shared" si="13"/>
        <v>-63430.718400000012</v>
      </c>
      <c r="S25" s="153">
        <f t="shared" ref="S25" si="14">SUM(S22:S24)</f>
        <v>-64386.417599999986</v>
      </c>
      <c r="T25" s="153">
        <f t="shared" ref="T25" si="15">SUM(T22:T24)</f>
        <v>-65342.116799999996</v>
      </c>
      <c r="U25" s="153">
        <f>SUM(F25:Q25)</f>
        <v>-712579.2</v>
      </c>
      <c r="V25" s="1"/>
    </row>
    <row r="26" spans="1:22" x14ac:dyDescent="0.3">
      <c r="A26" s="146"/>
      <c r="B26" s="146"/>
      <c r="C26" s="183" t="s">
        <v>52</v>
      </c>
      <c r="D26" s="146"/>
      <c r="E26" s="146"/>
      <c r="F26" s="147"/>
      <c r="G26" s="146"/>
      <c r="H26" s="146"/>
      <c r="I26" s="147"/>
      <c r="J26" s="146"/>
      <c r="K26" s="147"/>
      <c r="L26" s="184"/>
      <c r="M26" s="184"/>
      <c r="N26" s="184"/>
      <c r="O26" s="184"/>
      <c r="P26" s="184"/>
      <c r="Q26" s="146"/>
      <c r="R26" s="184"/>
      <c r="S26" s="147"/>
      <c r="T26" s="147"/>
      <c r="U26" s="146"/>
      <c r="V26" s="1"/>
    </row>
    <row r="27" spans="1:22" x14ac:dyDescent="0.3">
      <c r="C27" s="167" t="s">
        <v>183</v>
      </c>
      <c r="F27" s="176">
        <v>-550000</v>
      </c>
      <c r="G27" s="176">
        <f>F27-'CF 2023'!H30</f>
        <v>-533182</v>
      </c>
      <c r="H27" s="176">
        <f>G27-'CF 2023'!I30</f>
        <v>-516364</v>
      </c>
      <c r="I27" s="176">
        <f>H27-'CF 2023'!J30</f>
        <v>-499546</v>
      </c>
      <c r="J27" s="176">
        <f>I27-'CF 2023'!K30</f>
        <v>-482728</v>
      </c>
      <c r="K27" s="176">
        <f>J27-'CF 2023'!L30</f>
        <v>-465910</v>
      </c>
      <c r="L27" s="176">
        <f>K27-'CF 2023'!M30</f>
        <v>-449092</v>
      </c>
      <c r="M27" s="176">
        <f>L27-'CF 2023'!N30</f>
        <v>-432274</v>
      </c>
      <c r="N27" s="176">
        <f>M27-'CF 2023'!O30</f>
        <v>-415456</v>
      </c>
      <c r="O27" s="176">
        <f>N27-'CF 2023'!P30</f>
        <v>-398638</v>
      </c>
      <c r="P27" s="176">
        <f>O27-'CF 2023'!Q30</f>
        <v>-381820</v>
      </c>
      <c r="Q27" s="176">
        <f>P27-'CF 2023'!R30</f>
        <v>-365002</v>
      </c>
      <c r="R27" s="176">
        <f>'BS 2024'!F27</f>
        <v>-348184</v>
      </c>
      <c r="S27" s="176">
        <f>'BS 2024'!G27</f>
        <v>-331366</v>
      </c>
      <c r="T27" s="176">
        <f>'BS 2024'!H27</f>
        <v>-314548</v>
      </c>
      <c r="U27" s="208">
        <f>SUM(F27:Q27)</f>
        <v>-5490012</v>
      </c>
      <c r="V27" s="1"/>
    </row>
    <row r="28" spans="1:22" ht="12.6" customHeight="1" x14ac:dyDescent="0.3">
      <c r="C28" s="168"/>
      <c r="F28"/>
      <c r="J28" s="169" t="s">
        <v>189</v>
      </c>
      <c r="U28" s="308"/>
      <c r="V28" s="1"/>
    </row>
    <row r="29" spans="1:22" x14ac:dyDescent="0.3">
      <c r="C29" s="167" t="s">
        <v>184</v>
      </c>
      <c r="F29" s="169"/>
      <c r="G29" s="169"/>
      <c r="H29" s="169"/>
      <c r="Q29" s="169"/>
      <c r="U29" s="308"/>
      <c r="V29" s="1"/>
    </row>
    <row r="30" spans="1:22" x14ac:dyDescent="0.3">
      <c r="C30" s="170" t="s">
        <v>192</v>
      </c>
      <c r="F30" s="169"/>
      <c r="G30" s="169"/>
      <c r="H30" s="169"/>
      <c r="Q30" s="169"/>
      <c r="U30" s="308"/>
      <c r="V30" s="1"/>
    </row>
    <row r="31" spans="1:22" x14ac:dyDescent="0.3">
      <c r="C31" s="167" t="s">
        <v>185</v>
      </c>
      <c r="F31" s="176">
        <f>SUM(F27:F29)</f>
        <v>-550000</v>
      </c>
      <c r="G31" s="176">
        <f t="shared" ref="G31:T31" si="16">SUM(G27:G29)</f>
        <v>-533182</v>
      </c>
      <c r="H31" s="176">
        <f t="shared" si="16"/>
        <v>-516364</v>
      </c>
      <c r="I31" s="176">
        <f t="shared" si="16"/>
        <v>-499546</v>
      </c>
      <c r="J31" s="176">
        <f t="shared" si="16"/>
        <v>-482728</v>
      </c>
      <c r="K31" s="176">
        <f t="shared" si="16"/>
        <v>-465910</v>
      </c>
      <c r="L31" s="176">
        <f t="shared" si="16"/>
        <v>-449092</v>
      </c>
      <c r="M31" s="176">
        <f t="shared" si="16"/>
        <v>-432274</v>
      </c>
      <c r="N31" s="176">
        <f t="shared" si="16"/>
        <v>-415456</v>
      </c>
      <c r="O31" s="176">
        <f t="shared" si="16"/>
        <v>-398638</v>
      </c>
      <c r="P31" s="176">
        <f t="shared" si="16"/>
        <v>-381820</v>
      </c>
      <c r="Q31" s="176">
        <f t="shared" si="16"/>
        <v>-365002</v>
      </c>
      <c r="R31" s="176">
        <f t="shared" si="16"/>
        <v>-348184</v>
      </c>
      <c r="S31" s="176">
        <f t="shared" si="16"/>
        <v>-331366</v>
      </c>
      <c r="T31" s="176">
        <f t="shared" si="16"/>
        <v>-314548</v>
      </c>
      <c r="U31" s="308"/>
      <c r="V31" s="1"/>
    </row>
    <row r="32" spans="1:22" x14ac:dyDescent="0.3">
      <c r="C32" s="167" t="s">
        <v>53</v>
      </c>
      <c r="F32" s="176">
        <f>F31+F24</f>
        <v>-601815</v>
      </c>
      <c r="G32" s="176">
        <f t="shared" ref="G32:I32" si="17">G31+G24</f>
        <v>-583108</v>
      </c>
      <c r="H32" s="176">
        <f t="shared" si="17"/>
        <v>-569534.6</v>
      </c>
      <c r="I32" s="176">
        <f t="shared" si="17"/>
        <v>-554383.4</v>
      </c>
      <c r="J32" s="176">
        <f t="shared" ref="J32" si="18">J31+J24</f>
        <v>-542632</v>
      </c>
      <c r="K32" s="176">
        <f t="shared" ref="K32:L32" si="19">K31+K24</f>
        <v>-531528</v>
      </c>
      <c r="L32" s="176">
        <f t="shared" si="19"/>
        <v>-516506.6</v>
      </c>
      <c r="M32" s="176">
        <f t="shared" ref="M32" si="20">M31+M24</f>
        <v>-500253.2</v>
      </c>
      <c r="N32" s="176">
        <f t="shared" ref="N32:O32" si="21">N31+N24</f>
        <v>-481295.6</v>
      </c>
      <c r="O32" s="176">
        <f t="shared" si="21"/>
        <v>-460456</v>
      </c>
      <c r="P32" s="176">
        <f t="shared" ref="P32" si="22">P31+P24</f>
        <v>-440237.2</v>
      </c>
      <c r="Q32" s="176">
        <f t="shared" ref="Q32:R32" si="23">Q31+Q24</f>
        <v>-420841.6</v>
      </c>
      <c r="R32" s="176">
        <f t="shared" si="23"/>
        <v>-411614.71840000001</v>
      </c>
      <c r="S32" s="176">
        <f t="shared" ref="S32" si="24">S31+S24</f>
        <v>-395752.41759999999</v>
      </c>
      <c r="T32" s="176">
        <f t="shared" ref="T32" si="25">T31+T24</f>
        <v>-379890.11680000002</v>
      </c>
      <c r="U32" s="308"/>
      <c r="V32" s="1"/>
    </row>
    <row r="33" spans="3:22" x14ac:dyDescent="0.3">
      <c r="C33" s="167" t="s">
        <v>54</v>
      </c>
      <c r="F33" s="207">
        <f>F20+F32</f>
        <v>-32544</v>
      </c>
      <c r="G33" s="207">
        <f t="shared" ref="G33:Q33" si="26">G20+G32</f>
        <v>84423.599999999977</v>
      </c>
      <c r="H33" s="207">
        <f t="shared" si="26"/>
        <v>212599.59999999998</v>
      </c>
      <c r="I33" s="207">
        <f t="shared" si="26"/>
        <v>352384.19999999995</v>
      </c>
      <c r="J33" s="207">
        <f t="shared" si="26"/>
        <v>512399</v>
      </c>
      <c r="K33" s="207">
        <f t="shared" si="26"/>
        <v>697986</v>
      </c>
      <c r="L33" s="207">
        <f t="shared" si="26"/>
        <v>898040.4</v>
      </c>
      <c r="M33" s="207">
        <f t="shared" si="26"/>
        <v>1104948.8</v>
      </c>
      <c r="N33" s="207">
        <f t="shared" si="26"/>
        <v>1309366.6000000001</v>
      </c>
      <c r="O33" s="207">
        <f t="shared" si="26"/>
        <v>1502943.5999999999</v>
      </c>
      <c r="P33" s="207">
        <f t="shared" si="26"/>
        <v>1685660.2</v>
      </c>
      <c r="Q33" s="207">
        <f t="shared" si="26"/>
        <v>1860606.7999999998</v>
      </c>
      <c r="R33" s="207">
        <f t="shared" ref="R33" si="27">R20+R32</f>
        <v>2058851.7552</v>
      </c>
      <c r="S33" s="207">
        <f t="shared" ref="S33" si="28">S20+S32</f>
        <v>2270918.5263999999</v>
      </c>
      <c r="T33" s="207">
        <f t="shared" ref="T33" si="29">T20+T32</f>
        <v>2490171.6943999995</v>
      </c>
      <c r="U33" s="330">
        <f>SUM(F33:Q33)</f>
        <v>10188814.799999999</v>
      </c>
      <c r="V33" s="1"/>
    </row>
    <row r="34" spans="3:22" x14ac:dyDescent="0.3">
      <c r="C34" s="170" t="s">
        <v>56</v>
      </c>
      <c r="F34" s="168"/>
      <c r="G34" s="168"/>
      <c r="H34" s="168"/>
      <c r="I34" s="168"/>
      <c r="J34" s="169"/>
      <c r="K34" s="169"/>
      <c r="L34" s="169"/>
      <c r="M34" s="169"/>
      <c r="N34" s="169"/>
      <c r="O34" s="169"/>
      <c r="P34" s="169"/>
      <c r="Q34" s="168"/>
      <c r="R34" s="169"/>
      <c r="S34" s="169"/>
      <c r="T34" s="169"/>
      <c r="V34" s="1"/>
    </row>
    <row r="35" spans="3:22" x14ac:dyDescent="0.3">
      <c r="C35" s="170" t="s">
        <v>58</v>
      </c>
      <c r="F35" s="169">
        <f>SUM(F33:F34)</f>
        <v>-32544</v>
      </c>
      <c r="G35" s="169">
        <f t="shared" ref="G35:T35" si="30">SUM(G33:G34)</f>
        <v>84423.599999999977</v>
      </c>
      <c r="H35" s="169">
        <f t="shared" si="30"/>
        <v>212599.59999999998</v>
      </c>
      <c r="I35" s="169">
        <f t="shared" si="30"/>
        <v>352384.19999999995</v>
      </c>
      <c r="J35" s="169">
        <f t="shared" si="30"/>
        <v>512399</v>
      </c>
      <c r="K35" s="169">
        <f t="shared" si="30"/>
        <v>697986</v>
      </c>
      <c r="L35" s="169">
        <f t="shared" si="30"/>
        <v>898040.4</v>
      </c>
      <c r="M35" s="169">
        <f t="shared" si="30"/>
        <v>1104948.8</v>
      </c>
      <c r="N35" s="169">
        <f t="shared" si="30"/>
        <v>1309366.6000000001</v>
      </c>
      <c r="O35" s="169">
        <f t="shared" si="30"/>
        <v>1502943.5999999999</v>
      </c>
      <c r="P35" s="169">
        <f t="shared" si="30"/>
        <v>1685660.2</v>
      </c>
      <c r="Q35" s="169">
        <f t="shared" si="30"/>
        <v>1860606.7999999998</v>
      </c>
      <c r="R35" s="169">
        <f t="shared" si="30"/>
        <v>2058851.7552</v>
      </c>
      <c r="S35" s="169">
        <f t="shared" si="30"/>
        <v>2270918.5263999999</v>
      </c>
      <c r="T35" s="169">
        <f t="shared" si="30"/>
        <v>2490171.6943999995</v>
      </c>
      <c r="V35" s="1"/>
    </row>
    <row r="36" spans="3:22" x14ac:dyDescent="0.3">
      <c r="C36" s="177" t="s">
        <v>59</v>
      </c>
      <c r="F36" s="169">
        <f>F34+F35</f>
        <v>-32544</v>
      </c>
      <c r="G36" s="169">
        <f t="shared" ref="G36:T36" si="31">G34+G35</f>
        <v>84423.599999999977</v>
      </c>
      <c r="H36" s="169">
        <f t="shared" si="31"/>
        <v>212599.59999999998</v>
      </c>
      <c r="I36" s="169">
        <f t="shared" si="31"/>
        <v>352384.19999999995</v>
      </c>
      <c r="J36" s="169">
        <f t="shared" si="31"/>
        <v>512399</v>
      </c>
      <c r="K36" s="169">
        <f t="shared" si="31"/>
        <v>697986</v>
      </c>
      <c r="L36" s="169">
        <f t="shared" si="31"/>
        <v>898040.4</v>
      </c>
      <c r="M36" s="169">
        <f t="shared" si="31"/>
        <v>1104948.8</v>
      </c>
      <c r="N36" s="169">
        <f t="shared" si="31"/>
        <v>1309366.6000000001</v>
      </c>
      <c r="O36" s="169">
        <f t="shared" si="31"/>
        <v>1502943.5999999999</v>
      </c>
      <c r="P36" s="169">
        <f t="shared" si="31"/>
        <v>1685660.2</v>
      </c>
      <c r="Q36" s="169">
        <f t="shared" si="31"/>
        <v>1860606.7999999998</v>
      </c>
      <c r="R36" s="169">
        <f t="shared" si="31"/>
        <v>2058851.7552</v>
      </c>
      <c r="S36" s="169">
        <f t="shared" si="31"/>
        <v>2270918.5263999999</v>
      </c>
      <c r="T36" s="169">
        <f t="shared" si="31"/>
        <v>2490171.6943999995</v>
      </c>
      <c r="V36" s="1"/>
    </row>
    <row r="37" spans="3:22" x14ac:dyDescent="0.3">
      <c r="C37" s="170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V37" s="1"/>
    </row>
    <row r="38" spans="3:22" x14ac:dyDescent="0.3">
      <c r="C38" s="170" t="s">
        <v>186</v>
      </c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V38" s="1"/>
    </row>
    <row r="39" spans="3:22" x14ac:dyDescent="0.3">
      <c r="C39" s="170" t="s">
        <v>187</v>
      </c>
      <c r="F39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V39" s="1"/>
    </row>
    <row r="40" spans="3:22" x14ac:dyDescent="0.3">
      <c r="C40" s="170" t="s">
        <v>188</v>
      </c>
      <c r="F40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V40" s="1"/>
    </row>
    <row r="41" spans="3:22" x14ac:dyDescent="0.3">
      <c r="C41" s="170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</sheetData>
  <phoneticPr fontId="7" type="noConversion"/>
  <pageMargins left="0.7" right="0.7" top="0.75" bottom="0.75" header="0.3" footer="0.3"/>
  <ignoredErrors>
    <ignoredError sqref="F19:G19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6E1D-F011-485F-9ED2-43FC1C025345}">
  <sheetPr codeName="Sheet7"/>
  <dimension ref="C2:K46"/>
  <sheetViews>
    <sheetView showGridLines="0" zoomScale="93" zoomScaleNormal="93" workbookViewId="0">
      <selection activeCell="M55" sqref="M55"/>
    </sheetView>
  </sheetViews>
  <sheetFormatPr defaultRowHeight="14.4" x14ac:dyDescent="0.3"/>
  <cols>
    <col min="1" max="1" width="4.44140625" customWidth="1"/>
    <col min="2" max="2" width="2.6640625" customWidth="1"/>
    <col min="3" max="3" width="17.6640625" customWidth="1"/>
    <col min="4" max="11" width="21.77734375" customWidth="1"/>
  </cols>
  <sheetData>
    <row r="2" spans="3:11" ht="16.2" customHeight="1" x14ac:dyDescent="0.3">
      <c r="C2" s="402" t="s">
        <v>212</v>
      </c>
      <c r="D2" s="405"/>
      <c r="E2" s="402" t="s">
        <v>213</v>
      </c>
      <c r="F2" s="403"/>
      <c r="G2" s="403"/>
      <c r="H2" s="96"/>
      <c r="I2" s="97">
        <f>D21/E21</f>
        <v>1.0018429782528566</v>
      </c>
      <c r="J2" s="94" t="s">
        <v>97</v>
      </c>
      <c r="K2" s="98">
        <f>D21/K21</f>
        <v>52.606451612903228</v>
      </c>
    </row>
    <row r="3" spans="3:11" ht="7.8" customHeight="1" x14ac:dyDescent="0.3">
      <c r="C3" s="86"/>
    </row>
    <row r="4" spans="3:11" ht="20.399999999999999" customHeight="1" x14ac:dyDescent="0.4">
      <c r="C4" s="87"/>
      <c r="D4" s="406" t="s">
        <v>278</v>
      </c>
      <c r="E4" s="406"/>
      <c r="F4" s="95"/>
      <c r="G4" s="407" t="s">
        <v>98</v>
      </c>
      <c r="H4" s="407"/>
      <c r="I4" s="407" t="s">
        <v>104</v>
      </c>
      <c r="J4" s="407"/>
      <c r="K4" s="87"/>
    </row>
    <row r="5" spans="3:11" x14ac:dyDescent="0.3">
      <c r="C5" s="88" t="s">
        <v>257</v>
      </c>
      <c r="D5" s="89" t="s">
        <v>93</v>
      </c>
      <c r="E5" s="89" t="s">
        <v>99</v>
      </c>
      <c r="F5" s="89" t="s">
        <v>105</v>
      </c>
      <c r="G5" s="89" t="s">
        <v>100</v>
      </c>
      <c r="H5" s="89" t="s">
        <v>101</v>
      </c>
      <c r="I5" s="100" t="s">
        <v>72</v>
      </c>
      <c r="J5" s="100" t="s">
        <v>103</v>
      </c>
      <c r="K5" s="101" t="s">
        <v>102</v>
      </c>
    </row>
    <row r="6" spans="3:11" ht="15" customHeight="1" x14ac:dyDescent="0.3">
      <c r="C6" s="54" t="s">
        <v>257</v>
      </c>
      <c r="D6" s="220">
        <v>2760</v>
      </c>
      <c r="E6" s="220">
        <v>2760</v>
      </c>
      <c r="F6" s="102">
        <f t="shared" ref="F6:F21" si="0">D6/E6</f>
        <v>1</v>
      </c>
      <c r="G6" s="221">
        <f>IF(ISBLANK(D6-E6),"",(D6-E6))</f>
        <v>0</v>
      </c>
      <c r="H6" s="222">
        <f>AVERAGE($G$6:$G$20)</f>
        <v>5</v>
      </c>
      <c r="I6" s="220">
        <v>35</v>
      </c>
      <c r="J6" s="220">
        <v>15</v>
      </c>
      <c r="K6" s="223">
        <f>SUM(Table132[[#This Row],[Totals]:[Overuns]])</f>
        <v>50</v>
      </c>
    </row>
    <row r="7" spans="3:11" ht="15" customHeight="1" x14ac:dyDescent="0.3">
      <c r="C7" s="54" t="s">
        <v>257</v>
      </c>
      <c r="D7" s="220">
        <v>2660</v>
      </c>
      <c r="E7" s="220">
        <v>2760</v>
      </c>
      <c r="F7" s="102">
        <f t="shared" si="0"/>
        <v>0.96376811594202894</v>
      </c>
      <c r="G7" s="221">
        <f t="shared" ref="G7:G20" si="1">IF(ISBLANK(D7-E7),"",(D7-E7))</f>
        <v>-100</v>
      </c>
      <c r="H7" s="222">
        <f t="shared" ref="H7:H20" si="2">AVERAGE($G$6:$G$20)</f>
        <v>5</v>
      </c>
      <c r="I7" s="220">
        <v>35</v>
      </c>
      <c r="J7" s="220">
        <v>16</v>
      </c>
      <c r="K7" s="223">
        <f>SUM(Table132[[#This Row],[Totals]:[Overuns]])</f>
        <v>51</v>
      </c>
    </row>
    <row r="8" spans="3:11" ht="15" customHeight="1" x14ac:dyDescent="0.3">
      <c r="C8" s="54" t="s">
        <v>257</v>
      </c>
      <c r="D8" s="220">
        <v>2560</v>
      </c>
      <c r="E8" s="220">
        <v>2660</v>
      </c>
      <c r="F8" s="102">
        <f t="shared" si="0"/>
        <v>0.96240601503759393</v>
      </c>
      <c r="G8" s="221">
        <f t="shared" si="1"/>
        <v>-100</v>
      </c>
      <c r="H8" s="222">
        <f t="shared" si="2"/>
        <v>5</v>
      </c>
      <c r="I8" s="220">
        <v>35</v>
      </c>
      <c r="J8" s="220">
        <v>16</v>
      </c>
      <c r="K8" s="223">
        <f>SUM(Table132[[#This Row],[Totals]:[Overuns]])</f>
        <v>51</v>
      </c>
    </row>
    <row r="9" spans="3:11" ht="15" customHeight="1" x14ac:dyDescent="0.3">
      <c r="C9" s="54" t="s">
        <v>257</v>
      </c>
      <c r="D9" s="220">
        <v>2550</v>
      </c>
      <c r="E9" s="220">
        <v>2450</v>
      </c>
      <c r="F9" s="102">
        <f t="shared" si="0"/>
        <v>1.0408163265306123</v>
      </c>
      <c r="G9" s="221">
        <f t="shared" si="1"/>
        <v>100</v>
      </c>
      <c r="H9" s="222">
        <f t="shared" si="2"/>
        <v>5</v>
      </c>
      <c r="I9" s="220">
        <v>35</v>
      </c>
      <c r="J9" s="220">
        <v>16</v>
      </c>
      <c r="K9" s="223">
        <f>SUM(Table132[[#This Row],[Totals]:[Overuns]])</f>
        <v>51</v>
      </c>
    </row>
    <row r="10" spans="3:11" ht="15" customHeight="1" x14ac:dyDescent="0.3">
      <c r="C10" s="54" t="s">
        <v>257</v>
      </c>
      <c r="D10" s="220">
        <v>2550</v>
      </c>
      <c r="E10" s="220">
        <v>2500</v>
      </c>
      <c r="F10" s="102">
        <f t="shared" si="0"/>
        <v>1.02</v>
      </c>
      <c r="G10" s="221">
        <f t="shared" si="1"/>
        <v>50</v>
      </c>
      <c r="H10" s="222">
        <f t="shared" si="2"/>
        <v>5</v>
      </c>
      <c r="I10" s="220">
        <v>35</v>
      </c>
      <c r="J10" s="220">
        <v>16</v>
      </c>
      <c r="K10" s="223">
        <f>SUM(Table132[[#This Row],[Totals]:[Overuns]])</f>
        <v>51</v>
      </c>
    </row>
    <row r="11" spans="3:11" ht="15" customHeight="1" x14ac:dyDescent="0.3">
      <c r="C11" s="54" t="s">
        <v>257</v>
      </c>
      <c r="D11" s="220">
        <v>2760</v>
      </c>
      <c r="E11" s="220">
        <v>2760</v>
      </c>
      <c r="F11" s="102">
        <f t="shared" si="0"/>
        <v>1</v>
      </c>
      <c r="G11" s="221">
        <f t="shared" si="1"/>
        <v>0</v>
      </c>
      <c r="H11" s="222">
        <f t="shared" si="2"/>
        <v>5</v>
      </c>
      <c r="I11" s="220">
        <v>35</v>
      </c>
      <c r="J11" s="220">
        <v>15</v>
      </c>
      <c r="K11" s="223">
        <f>SUM(Table132[[#This Row],[Totals]:[Overuns]])</f>
        <v>50</v>
      </c>
    </row>
    <row r="12" spans="3:11" ht="15" customHeight="1" x14ac:dyDescent="0.3">
      <c r="C12" s="54" t="s">
        <v>257</v>
      </c>
      <c r="D12" s="220">
        <v>2760</v>
      </c>
      <c r="E12" s="220">
        <v>2760</v>
      </c>
      <c r="F12" s="102">
        <f t="shared" si="0"/>
        <v>1</v>
      </c>
      <c r="G12" s="221">
        <f t="shared" si="1"/>
        <v>0</v>
      </c>
      <c r="H12" s="222">
        <f t="shared" si="2"/>
        <v>5</v>
      </c>
      <c r="I12" s="220">
        <v>35</v>
      </c>
      <c r="J12" s="220">
        <v>20</v>
      </c>
      <c r="K12" s="223">
        <f>SUM(Table132[[#This Row],[Totals]:[Overuns]])</f>
        <v>55</v>
      </c>
    </row>
    <row r="13" spans="3:11" ht="15" customHeight="1" x14ac:dyDescent="0.3">
      <c r="C13" s="54" t="s">
        <v>257</v>
      </c>
      <c r="D13" s="220">
        <v>2760</v>
      </c>
      <c r="E13" s="220">
        <v>2700</v>
      </c>
      <c r="F13" s="102">
        <f t="shared" si="0"/>
        <v>1.0222222222222221</v>
      </c>
      <c r="G13" s="221">
        <f t="shared" si="1"/>
        <v>60</v>
      </c>
      <c r="H13" s="222">
        <f t="shared" si="2"/>
        <v>5</v>
      </c>
      <c r="I13" s="220">
        <v>35</v>
      </c>
      <c r="J13" s="220">
        <v>20</v>
      </c>
      <c r="K13" s="223">
        <f>SUM(Table132[[#This Row],[Totals]:[Overuns]])</f>
        <v>55</v>
      </c>
    </row>
    <row r="14" spans="3:11" ht="15" customHeight="1" x14ac:dyDescent="0.3">
      <c r="C14" s="54" t="s">
        <v>257</v>
      </c>
      <c r="D14" s="220">
        <v>2760</v>
      </c>
      <c r="E14" s="220">
        <v>2750</v>
      </c>
      <c r="F14" s="102">
        <f t="shared" si="0"/>
        <v>1.0036363636363637</v>
      </c>
      <c r="G14" s="221">
        <f t="shared" si="1"/>
        <v>10</v>
      </c>
      <c r="H14" s="222">
        <f t="shared" si="2"/>
        <v>5</v>
      </c>
      <c r="I14" s="220">
        <v>35</v>
      </c>
      <c r="J14" s="220">
        <v>20</v>
      </c>
      <c r="K14" s="223">
        <f>SUM(Table132[[#This Row],[Totals]:[Overuns]])</f>
        <v>55</v>
      </c>
    </row>
    <row r="15" spans="3:11" ht="15" customHeight="1" x14ac:dyDescent="0.3">
      <c r="C15" s="54" t="s">
        <v>257</v>
      </c>
      <c r="D15" s="220">
        <v>3000</v>
      </c>
      <c r="E15" s="220">
        <v>3005</v>
      </c>
      <c r="F15" s="102">
        <f t="shared" si="0"/>
        <v>0.99833610648918469</v>
      </c>
      <c r="G15" s="221">
        <f t="shared" si="1"/>
        <v>-5</v>
      </c>
      <c r="H15" s="222">
        <f t="shared" si="2"/>
        <v>5</v>
      </c>
      <c r="I15" s="220">
        <v>35</v>
      </c>
      <c r="J15" s="220">
        <v>15</v>
      </c>
      <c r="K15" s="223">
        <f>SUM(Table132[[#This Row],[Totals]:[Overuns]])</f>
        <v>50</v>
      </c>
    </row>
    <row r="16" spans="3:11" ht="15" customHeight="1" x14ac:dyDescent="0.3">
      <c r="C16" s="54" t="s">
        <v>257</v>
      </c>
      <c r="D16" s="220">
        <v>2970</v>
      </c>
      <c r="E16" s="220">
        <v>2970</v>
      </c>
      <c r="F16" s="102">
        <f t="shared" si="0"/>
        <v>1</v>
      </c>
      <c r="G16" s="221">
        <f t="shared" si="1"/>
        <v>0</v>
      </c>
      <c r="H16" s="222">
        <f t="shared" si="2"/>
        <v>5</v>
      </c>
      <c r="I16" s="220">
        <v>35</v>
      </c>
      <c r="J16" s="220">
        <v>22</v>
      </c>
      <c r="K16" s="223">
        <f>SUM(Table132[[#This Row],[Totals]:[Overuns]])</f>
        <v>57</v>
      </c>
    </row>
    <row r="17" spans="3:11" ht="15" customHeight="1" x14ac:dyDescent="0.3">
      <c r="C17" s="54" t="s">
        <v>257</v>
      </c>
      <c r="D17" s="220">
        <v>2760</v>
      </c>
      <c r="E17" s="220">
        <v>2760</v>
      </c>
      <c r="F17" s="102">
        <f t="shared" si="0"/>
        <v>1</v>
      </c>
      <c r="G17" s="221">
        <f>IF(ISBLANK(D17-E17),"",(D17-E17))</f>
        <v>0</v>
      </c>
      <c r="H17" s="222">
        <f t="shared" si="2"/>
        <v>5</v>
      </c>
      <c r="I17" s="220">
        <v>35</v>
      </c>
      <c r="J17" s="220">
        <v>15</v>
      </c>
      <c r="K17" s="220">
        <f>SUM(Table132[[#This Row],[Totals]:[Overuns]])</f>
        <v>50</v>
      </c>
    </row>
    <row r="18" spans="3:11" ht="15" customHeight="1" x14ac:dyDescent="0.3">
      <c r="C18" s="54" t="s">
        <v>257</v>
      </c>
      <c r="D18" s="220">
        <v>2760</v>
      </c>
      <c r="E18" s="220">
        <v>2760</v>
      </c>
      <c r="F18" s="102">
        <f t="shared" si="0"/>
        <v>1</v>
      </c>
      <c r="G18" s="221">
        <f>IF(ISBLANK(D18-E18),"",(D18-E18))</f>
        <v>0</v>
      </c>
      <c r="H18" s="222">
        <f t="shared" si="2"/>
        <v>5</v>
      </c>
      <c r="I18" s="220">
        <v>35</v>
      </c>
      <c r="J18" s="220">
        <v>16</v>
      </c>
      <c r="K18" s="220">
        <f>SUM(Table132[[#This Row],[Totals]:[Overuns]])</f>
        <v>51</v>
      </c>
    </row>
    <row r="19" spans="3:11" ht="15" customHeight="1" x14ac:dyDescent="0.3">
      <c r="C19" s="54" t="s">
        <v>257</v>
      </c>
      <c r="D19" s="220">
        <v>2400</v>
      </c>
      <c r="E19" s="220">
        <v>2350</v>
      </c>
      <c r="F19" s="102">
        <f t="shared" si="0"/>
        <v>1.0212765957446808</v>
      </c>
      <c r="G19" s="221">
        <f>IF(ISBLANK(D19-E19),"",(D19-E19))</f>
        <v>50</v>
      </c>
      <c r="H19" s="222">
        <f t="shared" si="2"/>
        <v>5</v>
      </c>
      <c r="I19" s="220">
        <v>35</v>
      </c>
      <c r="J19" s="220">
        <v>14</v>
      </c>
      <c r="K19" s="220">
        <f>SUM(Table132[[#This Row],[Totals]:[Overuns]])</f>
        <v>49</v>
      </c>
    </row>
    <row r="20" spans="3:11" ht="15" customHeight="1" x14ac:dyDescent="0.3">
      <c r="C20" s="54" t="s">
        <v>257</v>
      </c>
      <c r="D20" s="220">
        <v>2760</v>
      </c>
      <c r="E20" s="220">
        <v>2750</v>
      </c>
      <c r="F20" s="102">
        <f t="shared" si="0"/>
        <v>1.0036363636363637</v>
      </c>
      <c r="G20" s="221">
        <f t="shared" si="1"/>
        <v>10</v>
      </c>
      <c r="H20" s="222">
        <f t="shared" si="2"/>
        <v>5</v>
      </c>
      <c r="I20" s="220">
        <v>35</v>
      </c>
      <c r="J20" s="220">
        <v>14</v>
      </c>
      <c r="K20" s="223">
        <f>SUM(Table132[[#This Row],[Totals]:[Overuns]])</f>
        <v>49</v>
      </c>
    </row>
    <row r="21" spans="3:11" ht="15" x14ac:dyDescent="0.3">
      <c r="C21" s="99" t="s">
        <v>72</v>
      </c>
      <c r="D21" s="224">
        <f>SUBTOTAL(109,D6:D20)</f>
        <v>40770</v>
      </c>
      <c r="E21" s="224">
        <f>SUBTOTAL(109,E6:E20)</f>
        <v>40695</v>
      </c>
      <c r="F21" s="103">
        <f t="shared" si="0"/>
        <v>1.0018429782528566</v>
      </c>
      <c r="G21" s="225">
        <f>IF(ISBLANK(D21-E21),"",(D21-E21))</f>
        <v>75</v>
      </c>
      <c r="H21" s="224">
        <f>SUBTOTAL(109,H6:H20)</f>
        <v>75</v>
      </c>
      <c r="I21" s="224">
        <f>SUBTOTAL(109,I6:I20)</f>
        <v>525</v>
      </c>
      <c r="J21" s="224">
        <f>SUBTOTAL(109,J6:J20)</f>
        <v>250</v>
      </c>
      <c r="K21" s="224">
        <f>SUM(Table132[[#This Row],[Totals]:[Overuns]])</f>
        <v>775</v>
      </c>
    </row>
    <row r="22" spans="3:11" x14ac:dyDescent="0.3">
      <c r="C22" s="90"/>
      <c r="D22" s="91"/>
      <c r="E22" s="91"/>
      <c r="F22" s="91"/>
      <c r="G22" s="91"/>
      <c r="H22" s="91"/>
      <c r="I22" s="91"/>
      <c r="J22" s="91"/>
      <c r="K22" s="91"/>
    </row>
    <row r="23" spans="3:11" ht="18" x14ac:dyDescent="0.3">
      <c r="C23" s="404"/>
      <c r="D23" s="404"/>
      <c r="E23" s="404"/>
      <c r="F23" s="404"/>
      <c r="G23" s="404"/>
      <c r="H23" s="404"/>
      <c r="I23" s="404"/>
      <c r="J23" s="404"/>
      <c r="K23" s="404"/>
    </row>
    <row r="24" spans="3:11" ht="15.6" x14ac:dyDescent="0.3">
      <c r="C24" s="93"/>
      <c r="D24" s="92"/>
      <c r="E24" s="92"/>
      <c r="F24" s="92"/>
      <c r="G24" s="92"/>
      <c r="H24" s="92"/>
      <c r="I24" s="92"/>
      <c r="J24" s="92"/>
      <c r="K24" s="93"/>
    </row>
    <row r="25" spans="3:11" ht="15.6" x14ac:dyDescent="0.3">
      <c r="C25" s="93"/>
      <c r="D25" s="92"/>
      <c r="E25" s="92"/>
      <c r="F25" s="92"/>
      <c r="G25" s="92"/>
      <c r="H25" s="92"/>
      <c r="I25" s="92"/>
      <c r="J25" s="92"/>
      <c r="K25" s="93"/>
    </row>
    <row r="26" spans="3:11" ht="15.6" x14ac:dyDescent="0.3">
      <c r="C26" s="93"/>
      <c r="D26" s="92"/>
      <c r="E26" s="92"/>
      <c r="F26" s="92"/>
      <c r="G26" s="92"/>
      <c r="H26" s="92"/>
      <c r="I26" s="92"/>
      <c r="J26" s="92"/>
      <c r="K26" s="93"/>
    </row>
    <row r="27" spans="3:11" ht="15.6" x14ac:dyDescent="0.3">
      <c r="C27" s="93"/>
      <c r="D27" s="92"/>
      <c r="E27" s="92"/>
      <c r="F27" s="92"/>
      <c r="G27" s="92"/>
      <c r="H27" s="92"/>
      <c r="I27" s="92"/>
      <c r="J27" s="92"/>
      <c r="K27" s="93"/>
    </row>
    <row r="28" spans="3:11" ht="15.6" x14ac:dyDescent="0.3">
      <c r="C28" s="93"/>
      <c r="D28" s="92"/>
      <c r="E28" s="92"/>
      <c r="F28" s="92"/>
      <c r="G28" s="92"/>
      <c r="H28" s="92"/>
      <c r="I28" s="92"/>
      <c r="J28" s="92"/>
      <c r="K28" s="93"/>
    </row>
    <row r="29" spans="3:11" ht="15.6" x14ac:dyDescent="0.3">
      <c r="C29" s="93"/>
      <c r="D29" s="92"/>
      <c r="E29" s="92"/>
      <c r="F29" s="92"/>
      <c r="G29" s="92"/>
      <c r="H29" s="92"/>
      <c r="I29" s="92"/>
      <c r="J29" s="92"/>
      <c r="K29" s="93"/>
    </row>
    <row r="30" spans="3:11" ht="15.6" x14ac:dyDescent="0.3">
      <c r="C30" s="93"/>
      <c r="D30" s="92"/>
      <c r="E30" s="92"/>
      <c r="F30" s="92"/>
      <c r="G30" s="92"/>
      <c r="H30" s="92"/>
      <c r="I30" s="92"/>
      <c r="J30" s="92"/>
      <c r="K30" s="93"/>
    </row>
    <row r="31" spans="3:11" ht="15.6" x14ac:dyDescent="0.3">
      <c r="C31" s="93"/>
      <c r="D31" s="92"/>
      <c r="E31" s="92"/>
      <c r="F31" s="92"/>
      <c r="G31" s="92"/>
      <c r="H31" s="92"/>
      <c r="I31" s="92"/>
      <c r="J31" s="92"/>
      <c r="K31" s="93"/>
    </row>
    <row r="32" spans="3:11" ht="15.6" x14ac:dyDescent="0.3">
      <c r="C32" s="93"/>
      <c r="D32" s="92"/>
      <c r="E32" s="92"/>
      <c r="F32" s="92"/>
      <c r="G32" s="92"/>
      <c r="H32" s="92"/>
      <c r="I32" s="92"/>
      <c r="J32" s="92"/>
      <c r="K32" s="93"/>
    </row>
    <row r="33" spans="3:11" ht="15.6" x14ac:dyDescent="0.3">
      <c r="C33" s="93"/>
      <c r="D33" s="92"/>
      <c r="E33" s="92"/>
      <c r="F33" s="92"/>
      <c r="G33" s="92"/>
      <c r="H33" s="92"/>
      <c r="I33" s="92"/>
      <c r="J33" s="92"/>
      <c r="K33" s="93"/>
    </row>
    <row r="34" spans="3:11" ht="15.6" x14ac:dyDescent="0.3">
      <c r="C34" s="93"/>
      <c r="D34" s="92"/>
      <c r="E34" s="92"/>
      <c r="F34" s="92"/>
      <c r="G34" s="92"/>
      <c r="H34" s="92"/>
      <c r="I34" s="92"/>
      <c r="J34" s="92"/>
      <c r="K34" s="93"/>
    </row>
    <row r="35" spans="3:11" ht="15.6" x14ac:dyDescent="0.3">
      <c r="C35" s="93"/>
      <c r="D35" s="92"/>
      <c r="E35" s="92"/>
      <c r="F35" s="92"/>
      <c r="G35" s="92"/>
      <c r="H35" s="92"/>
      <c r="I35" s="92"/>
      <c r="J35" s="92"/>
      <c r="K35" s="93"/>
    </row>
    <row r="36" spans="3:11" ht="15.6" x14ac:dyDescent="0.3">
      <c r="C36" s="93"/>
      <c r="D36" s="92"/>
      <c r="E36" s="92"/>
      <c r="F36" s="92"/>
      <c r="G36" s="92"/>
      <c r="H36" s="92"/>
      <c r="I36" s="92"/>
      <c r="J36" s="92"/>
      <c r="K36" s="93"/>
    </row>
    <row r="37" spans="3:11" ht="15.6" x14ac:dyDescent="0.3">
      <c r="C37" s="93"/>
      <c r="D37" s="92"/>
      <c r="E37" s="92"/>
      <c r="F37" s="92"/>
      <c r="G37" s="92"/>
      <c r="H37" s="92"/>
      <c r="I37" s="92"/>
      <c r="J37" s="92"/>
      <c r="K37" s="93"/>
    </row>
    <row r="38" spans="3:11" ht="15.6" x14ac:dyDescent="0.3">
      <c r="C38" s="93"/>
      <c r="D38" s="92"/>
      <c r="E38" s="92"/>
      <c r="F38" s="92"/>
      <c r="G38" s="92"/>
      <c r="H38" s="92"/>
      <c r="I38" s="92"/>
      <c r="J38" s="92"/>
      <c r="K38" s="93"/>
    </row>
    <row r="39" spans="3:11" ht="15.6" x14ac:dyDescent="0.3">
      <c r="C39" s="93"/>
      <c r="D39" s="92"/>
      <c r="E39" s="92"/>
      <c r="F39" s="92"/>
      <c r="G39" s="92"/>
      <c r="H39" s="92"/>
      <c r="I39" s="92"/>
      <c r="J39" s="92"/>
      <c r="K39" s="93"/>
    </row>
    <row r="40" spans="3:11" ht="15.6" x14ac:dyDescent="0.3">
      <c r="C40" s="93"/>
      <c r="D40" s="92"/>
      <c r="E40" s="92"/>
      <c r="F40" s="92"/>
      <c r="G40" s="92"/>
      <c r="H40" s="92"/>
      <c r="I40" s="92"/>
      <c r="J40" s="92"/>
      <c r="K40" s="93"/>
    </row>
    <row r="41" spans="3:11" ht="15.6" x14ac:dyDescent="0.3">
      <c r="C41" s="93"/>
      <c r="D41" s="92"/>
      <c r="E41" s="92"/>
      <c r="F41" s="92"/>
      <c r="G41" s="92"/>
      <c r="H41" s="92"/>
      <c r="I41" s="92"/>
      <c r="J41" s="92"/>
      <c r="K41" s="93"/>
    </row>
    <row r="42" spans="3:11" ht="15.6" x14ac:dyDescent="0.3">
      <c r="C42" s="93"/>
      <c r="D42" s="92"/>
      <c r="E42" s="92"/>
      <c r="F42" s="92"/>
      <c r="G42" s="92"/>
      <c r="H42" s="92"/>
      <c r="I42" s="92"/>
      <c r="J42" s="92"/>
      <c r="K42" s="93"/>
    </row>
    <row r="43" spans="3:11" ht="15.6" x14ac:dyDescent="0.3">
      <c r="C43" s="93"/>
      <c r="D43" s="92"/>
      <c r="E43" s="92"/>
      <c r="F43" s="92"/>
      <c r="G43" s="92"/>
      <c r="H43" s="92"/>
      <c r="I43" s="92"/>
      <c r="J43" s="92"/>
      <c r="K43" s="93"/>
    </row>
    <row r="44" spans="3:11" ht="15.6" x14ac:dyDescent="0.3">
      <c r="C44" s="93"/>
      <c r="D44" s="92"/>
      <c r="E44" s="92"/>
      <c r="F44" s="92"/>
      <c r="G44" s="92"/>
      <c r="H44" s="92"/>
      <c r="I44" s="92"/>
      <c r="J44" s="92"/>
      <c r="K44" s="93"/>
    </row>
    <row r="45" spans="3:11" ht="15.6" x14ac:dyDescent="0.3">
      <c r="C45" s="93"/>
      <c r="D45" s="93"/>
      <c r="E45" s="93"/>
      <c r="F45" s="93"/>
      <c r="G45" s="93"/>
      <c r="H45" s="93"/>
      <c r="I45" s="93"/>
      <c r="J45" s="93"/>
      <c r="K45" s="93"/>
    </row>
    <row r="46" spans="3:11" x14ac:dyDescent="0.3">
      <c r="D46" s="9"/>
      <c r="E46" s="9"/>
      <c r="F46" s="9"/>
      <c r="G46" s="9"/>
      <c r="H46" s="9"/>
      <c r="I46" s="9"/>
      <c r="J46" s="9"/>
    </row>
  </sheetData>
  <mergeCells count="6">
    <mergeCell ref="E2:G2"/>
    <mergeCell ref="C23:K23"/>
    <mergeCell ref="C2:D2"/>
    <mergeCell ref="D4:E4"/>
    <mergeCell ref="G4:H4"/>
    <mergeCell ref="I4:J4"/>
  </mergeCells>
  <phoneticPr fontId="7" type="noConversion"/>
  <pageMargins left="0.7" right="0.7" top="0.75" bottom="0.75" header="0.3" footer="0.3"/>
  <drawing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52B9-B943-4C2F-92C2-C94BC028D3B5}">
  <sheetPr codeName="Sheet8"/>
  <dimension ref="B2:P44"/>
  <sheetViews>
    <sheetView showGridLines="0" workbookViewId="0">
      <selection activeCell="O44" sqref="O44"/>
    </sheetView>
  </sheetViews>
  <sheetFormatPr defaultRowHeight="14.4" x14ac:dyDescent="0.3"/>
  <cols>
    <col min="1" max="1" width="1.44140625" customWidth="1"/>
    <col min="2" max="2" width="29.5546875" customWidth="1"/>
    <col min="3" max="3" width="13.5546875" customWidth="1"/>
    <col min="4" max="4" width="15.44140625" customWidth="1"/>
    <col min="5" max="5" width="15.33203125" customWidth="1"/>
    <col min="6" max="6" width="14.109375" customWidth="1"/>
    <col min="7" max="7" width="14" customWidth="1"/>
    <col min="8" max="8" width="16" customWidth="1"/>
    <col min="9" max="9" width="15.21875" customWidth="1"/>
    <col min="10" max="11" width="11.33203125" customWidth="1"/>
    <col min="12" max="12" width="10.44140625" customWidth="1"/>
    <col min="13" max="13" width="10" customWidth="1"/>
    <col min="14" max="14" width="10.77734375" customWidth="1"/>
    <col min="15" max="15" width="12.33203125" customWidth="1"/>
    <col min="16" max="16" width="14.21875" customWidth="1"/>
  </cols>
  <sheetData>
    <row r="2" spans="2:15" x14ac:dyDescent="0.3">
      <c r="B2" s="104" t="s">
        <v>279</v>
      </c>
      <c r="C2" s="105" t="s">
        <v>280</v>
      </c>
      <c r="D2" s="106"/>
      <c r="E2" s="106" t="s">
        <v>213</v>
      </c>
      <c r="F2" s="106"/>
      <c r="G2" s="107"/>
    </row>
    <row r="4" spans="2:15" x14ac:dyDescent="0.3">
      <c r="B4" s="57" t="s">
        <v>64</v>
      </c>
      <c r="C4" s="58" t="s">
        <v>25</v>
      </c>
      <c r="D4" s="58" t="s">
        <v>26</v>
      </c>
      <c r="E4" s="58" t="s">
        <v>27</v>
      </c>
      <c r="F4" s="58" t="s">
        <v>28</v>
      </c>
      <c r="G4" s="58" t="s">
        <v>29</v>
      </c>
      <c r="H4" s="58" t="s">
        <v>30</v>
      </c>
      <c r="I4" s="58" t="s">
        <v>31</v>
      </c>
      <c r="J4" s="58" t="s">
        <v>32</v>
      </c>
      <c r="K4" s="58" t="s">
        <v>33</v>
      </c>
      <c r="L4" s="58" t="s">
        <v>34</v>
      </c>
      <c r="M4" s="58">
        <v>3500</v>
      </c>
      <c r="N4" s="58" t="s">
        <v>36</v>
      </c>
      <c r="O4" s="58" t="s">
        <v>72</v>
      </c>
    </row>
    <row r="5" spans="2:15" x14ac:dyDescent="0.3">
      <c r="B5" s="59" t="s">
        <v>92</v>
      </c>
      <c r="C5" s="231">
        <v>3500</v>
      </c>
      <c r="D5" s="231">
        <v>4000</v>
      </c>
      <c r="E5" s="231">
        <v>4500</v>
      </c>
      <c r="F5" s="231">
        <v>5500</v>
      </c>
      <c r="G5" s="231">
        <v>6500</v>
      </c>
      <c r="H5" s="231">
        <v>7500</v>
      </c>
      <c r="I5" s="231">
        <v>8500</v>
      </c>
      <c r="J5" s="231">
        <v>11000</v>
      </c>
      <c r="K5" s="231">
        <v>9500</v>
      </c>
      <c r="L5" s="231">
        <v>9600</v>
      </c>
      <c r="M5" s="231">
        <v>9700</v>
      </c>
      <c r="N5" s="231">
        <v>9900</v>
      </c>
      <c r="O5" s="232">
        <f>SUM(C5:N5)</f>
        <v>89700</v>
      </c>
    </row>
    <row r="6" spans="2:15" x14ac:dyDescent="0.3">
      <c r="B6" s="60" t="s">
        <v>265</v>
      </c>
      <c r="C6" s="231">
        <v>4400</v>
      </c>
      <c r="D6" s="231">
        <v>3800</v>
      </c>
      <c r="E6" s="231">
        <v>4500</v>
      </c>
      <c r="F6" s="231">
        <v>5500</v>
      </c>
      <c r="G6" s="231">
        <v>6000</v>
      </c>
      <c r="H6" s="231">
        <v>8500</v>
      </c>
      <c r="I6" s="231">
        <v>9500</v>
      </c>
      <c r="J6" s="231"/>
      <c r="K6" s="231"/>
      <c r="L6" s="231"/>
      <c r="M6" s="231"/>
      <c r="N6" s="231"/>
      <c r="O6" s="232">
        <f t="shared" ref="O6:O11" si="0">SUM(C6:N6)</f>
        <v>42200</v>
      </c>
    </row>
    <row r="7" spans="2:15" x14ac:dyDescent="0.3">
      <c r="B7" s="61" t="s">
        <v>266</v>
      </c>
      <c r="C7" s="231">
        <v>3100</v>
      </c>
      <c r="D7" s="231">
        <v>4150</v>
      </c>
      <c r="E7" s="231">
        <v>4700</v>
      </c>
      <c r="F7" s="231">
        <v>5600</v>
      </c>
      <c r="G7" s="231">
        <v>6900</v>
      </c>
      <c r="H7" s="231">
        <v>7700</v>
      </c>
      <c r="I7" s="231">
        <v>8600</v>
      </c>
      <c r="J7" s="231"/>
      <c r="K7" s="231"/>
      <c r="L7" s="231"/>
      <c r="M7" s="231"/>
      <c r="N7" s="231"/>
      <c r="O7" s="232">
        <f t="shared" si="0"/>
        <v>40750</v>
      </c>
    </row>
    <row r="8" spans="2:15" x14ac:dyDescent="0.3">
      <c r="B8" s="62" t="s">
        <v>267</v>
      </c>
      <c r="C8" s="231">
        <v>6000</v>
      </c>
      <c r="D8" s="231">
        <v>6500</v>
      </c>
      <c r="E8" s="231">
        <v>6700</v>
      </c>
      <c r="F8" s="231">
        <v>6900</v>
      </c>
      <c r="G8" s="231">
        <v>7200</v>
      </c>
      <c r="H8" s="231">
        <v>7800</v>
      </c>
      <c r="I8" s="231">
        <v>8900</v>
      </c>
      <c r="J8" s="231"/>
      <c r="K8" s="231"/>
      <c r="L8" s="231"/>
      <c r="M8" s="231"/>
      <c r="N8" s="231"/>
      <c r="O8" s="232">
        <f t="shared" si="0"/>
        <v>50000</v>
      </c>
    </row>
    <row r="9" spans="2:15" x14ac:dyDescent="0.3">
      <c r="B9" s="63" t="s">
        <v>268</v>
      </c>
      <c r="C9" s="231">
        <v>5700</v>
      </c>
      <c r="D9" s="231">
        <v>6250</v>
      </c>
      <c r="E9" s="231">
        <v>6400</v>
      </c>
      <c r="F9" s="231">
        <v>6500</v>
      </c>
      <c r="G9" s="231">
        <v>7000</v>
      </c>
      <c r="H9" s="231">
        <v>7550</v>
      </c>
      <c r="I9" s="231">
        <v>8600</v>
      </c>
      <c r="J9" s="231"/>
      <c r="K9" s="231"/>
      <c r="L9" s="231"/>
      <c r="M9" s="231"/>
      <c r="N9" s="231"/>
      <c r="O9" s="232">
        <f t="shared" si="0"/>
        <v>48000</v>
      </c>
    </row>
    <row r="10" spans="2:15" x14ac:dyDescent="0.3">
      <c r="B10" s="64" t="s">
        <v>269</v>
      </c>
      <c r="C10" s="231">
        <v>2700</v>
      </c>
      <c r="D10" s="231">
        <v>3100</v>
      </c>
      <c r="E10" s="231">
        <v>3500</v>
      </c>
      <c r="F10" s="231">
        <v>4300</v>
      </c>
      <c r="G10" s="231">
        <v>5100</v>
      </c>
      <c r="H10" s="231">
        <v>6500</v>
      </c>
      <c r="I10" s="231">
        <v>7500</v>
      </c>
      <c r="J10" s="231"/>
      <c r="K10" s="231"/>
      <c r="L10" s="231"/>
      <c r="M10" s="231"/>
      <c r="N10" s="231"/>
      <c r="O10" s="232">
        <f t="shared" si="0"/>
        <v>32700</v>
      </c>
    </row>
    <row r="11" spans="2:15" x14ac:dyDescent="0.3">
      <c r="B11" s="65" t="s">
        <v>270</v>
      </c>
      <c r="C11" s="231">
        <v>3600</v>
      </c>
      <c r="D11" s="231">
        <v>3950</v>
      </c>
      <c r="E11" s="231">
        <v>4100</v>
      </c>
      <c r="F11" s="231">
        <v>5500</v>
      </c>
      <c r="G11" s="231">
        <v>7100</v>
      </c>
      <c r="H11" s="231">
        <v>7450</v>
      </c>
      <c r="I11" s="231">
        <v>8800</v>
      </c>
      <c r="J11" s="231"/>
      <c r="K11" s="231"/>
      <c r="L11" s="231"/>
      <c r="M11" s="231"/>
      <c r="N11" s="231"/>
      <c r="O11" s="232">
        <f t="shared" si="0"/>
        <v>40500</v>
      </c>
    </row>
    <row r="32" spans="2:16" ht="37.799999999999997" customHeight="1" x14ac:dyDescent="0.3">
      <c r="B32" s="408" t="s">
        <v>211</v>
      </c>
      <c r="C32" s="410"/>
      <c r="D32" s="408" t="s">
        <v>74</v>
      </c>
      <c r="E32" s="409"/>
      <c r="F32" s="410"/>
      <c r="G32" s="408" t="s">
        <v>75</v>
      </c>
      <c r="H32" s="410"/>
      <c r="I32" s="408" t="s">
        <v>76</v>
      </c>
      <c r="J32" s="409"/>
      <c r="K32" s="410"/>
      <c r="L32" s="408" t="s">
        <v>77</v>
      </c>
      <c r="M32" s="410"/>
      <c r="N32" s="408" t="s">
        <v>78</v>
      </c>
      <c r="O32" s="409"/>
      <c r="P32" s="410"/>
    </row>
    <row r="33" spans="2:16" ht="25.2" x14ac:dyDescent="0.3">
      <c r="B33" s="43" t="s">
        <v>79</v>
      </c>
      <c r="C33" s="43" t="s">
        <v>80</v>
      </c>
      <c r="D33" s="44" t="s">
        <v>81</v>
      </c>
      <c r="E33" s="45" t="s">
        <v>82</v>
      </c>
      <c r="F33" s="43" t="s">
        <v>83</v>
      </c>
      <c r="G33" s="43" t="s">
        <v>84</v>
      </c>
      <c r="H33" s="43" t="s">
        <v>85</v>
      </c>
      <c r="I33" s="44" t="s">
        <v>81</v>
      </c>
      <c r="J33" s="45" t="s">
        <v>82</v>
      </c>
      <c r="K33" s="43" t="s">
        <v>83</v>
      </c>
      <c r="L33" s="46" t="s">
        <v>86</v>
      </c>
      <c r="M33" s="47" t="s">
        <v>87</v>
      </c>
      <c r="N33" s="48" t="s">
        <v>88</v>
      </c>
      <c r="O33" s="49" t="s">
        <v>89</v>
      </c>
      <c r="P33" s="50" t="s">
        <v>90</v>
      </c>
    </row>
    <row r="34" spans="2:16" x14ac:dyDescent="0.3">
      <c r="B34" s="51">
        <v>1</v>
      </c>
      <c r="C34" s="51" t="s">
        <v>243</v>
      </c>
      <c r="D34" s="226">
        <v>15860</v>
      </c>
      <c r="E34" s="226">
        <v>15650</v>
      </c>
      <c r="F34" s="226">
        <f t="shared" ref="F34:F43" si="1">(D34-E34)</f>
        <v>210</v>
      </c>
      <c r="G34" s="227">
        <v>9283</v>
      </c>
      <c r="H34" s="227">
        <f t="shared" ref="H34:H43" si="2">G34+E34</f>
        <v>24933</v>
      </c>
      <c r="I34" s="226">
        <v>35916</v>
      </c>
      <c r="J34" s="226">
        <v>37957</v>
      </c>
      <c r="K34" s="226">
        <f t="shared" ref="K34:K43" si="3">J34-I34</f>
        <v>2041</v>
      </c>
      <c r="L34" s="52">
        <f t="shared" ref="L34:L43" si="4">(J34-E34)/J34</f>
        <v>0.58769133493163317</v>
      </c>
      <c r="M34" s="52">
        <f t="shared" ref="M34:M43" si="5">(J34-H34)/J34</f>
        <v>0.34312511526200701</v>
      </c>
      <c r="N34" s="53" t="s">
        <v>26</v>
      </c>
      <c r="O34" s="227">
        <v>3613439</v>
      </c>
      <c r="P34" s="227">
        <v>3293202</v>
      </c>
    </row>
    <row r="35" spans="2:16" x14ac:dyDescent="0.3">
      <c r="B35" s="54">
        <v>2</v>
      </c>
      <c r="C35" s="51" t="s">
        <v>244</v>
      </c>
      <c r="D35" s="228">
        <v>13760</v>
      </c>
      <c r="E35" s="228">
        <v>13018</v>
      </c>
      <c r="F35" s="228">
        <f t="shared" si="1"/>
        <v>742</v>
      </c>
      <c r="G35" s="229">
        <v>6598</v>
      </c>
      <c r="H35" s="229">
        <f t="shared" si="2"/>
        <v>19616</v>
      </c>
      <c r="I35" s="228">
        <v>15534</v>
      </c>
      <c r="J35" s="228">
        <v>15900</v>
      </c>
      <c r="K35" s="228">
        <f t="shared" si="3"/>
        <v>366</v>
      </c>
      <c r="L35" s="55">
        <f t="shared" si="4"/>
        <v>0.18125786163522012</v>
      </c>
      <c r="M35" s="55">
        <f t="shared" si="5"/>
        <v>-0.23371069182389936</v>
      </c>
      <c r="N35" s="53" t="s">
        <v>27</v>
      </c>
      <c r="O35" s="229">
        <v>3508776</v>
      </c>
      <c r="P35" s="229">
        <v>3441854</v>
      </c>
    </row>
    <row r="36" spans="2:16" x14ac:dyDescent="0.3">
      <c r="B36" s="51">
        <v>3</v>
      </c>
      <c r="C36" s="51" t="s">
        <v>245</v>
      </c>
      <c r="D36" s="226">
        <v>14940</v>
      </c>
      <c r="E36" s="226">
        <v>13259</v>
      </c>
      <c r="F36" s="226">
        <f t="shared" si="1"/>
        <v>1681</v>
      </c>
      <c r="G36" s="227">
        <v>7527</v>
      </c>
      <c r="H36" s="227">
        <f t="shared" si="2"/>
        <v>20786</v>
      </c>
      <c r="I36" s="226">
        <v>20719</v>
      </c>
      <c r="J36" s="226">
        <v>22784</v>
      </c>
      <c r="K36" s="226">
        <f t="shared" si="3"/>
        <v>2065</v>
      </c>
      <c r="L36" s="52">
        <f t="shared" si="4"/>
        <v>0.4180565308988764</v>
      </c>
      <c r="M36" s="52">
        <f t="shared" si="5"/>
        <v>8.7693117977528087E-2</v>
      </c>
      <c r="N36" s="53" t="s">
        <v>28</v>
      </c>
      <c r="O36" s="227">
        <v>3719457</v>
      </c>
      <c r="P36" s="227">
        <v>3531844</v>
      </c>
    </row>
    <row r="37" spans="2:16" x14ac:dyDescent="0.3">
      <c r="B37" s="54">
        <v>4</v>
      </c>
      <c r="C37" s="51" t="s">
        <v>246</v>
      </c>
      <c r="D37" s="228">
        <v>12653</v>
      </c>
      <c r="E37" s="228">
        <v>11368</v>
      </c>
      <c r="F37" s="228">
        <f t="shared" si="1"/>
        <v>1285</v>
      </c>
      <c r="G37" s="229">
        <v>9592</v>
      </c>
      <c r="H37" s="229">
        <f t="shared" si="2"/>
        <v>20960</v>
      </c>
      <c r="I37" s="228">
        <v>20242</v>
      </c>
      <c r="J37" s="228">
        <v>26000</v>
      </c>
      <c r="K37" s="228">
        <f t="shared" si="3"/>
        <v>5758</v>
      </c>
      <c r="L37" s="55">
        <f t="shared" si="4"/>
        <v>0.5627692307692308</v>
      </c>
      <c r="M37" s="55">
        <f t="shared" si="5"/>
        <v>0.19384615384615383</v>
      </c>
      <c r="N37" s="53" t="s">
        <v>29</v>
      </c>
      <c r="O37" s="229">
        <v>3310212</v>
      </c>
      <c r="P37" s="229">
        <v>3354051</v>
      </c>
    </row>
    <row r="38" spans="2:16" x14ac:dyDescent="0.3">
      <c r="B38" s="51">
        <v>5</v>
      </c>
      <c r="C38" s="51" t="s">
        <v>247</v>
      </c>
      <c r="D38" s="226">
        <v>9478</v>
      </c>
      <c r="E38" s="226">
        <v>9003</v>
      </c>
      <c r="F38" s="226">
        <f t="shared" si="1"/>
        <v>475</v>
      </c>
      <c r="G38" s="227">
        <v>8392</v>
      </c>
      <c r="H38" s="227">
        <f t="shared" si="2"/>
        <v>17395</v>
      </c>
      <c r="I38" s="226">
        <v>15177</v>
      </c>
      <c r="J38" s="226">
        <v>17581</v>
      </c>
      <c r="K38" s="226">
        <f t="shared" si="3"/>
        <v>2404</v>
      </c>
      <c r="L38" s="52">
        <f t="shared" si="4"/>
        <v>0.48791308799271943</v>
      </c>
      <c r="M38" s="52">
        <f t="shared" si="5"/>
        <v>1.0579602980490302E-2</v>
      </c>
      <c r="N38" s="53" t="s">
        <v>30</v>
      </c>
      <c r="O38" s="227">
        <v>3945202</v>
      </c>
      <c r="P38" s="227">
        <v>3476155</v>
      </c>
    </row>
    <row r="39" spans="2:16" x14ac:dyDescent="0.3">
      <c r="B39" s="54">
        <v>6</v>
      </c>
      <c r="C39" s="51" t="s">
        <v>248</v>
      </c>
      <c r="D39" s="228">
        <v>11600</v>
      </c>
      <c r="E39" s="228">
        <v>10900</v>
      </c>
      <c r="F39" s="228">
        <f t="shared" si="1"/>
        <v>700</v>
      </c>
      <c r="G39" s="229">
        <v>6490</v>
      </c>
      <c r="H39" s="229">
        <f t="shared" si="2"/>
        <v>17390</v>
      </c>
      <c r="I39" s="228">
        <v>11263</v>
      </c>
      <c r="J39" s="228">
        <v>15766</v>
      </c>
      <c r="K39" s="228">
        <f t="shared" si="3"/>
        <v>4503</v>
      </c>
      <c r="L39" s="55">
        <f t="shared" si="4"/>
        <v>0.30863884308004569</v>
      </c>
      <c r="M39" s="55">
        <f t="shared" si="5"/>
        <v>-0.10300646961816567</v>
      </c>
      <c r="N39" s="53" t="s">
        <v>31</v>
      </c>
      <c r="O39" s="229">
        <v>3938152</v>
      </c>
      <c r="P39" s="229">
        <v>3538468</v>
      </c>
    </row>
    <row r="40" spans="2:16" x14ac:dyDescent="0.3">
      <c r="B40" s="51">
        <v>7</v>
      </c>
      <c r="C40" s="51" t="s">
        <v>249</v>
      </c>
      <c r="D40" s="226">
        <v>13785</v>
      </c>
      <c r="E40" s="226">
        <v>12550</v>
      </c>
      <c r="F40" s="226">
        <f t="shared" si="1"/>
        <v>1235</v>
      </c>
      <c r="G40" s="227">
        <v>6582</v>
      </c>
      <c r="H40" s="227">
        <f t="shared" si="2"/>
        <v>19132</v>
      </c>
      <c r="I40" s="226">
        <v>18852</v>
      </c>
      <c r="J40" s="226">
        <v>20375</v>
      </c>
      <c r="K40" s="226">
        <f t="shared" si="3"/>
        <v>1523</v>
      </c>
      <c r="L40" s="52">
        <f t="shared" si="4"/>
        <v>0.38404907975460123</v>
      </c>
      <c r="M40" s="52">
        <f t="shared" si="5"/>
        <v>6.1006134969325151E-2</v>
      </c>
      <c r="N40" s="53" t="s">
        <v>32</v>
      </c>
      <c r="O40" s="227">
        <v>3733706</v>
      </c>
      <c r="P40" s="227">
        <v>3727037</v>
      </c>
    </row>
    <row r="41" spans="2:16" x14ac:dyDescent="0.3">
      <c r="B41" s="54">
        <v>8</v>
      </c>
      <c r="C41" s="51" t="s">
        <v>250</v>
      </c>
      <c r="D41" s="228">
        <v>28283</v>
      </c>
      <c r="E41" s="228">
        <v>26300</v>
      </c>
      <c r="F41" s="228">
        <f t="shared" si="1"/>
        <v>1983</v>
      </c>
      <c r="G41" s="229">
        <v>7606</v>
      </c>
      <c r="H41" s="229">
        <f t="shared" si="2"/>
        <v>33906</v>
      </c>
      <c r="I41" s="228">
        <v>38380</v>
      </c>
      <c r="J41" s="228">
        <v>39983</v>
      </c>
      <c r="K41" s="228">
        <f t="shared" si="3"/>
        <v>1603</v>
      </c>
      <c r="L41" s="55">
        <f t="shared" si="4"/>
        <v>0.34222044368856763</v>
      </c>
      <c r="M41" s="55">
        <f t="shared" si="5"/>
        <v>0.1519895955781207</v>
      </c>
      <c r="N41" s="53" t="s">
        <v>33</v>
      </c>
      <c r="O41" s="229">
        <v>3526698</v>
      </c>
      <c r="P41" s="229">
        <v>3425405</v>
      </c>
    </row>
    <row r="42" spans="2:16" x14ac:dyDescent="0.3">
      <c r="B42" s="51">
        <v>9</v>
      </c>
      <c r="C42" s="51" t="s">
        <v>251</v>
      </c>
      <c r="D42" s="226">
        <v>15438</v>
      </c>
      <c r="E42" s="226">
        <v>14400</v>
      </c>
      <c r="F42" s="226">
        <f t="shared" si="1"/>
        <v>1038</v>
      </c>
      <c r="G42" s="227">
        <v>5667</v>
      </c>
      <c r="H42" s="227">
        <f t="shared" si="2"/>
        <v>20067</v>
      </c>
      <c r="I42" s="226">
        <v>9731</v>
      </c>
      <c r="J42" s="226">
        <v>14240</v>
      </c>
      <c r="K42" s="226">
        <f t="shared" si="3"/>
        <v>4509</v>
      </c>
      <c r="L42" s="52">
        <f t="shared" si="4"/>
        <v>-1.1235955056179775E-2</v>
      </c>
      <c r="M42" s="52">
        <f t="shared" si="5"/>
        <v>-0.40919943820224719</v>
      </c>
      <c r="N42" s="53" t="s">
        <v>34</v>
      </c>
      <c r="O42" s="227">
        <v>3632971</v>
      </c>
      <c r="P42" s="227">
        <v>3734041</v>
      </c>
    </row>
    <row r="43" spans="2:16" x14ac:dyDescent="0.3">
      <c r="B43" s="54">
        <v>10</v>
      </c>
      <c r="C43" s="51" t="s">
        <v>252</v>
      </c>
      <c r="D43" s="228">
        <v>9755</v>
      </c>
      <c r="E43" s="228">
        <v>9187</v>
      </c>
      <c r="F43" s="228">
        <f t="shared" si="1"/>
        <v>568</v>
      </c>
      <c r="G43" s="229">
        <v>6347</v>
      </c>
      <c r="H43" s="229">
        <f t="shared" si="2"/>
        <v>15534</v>
      </c>
      <c r="I43" s="228">
        <v>9410</v>
      </c>
      <c r="J43" s="228">
        <v>12610</v>
      </c>
      <c r="K43" s="228">
        <f t="shared" si="3"/>
        <v>3200</v>
      </c>
      <c r="L43" s="55">
        <f t="shared" si="4"/>
        <v>0.27145122918318793</v>
      </c>
      <c r="M43" s="55">
        <f t="shared" si="5"/>
        <v>-0.23187946074544014</v>
      </c>
      <c r="N43" s="53" t="s">
        <v>35</v>
      </c>
      <c r="O43" s="229">
        <v>3206487</v>
      </c>
      <c r="P43" s="229">
        <v>3677074</v>
      </c>
    </row>
    <row r="44" spans="2:16" ht="25.2" customHeight="1" x14ac:dyDescent="0.3">
      <c r="B44" s="42"/>
      <c r="C44" s="42"/>
      <c r="D44" s="230">
        <f t="shared" ref="D44:K44" si="6">SUM(D34:D43)</f>
        <v>145552</v>
      </c>
      <c r="E44" s="230">
        <f t="shared" si="6"/>
        <v>135635</v>
      </c>
      <c r="F44" s="230">
        <f t="shared" si="6"/>
        <v>9917</v>
      </c>
      <c r="G44" s="230">
        <f t="shared" si="6"/>
        <v>74084</v>
      </c>
      <c r="H44" s="230">
        <f t="shared" si="6"/>
        <v>209719</v>
      </c>
      <c r="I44" s="230">
        <f t="shared" si="6"/>
        <v>195224</v>
      </c>
      <c r="J44" s="230">
        <f t="shared" si="6"/>
        <v>223196</v>
      </c>
      <c r="K44" s="230">
        <f t="shared" si="6"/>
        <v>27972</v>
      </c>
      <c r="L44" s="56">
        <f>SUM(L34:L43)/10</f>
        <v>0.3532811686877903</v>
      </c>
      <c r="M44" s="56">
        <f>SUM(M34:M43)/10</f>
        <v>-1.2955633977612725E-2</v>
      </c>
      <c r="N44" s="42"/>
      <c r="O44" s="42"/>
      <c r="P44" s="42"/>
    </row>
  </sheetData>
  <mergeCells count="6">
    <mergeCell ref="N32:P32"/>
    <mergeCell ref="G32:H32"/>
    <mergeCell ref="D32:F32"/>
    <mergeCell ref="B32:C32"/>
    <mergeCell ref="I32:K32"/>
    <mergeCell ref="L32:M3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5689-12ED-42B0-9136-DCE511C40693}">
  <sheetPr codeName="Sheet11"/>
  <dimension ref="A1:AF43"/>
  <sheetViews>
    <sheetView showGridLines="0" workbookViewId="0">
      <selection activeCell="J2" sqref="J2"/>
    </sheetView>
  </sheetViews>
  <sheetFormatPr defaultRowHeight="14.4" x14ac:dyDescent="0.3"/>
  <cols>
    <col min="1" max="1" width="1.77734375" style="110" customWidth="1"/>
    <col min="12" max="12" width="10.33203125" customWidth="1"/>
    <col min="13" max="13" width="2.44140625" customWidth="1"/>
    <col min="24" max="24" width="10.33203125" customWidth="1"/>
    <col min="25" max="25" width="3.6640625" customWidth="1"/>
  </cols>
  <sheetData>
    <row r="1" spans="1:32" s="110" customFormat="1" ht="10.8" customHeight="1" x14ac:dyDescent="0.3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9"/>
      <c r="AF1" s="109"/>
    </row>
    <row r="2" spans="1:32" s="110" customFormat="1" ht="13.8" customHeight="1" x14ac:dyDescent="0.3">
      <c r="A2" s="108"/>
      <c r="B2" s="116" t="s">
        <v>271</v>
      </c>
      <c r="C2" s="117"/>
      <c r="D2" s="117"/>
      <c r="E2" s="117"/>
      <c r="F2" s="117"/>
      <c r="G2" s="118"/>
      <c r="H2" s="11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9"/>
      <c r="AF2" s="109"/>
    </row>
    <row r="3" spans="1:32" s="110" customFormat="1" ht="10.199999999999999" customHeight="1" x14ac:dyDescent="0.3">
      <c r="A3" s="108"/>
      <c r="B3" s="412"/>
      <c r="C3" s="412"/>
      <c r="D3" s="412"/>
      <c r="E3" s="412"/>
      <c r="F3" s="412"/>
      <c r="G3" s="412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9"/>
      <c r="AF3" s="109"/>
    </row>
    <row r="4" spans="1:32" s="110" customFormat="1" ht="21" customHeight="1" x14ac:dyDescent="0.3">
      <c r="A4" s="108"/>
      <c r="B4" s="411" t="str">
        <f>"  "&amp;TimeData!B3</f>
        <v xml:space="preserve">  Location 1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112"/>
      <c r="N4" s="411" t="str">
        <f>"  "&amp;TimeData!B6</f>
        <v xml:space="preserve">  Location 2</v>
      </c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108"/>
      <c r="Z4" s="108"/>
      <c r="AA4" s="108"/>
      <c r="AB4" s="108"/>
      <c r="AC4" s="108"/>
      <c r="AD4" s="108"/>
      <c r="AE4" s="109"/>
      <c r="AF4" s="109"/>
    </row>
    <row r="5" spans="1:32" s="110" customFormat="1" ht="21" customHeight="1" x14ac:dyDescent="0.3">
      <c r="A5" s="108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2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08"/>
      <c r="Z5" s="108"/>
      <c r="AA5" s="108"/>
      <c r="AB5" s="108"/>
      <c r="AC5" s="108"/>
      <c r="AD5" s="108"/>
      <c r="AE5" s="109"/>
      <c r="AF5" s="109"/>
    </row>
    <row r="6" spans="1:32" s="110" customFormat="1" ht="21" customHeight="1" x14ac:dyDescent="0.3">
      <c r="A6" s="108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2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08"/>
      <c r="Z6" s="108"/>
      <c r="AA6" s="108"/>
      <c r="AB6" s="108"/>
      <c r="AC6" s="108"/>
      <c r="AD6" s="108"/>
      <c r="AE6" s="109"/>
      <c r="AF6" s="109"/>
    </row>
    <row r="7" spans="1:32" s="110" customFormat="1" ht="21" customHeight="1" x14ac:dyDescent="0.3">
      <c r="A7" s="108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2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08"/>
      <c r="Z7" s="108"/>
      <c r="AA7" s="108"/>
      <c r="AB7" s="108"/>
      <c r="AC7" s="108"/>
      <c r="AD7" s="108"/>
      <c r="AE7" s="109"/>
      <c r="AF7" s="109"/>
    </row>
    <row r="8" spans="1:32" s="110" customFormat="1" ht="21" customHeight="1" x14ac:dyDescent="0.3">
      <c r="A8" s="108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2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08"/>
      <c r="Z8" s="108"/>
      <c r="AA8" s="108"/>
      <c r="AB8" s="108"/>
      <c r="AC8" s="108"/>
      <c r="AD8" s="108"/>
      <c r="AE8" s="109"/>
      <c r="AF8" s="109"/>
    </row>
    <row r="9" spans="1:32" s="110" customFormat="1" ht="21" customHeight="1" x14ac:dyDescent="0.3">
      <c r="A9" s="10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2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08"/>
      <c r="Z9" s="108"/>
      <c r="AA9" s="108"/>
      <c r="AB9" s="108"/>
      <c r="AC9" s="108"/>
      <c r="AD9" s="108"/>
      <c r="AE9" s="109"/>
      <c r="AF9" s="109"/>
    </row>
    <row r="10" spans="1:32" s="110" customFormat="1" ht="21" customHeight="1" x14ac:dyDescent="0.3">
      <c r="A10" s="108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2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08"/>
      <c r="Z10" s="108"/>
      <c r="AA10" s="108"/>
      <c r="AB10" s="108"/>
      <c r="AC10" s="108"/>
      <c r="AD10" s="108"/>
      <c r="AE10" s="109"/>
      <c r="AF10" s="109"/>
    </row>
    <row r="11" spans="1:32" s="110" customFormat="1" ht="21" customHeight="1" x14ac:dyDescent="0.3">
      <c r="A11" s="108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2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08"/>
      <c r="Z11" s="108"/>
      <c r="AA11" s="108"/>
      <c r="AB11" s="108"/>
      <c r="AC11" s="108"/>
      <c r="AD11" s="108"/>
      <c r="AE11" s="109"/>
      <c r="AF11" s="109"/>
    </row>
    <row r="12" spans="1:32" s="110" customFormat="1" ht="21" customHeight="1" x14ac:dyDescent="0.3">
      <c r="A12" s="108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2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08"/>
      <c r="Z12" s="108"/>
      <c r="AA12" s="108"/>
      <c r="AB12" s="108"/>
      <c r="AC12" s="108"/>
      <c r="AD12" s="108"/>
      <c r="AE12" s="109"/>
      <c r="AF12" s="109"/>
    </row>
    <row r="13" spans="1:32" s="110" customFormat="1" ht="21" customHeight="1" x14ac:dyDescent="0.3">
      <c r="A13" s="108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2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08"/>
      <c r="Z13" s="108"/>
      <c r="AA13" s="108"/>
      <c r="AB13" s="108"/>
      <c r="AC13" s="108"/>
      <c r="AD13" s="108"/>
      <c r="AE13" s="109"/>
      <c r="AF13" s="109"/>
    </row>
    <row r="14" spans="1:32" s="110" customFormat="1" ht="13.8" customHeight="1" x14ac:dyDescent="0.3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9"/>
      <c r="AF14" s="109"/>
    </row>
    <row r="15" spans="1:32" s="110" customFormat="1" ht="21" customHeight="1" x14ac:dyDescent="0.3">
      <c r="A15" s="108"/>
      <c r="B15" s="411" t="str">
        <f>"  "&amp;TimeData!B9</f>
        <v xml:space="preserve">  Location 3</v>
      </c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108"/>
      <c r="N15" s="411" t="str">
        <f>"  "&amp;TimeData!B12</f>
        <v xml:space="preserve">  Location 4</v>
      </c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108"/>
      <c r="Z15" s="108"/>
      <c r="AA15" s="108"/>
      <c r="AB15" s="108"/>
      <c r="AC15" s="108"/>
      <c r="AD15" s="108"/>
      <c r="AE15" s="109"/>
      <c r="AF15" s="109"/>
    </row>
    <row r="16" spans="1:32" s="110" customFormat="1" ht="21" customHeight="1" x14ac:dyDescent="0.3">
      <c r="A16" s="108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08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08"/>
      <c r="Z16" s="108"/>
      <c r="AA16" s="108"/>
      <c r="AB16" s="108"/>
      <c r="AC16" s="108"/>
      <c r="AD16" s="108"/>
      <c r="AE16" s="109"/>
      <c r="AF16" s="109"/>
    </row>
    <row r="17" spans="1:32" s="110" customFormat="1" ht="21" customHeight="1" x14ac:dyDescent="0.3">
      <c r="A17" s="108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08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08"/>
      <c r="Z17" s="108"/>
      <c r="AA17" s="108"/>
      <c r="AB17" s="108"/>
      <c r="AC17" s="108"/>
      <c r="AD17" s="108"/>
      <c r="AE17" s="109"/>
      <c r="AF17" s="109"/>
    </row>
    <row r="18" spans="1:32" s="110" customFormat="1" ht="21" customHeight="1" x14ac:dyDescent="0.3">
      <c r="A18" s="108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08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08"/>
      <c r="Z18" s="108"/>
      <c r="AA18" s="108"/>
      <c r="AB18" s="108"/>
      <c r="AC18" s="108"/>
      <c r="AD18" s="108"/>
      <c r="AE18" s="109"/>
      <c r="AF18" s="109"/>
    </row>
    <row r="19" spans="1:32" s="110" customFormat="1" ht="21" customHeight="1" x14ac:dyDescent="0.3">
      <c r="A19" s="108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08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08"/>
      <c r="Z19" s="108"/>
      <c r="AA19" s="108"/>
      <c r="AB19" s="108"/>
      <c r="AC19" s="108"/>
      <c r="AD19" s="108"/>
      <c r="AE19" s="109"/>
      <c r="AF19" s="109"/>
    </row>
    <row r="20" spans="1:32" s="110" customFormat="1" ht="21" customHeight="1" x14ac:dyDescent="0.3">
      <c r="A20" s="108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08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08"/>
      <c r="Z20" s="108"/>
      <c r="AA20" s="108"/>
      <c r="AB20" s="108"/>
      <c r="AC20" s="108"/>
      <c r="AD20" s="108"/>
      <c r="AE20" s="109"/>
      <c r="AF20" s="109"/>
    </row>
    <row r="21" spans="1:32" s="110" customFormat="1" ht="21" customHeight="1" x14ac:dyDescent="0.3">
      <c r="A21" s="108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08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08"/>
      <c r="Z21" s="108"/>
      <c r="AA21" s="108"/>
      <c r="AB21" s="108"/>
      <c r="AC21" s="108"/>
      <c r="AD21" s="108"/>
      <c r="AE21" s="109"/>
      <c r="AF21" s="109"/>
    </row>
    <row r="22" spans="1:32" s="110" customFormat="1" ht="21" customHeight="1" x14ac:dyDescent="0.3">
      <c r="A22" s="108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08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08"/>
      <c r="Z22" s="108"/>
      <c r="AA22" s="108"/>
      <c r="AB22" s="108"/>
      <c r="AC22" s="108"/>
      <c r="AD22" s="108"/>
      <c r="AE22" s="109"/>
      <c r="AF22" s="109"/>
    </row>
    <row r="23" spans="1:32" s="110" customFormat="1" ht="21" customHeight="1" x14ac:dyDescent="0.3">
      <c r="A23" s="108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08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08"/>
      <c r="Z23" s="108"/>
      <c r="AA23" s="108"/>
      <c r="AB23" s="108"/>
      <c r="AC23" s="108"/>
      <c r="AD23" s="108"/>
      <c r="AE23" s="109"/>
      <c r="AF23" s="109"/>
    </row>
    <row r="24" spans="1:32" s="110" customFormat="1" ht="21" customHeight="1" x14ac:dyDescent="0.3">
      <c r="A24" s="108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08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08"/>
      <c r="Z24" s="108"/>
      <c r="AA24" s="108"/>
      <c r="AB24" s="108"/>
      <c r="AC24" s="108"/>
      <c r="AD24" s="108"/>
      <c r="AE24" s="109"/>
      <c r="AF24" s="109"/>
    </row>
    <row r="25" spans="1:32" s="110" customFormat="1" ht="13.8" customHeight="1" x14ac:dyDescent="0.3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9"/>
      <c r="AF25" s="109"/>
    </row>
    <row r="26" spans="1:32" s="110" customFormat="1" ht="21" customHeight="1" x14ac:dyDescent="0.3">
      <c r="A26" s="108"/>
      <c r="B26" s="111" t="str">
        <f>"  "&amp;TimeData!B15</f>
        <v xml:space="preserve">  Location 5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08"/>
      <c r="N26" s="411" t="str">
        <f>"  "&amp;TimeData!B18</f>
        <v xml:space="preserve">  Location 6</v>
      </c>
      <c r="O26" s="411"/>
      <c r="P26" s="411"/>
      <c r="Q26" s="411"/>
      <c r="R26" s="411"/>
      <c r="S26" s="411"/>
      <c r="T26" s="411"/>
      <c r="U26" s="411"/>
      <c r="V26" s="411"/>
      <c r="W26" s="411"/>
      <c r="X26" s="411"/>
      <c r="Y26" s="108"/>
      <c r="Z26" s="108"/>
      <c r="AA26" s="108"/>
      <c r="AB26" s="108"/>
      <c r="AC26" s="108"/>
      <c r="AD26" s="108"/>
      <c r="AE26" s="109"/>
      <c r="AF26" s="109"/>
    </row>
    <row r="27" spans="1:32" s="110" customFormat="1" ht="21" customHeight="1" x14ac:dyDescent="0.3">
      <c r="A27" s="108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08"/>
      <c r="Z27" s="108"/>
      <c r="AA27" s="108"/>
      <c r="AB27" s="108"/>
      <c r="AC27" s="108"/>
      <c r="AD27" s="108"/>
      <c r="AE27" s="109"/>
      <c r="AF27" s="109"/>
    </row>
    <row r="28" spans="1:32" s="110" customFormat="1" ht="21" customHeight="1" x14ac:dyDescent="0.3">
      <c r="A28" s="108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08"/>
      <c r="Z28" s="108"/>
      <c r="AA28" s="108"/>
      <c r="AB28" s="108"/>
      <c r="AC28" s="108"/>
      <c r="AD28" s="108"/>
      <c r="AE28" s="109"/>
      <c r="AF28" s="109"/>
    </row>
    <row r="29" spans="1:32" s="110" customFormat="1" ht="21" customHeight="1" x14ac:dyDescent="0.3">
      <c r="A29" s="108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08"/>
      <c r="Z29" s="108"/>
      <c r="AA29" s="108"/>
      <c r="AB29" s="108"/>
      <c r="AC29" s="108"/>
      <c r="AD29" s="108"/>
      <c r="AE29" s="109"/>
      <c r="AF29" s="109"/>
    </row>
    <row r="30" spans="1:32" s="110" customFormat="1" ht="21" customHeight="1" x14ac:dyDescent="0.3">
      <c r="A30" s="108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08"/>
      <c r="Z30" s="108"/>
      <c r="AA30" s="108"/>
      <c r="AB30" s="108"/>
      <c r="AC30" s="108"/>
      <c r="AD30" s="108"/>
      <c r="AE30" s="109"/>
      <c r="AF30" s="109"/>
    </row>
    <row r="31" spans="1:32" s="110" customFormat="1" ht="21" customHeight="1" x14ac:dyDescent="0.3">
      <c r="A31" s="108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08"/>
      <c r="Z31" s="108"/>
      <c r="AA31" s="108"/>
      <c r="AB31" s="108"/>
      <c r="AC31" s="108"/>
      <c r="AD31" s="108"/>
      <c r="AE31" s="109"/>
      <c r="AF31" s="109"/>
    </row>
    <row r="32" spans="1:32" s="110" customFormat="1" ht="21" customHeight="1" x14ac:dyDescent="0.3">
      <c r="A32" s="108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08"/>
      <c r="Z32" s="108"/>
      <c r="AA32" s="108"/>
      <c r="AB32" s="108"/>
      <c r="AC32" s="108"/>
      <c r="AD32" s="108"/>
      <c r="AE32" s="109"/>
      <c r="AF32" s="109"/>
    </row>
    <row r="33" spans="1:32" s="110" customFormat="1" ht="21" customHeight="1" x14ac:dyDescent="0.3">
      <c r="A33" s="108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08"/>
      <c r="Z33" s="108"/>
      <c r="AA33" s="108"/>
      <c r="AB33" s="108"/>
      <c r="AC33" s="108"/>
      <c r="AD33" s="108"/>
      <c r="AE33" s="109"/>
      <c r="AF33" s="109"/>
    </row>
    <row r="34" spans="1:32" s="110" customFormat="1" ht="21" customHeight="1" x14ac:dyDescent="0.3">
      <c r="A34" s="108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08"/>
      <c r="Z34" s="108"/>
      <c r="AA34" s="108"/>
      <c r="AB34" s="108"/>
      <c r="AC34" s="108"/>
      <c r="AD34" s="108"/>
      <c r="AE34" s="109"/>
      <c r="AF34" s="109"/>
    </row>
    <row r="35" spans="1:32" s="110" customFormat="1" ht="21" customHeight="1" x14ac:dyDescent="0.3">
      <c r="A35" s="108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08"/>
      <c r="Z35" s="108"/>
      <c r="AA35" s="108"/>
      <c r="AB35" s="108"/>
      <c r="AC35" s="108"/>
      <c r="AD35" s="108"/>
      <c r="AE35" s="109"/>
      <c r="AF35" s="109"/>
    </row>
    <row r="36" spans="1:32" s="110" customFormat="1" ht="13.8" customHeight="1" x14ac:dyDescent="0.3">
      <c r="A36" s="108"/>
      <c r="B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9"/>
      <c r="AF36" s="109"/>
    </row>
    <row r="37" spans="1:32" s="110" customFormat="1" ht="13.8" customHeight="1" x14ac:dyDescent="0.3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9"/>
      <c r="AF37" s="109"/>
    </row>
    <row r="38" spans="1:32" s="110" customFormat="1" ht="21" customHeight="1" x14ac:dyDescent="0.3"/>
    <row r="39" spans="1:32" s="110" customFormat="1" ht="21" customHeight="1" x14ac:dyDescent="0.3"/>
    <row r="40" spans="1:32" s="110" customFormat="1" ht="21" customHeight="1" x14ac:dyDescent="0.3"/>
    <row r="41" spans="1:32" s="110" customFormat="1" ht="21" customHeight="1" x14ac:dyDescent="0.3"/>
    <row r="42" spans="1:32" s="110" customFormat="1" ht="21" customHeight="1" x14ac:dyDescent="0.3"/>
    <row r="43" spans="1:32" s="110" customFormat="1" ht="21" customHeight="1" x14ac:dyDescent="0.3"/>
  </sheetData>
  <mergeCells count="6">
    <mergeCell ref="N26:X26"/>
    <mergeCell ref="B3:G3"/>
    <mergeCell ref="B4:L4"/>
    <mergeCell ref="N4:X4"/>
    <mergeCell ref="B15:L15"/>
    <mergeCell ref="N15:X15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A02F-7C9D-4C8C-908C-229EB65D8EF8}">
  <sheetPr codeName="Sheet12"/>
  <dimension ref="B2:Q20"/>
  <sheetViews>
    <sheetView showGridLines="0" topLeftCell="C1" workbookViewId="0">
      <selection activeCell="E26" sqref="E26"/>
    </sheetView>
  </sheetViews>
  <sheetFormatPr defaultRowHeight="14.4" x14ac:dyDescent="0.3"/>
  <cols>
    <col min="1" max="1" width="1.77734375" style="110" customWidth="1"/>
    <col min="2" max="2" width="28.5546875" style="110" customWidth="1"/>
    <col min="3" max="3" width="13.109375" style="110" bestFit="1" customWidth="1"/>
    <col min="4" max="4" width="16.77734375" style="110" customWidth="1"/>
    <col min="5" max="16" width="11" style="110" customWidth="1"/>
    <col min="17" max="16384" width="8.88671875" style="110"/>
  </cols>
  <sheetData>
    <row r="2" spans="2:17" x14ac:dyDescent="0.3">
      <c r="B2" s="119" t="s">
        <v>106</v>
      </c>
      <c r="C2" s="119" t="s">
        <v>107</v>
      </c>
      <c r="D2" s="235" t="s">
        <v>243</v>
      </c>
      <c r="E2" s="235" t="s">
        <v>244</v>
      </c>
      <c r="F2" s="235" t="s">
        <v>245</v>
      </c>
      <c r="G2" s="235" t="s">
        <v>246</v>
      </c>
      <c r="H2" s="235" t="s">
        <v>247</v>
      </c>
      <c r="I2" s="235" t="s">
        <v>248</v>
      </c>
      <c r="J2" s="235" t="s">
        <v>249</v>
      </c>
      <c r="K2" s="235" t="s">
        <v>250</v>
      </c>
      <c r="L2" s="235" t="s">
        <v>251</v>
      </c>
      <c r="M2" s="235" t="s">
        <v>252</v>
      </c>
      <c r="N2" s="235" t="s">
        <v>253</v>
      </c>
      <c r="O2" s="235" t="s">
        <v>254</v>
      </c>
      <c r="P2" s="236" t="s">
        <v>85</v>
      </c>
    </row>
    <row r="3" spans="2:17" x14ac:dyDescent="0.3">
      <c r="B3" s="413" t="s">
        <v>109</v>
      </c>
      <c r="C3" s="120" t="s">
        <v>272</v>
      </c>
      <c r="D3" s="125">
        <v>37</v>
      </c>
      <c r="E3" s="121">
        <v>41</v>
      </c>
      <c r="F3" s="121">
        <v>46</v>
      </c>
      <c r="G3" s="121">
        <v>48</v>
      </c>
      <c r="H3" s="121">
        <v>45</v>
      </c>
      <c r="I3" s="121">
        <v>48</v>
      </c>
      <c r="J3" s="121">
        <v>51</v>
      </c>
      <c r="K3" s="121">
        <v>39</v>
      </c>
      <c r="L3" s="121">
        <v>45</v>
      </c>
      <c r="M3" s="121">
        <v>44</v>
      </c>
      <c r="N3" s="121">
        <v>44</v>
      </c>
      <c r="O3" s="121">
        <v>43</v>
      </c>
      <c r="P3" s="122">
        <f>SUM(D3:O3)</f>
        <v>531</v>
      </c>
    </row>
    <row r="4" spans="2:17" x14ac:dyDescent="0.3">
      <c r="B4" s="413"/>
      <c r="C4" s="120" t="s">
        <v>273</v>
      </c>
      <c r="D4" s="121">
        <v>45</v>
      </c>
      <c r="E4" s="121">
        <v>45</v>
      </c>
      <c r="F4" s="121">
        <v>45</v>
      </c>
      <c r="G4" s="121">
        <v>45</v>
      </c>
      <c r="H4" s="121">
        <v>45</v>
      </c>
      <c r="I4" s="121">
        <v>50</v>
      </c>
      <c r="J4" s="121">
        <v>50</v>
      </c>
      <c r="K4" s="121">
        <v>42</v>
      </c>
      <c r="L4" s="121">
        <v>45</v>
      </c>
      <c r="M4" s="121">
        <v>45</v>
      </c>
      <c r="N4" s="121">
        <v>45</v>
      </c>
      <c r="O4" s="121">
        <v>45</v>
      </c>
      <c r="P4" s="122">
        <f t="shared" ref="P4:P13" si="0">SUM(D4:O4)</f>
        <v>547</v>
      </c>
    </row>
    <row r="5" spans="2:17" x14ac:dyDescent="0.3">
      <c r="B5" s="413"/>
      <c r="C5" s="120" t="s">
        <v>108</v>
      </c>
      <c r="D5" s="123">
        <f>D3/D4</f>
        <v>0.82222222222222219</v>
      </c>
      <c r="E5" s="123">
        <f t="shared" ref="E5:P5" si="1">E3/E4</f>
        <v>0.91111111111111109</v>
      </c>
      <c r="F5" s="123">
        <f t="shared" si="1"/>
        <v>1.0222222222222221</v>
      </c>
      <c r="G5" s="123">
        <f t="shared" si="1"/>
        <v>1.0666666666666667</v>
      </c>
      <c r="H5" s="123">
        <f t="shared" si="1"/>
        <v>1</v>
      </c>
      <c r="I5" s="123">
        <f t="shared" si="1"/>
        <v>0.96</v>
      </c>
      <c r="J5" s="123">
        <f t="shared" si="1"/>
        <v>1.02</v>
      </c>
      <c r="K5" s="123">
        <f t="shared" si="1"/>
        <v>0.9285714285714286</v>
      </c>
      <c r="L5" s="123">
        <f t="shared" si="1"/>
        <v>1</v>
      </c>
      <c r="M5" s="123">
        <f t="shared" si="1"/>
        <v>0.97777777777777775</v>
      </c>
      <c r="N5" s="123">
        <f t="shared" si="1"/>
        <v>0.97777777777777775</v>
      </c>
      <c r="O5" s="123">
        <f t="shared" si="1"/>
        <v>0.9555555555555556</v>
      </c>
      <c r="P5" s="124">
        <f t="shared" si="1"/>
        <v>0.97074954296160876</v>
      </c>
      <c r="Q5" s="114">
        <f>IF(P5&gt;=1,0,1-P5)</f>
        <v>2.9250457038391242E-2</v>
      </c>
    </row>
    <row r="6" spans="2:17" x14ac:dyDescent="0.3">
      <c r="B6" s="413" t="s">
        <v>110</v>
      </c>
      <c r="C6" s="120" t="s">
        <v>272</v>
      </c>
      <c r="D6" s="121">
        <v>75</v>
      </c>
      <c r="E6" s="121">
        <v>52</v>
      </c>
      <c r="F6" s="121">
        <v>90</v>
      </c>
      <c r="G6" s="121">
        <v>81</v>
      </c>
      <c r="H6" s="121">
        <v>46</v>
      </c>
      <c r="I6" s="121">
        <v>44</v>
      </c>
      <c r="J6" s="121">
        <v>72</v>
      </c>
      <c r="K6" s="121">
        <v>72</v>
      </c>
      <c r="L6" s="121">
        <v>60</v>
      </c>
      <c r="M6" s="121">
        <v>80</v>
      </c>
      <c r="N6" s="121">
        <v>40</v>
      </c>
      <c r="O6" s="121">
        <v>55</v>
      </c>
      <c r="P6" s="122">
        <f t="shared" si="0"/>
        <v>767</v>
      </c>
      <c r="Q6" s="115"/>
    </row>
    <row r="7" spans="2:17" x14ac:dyDescent="0.3">
      <c r="B7" s="413"/>
      <c r="C7" s="120" t="s">
        <v>273</v>
      </c>
      <c r="D7" s="121">
        <v>72</v>
      </c>
      <c r="E7" s="121">
        <v>56</v>
      </c>
      <c r="F7" s="121">
        <v>90</v>
      </c>
      <c r="G7" s="121">
        <v>81</v>
      </c>
      <c r="H7" s="121">
        <v>46</v>
      </c>
      <c r="I7" s="121">
        <v>45</v>
      </c>
      <c r="J7" s="121">
        <v>72</v>
      </c>
      <c r="K7" s="121">
        <v>72</v>
      </c>
      <c r="L7" s="121">
        <v>60</v>
      </c>
      <c r="M7" s="121">
        <v>80</v>
      </c>
      <c r="N7" s="121">
        <v>48</v>
      </c>
      <c r="O7" s="121">
        <v>60</v>
      </c>
      <c r="P7" s="122">
        <f t="shared" si="0"/>
        <v>782</v>
      </c>
      <c r="Q7" s="115"/>
    </row>
    <row r="8" spans="2:17" x14ac:dyDescent="0.3">
      <c r="B8" s="413"/>
      <c r="C8" s="120" t="s">
        <v>108</v>
      </c>
      <c r="D8" s="123">
        <f>D6/D7</f>
        <v>1.0416666666666667</v>
      </c>
      <c r="E8" s="123">
        <f t="shared" ref="E8:P8" si="2">E6/E7</f>
        <v>0.9285714285714286</v>
      </c>
      <c r="F8" s="123">
        <f t="shared" si="2"/>
        <v>1</v>
      </c>
      <c r="G8" s="123">
        <f t="shared" si="2"/>
        <v>1</v>
      </c>
      <c r="H8" s="123">
        <f t="shared" si="2"/>
        <v>1</v>
      </c>
      <c r="I8" s="123">
        <f t="shared" si="2"/>
        <v>0.97777777777777775</v>
      </c>
      <c r="J8" s="123">
        <f t="shared" si="2"/>
        <v>1</v>
      </c>
      <c r="K8" s="123">
        <f t="shared" si="2"/>
        <v>1</v>
      </c>
      <c r="L8" s="123">
        <f t="shared" si="2"/>
        <v>1</v>
      </c>
      <c r="M8" s="123">
        <f t="shared" si="2"/>
        <v>1</v>
      </c>
      <c r="N8" s="123">
        <f t="shared" si="2"/>
        <v>0.83333333333333337</v>
      </c>
      <c r="O8" s="123">
        <f t="shared" si="2"/>
        <v>0.91666666666666663</v>
      </c>
      <c r="P8" s="124">
        <f t="shared" si="2"/>
        <v>0.98081841432225059</v>
      </c>
      <c r="Q8" s="114">
        <f>IF(P8&gt;=1,0,1-P8)</f>
        <v>1.9181585677749413E-2</v>
      </c>
    </row>
    <row r="9" spans="2:17" x14ac:dyDescent="0.3">
      <c r="B9" s="413" t="s">
        <v>111</v>
      </c>
      <c r="C9" s="120" t="s">
        <v>272</v>
      </c>
      <c r="D9" s="121">
        <v>50</v>
      </c>
      <c r="E9" s="121">
        <v>74</v>
      </c>
      <c r="F9" s="121">
        <v>80</v>
      </c>
      <c r="G9" s="121">
        <v>75</v>
      </c>
      <c r="H9" s="121">
        <v>92</v>
      </c>
      <c r="I9" s="121">
        <v>91</v>
      </c>
      <c r="J9" s="121">
        <v>96</v>
      </c>
      <c r="K9" s="121">
        <v>96</v>
      </c>
      <c r="L9" s="121">
        <v>65</v>
      </c>
      <c r="M9" s="121">
        <v>40</v>
      </c>
      <c r="N9" s="121">
        <v>66</v>
      </c>
      <c r="O9" s="121">
        <v>48</v>
      </c>
      <c r="P9" s="122">
        <f t="shared" si="0"/>
        <v>873</v>
      </c>
      <c r="Q9" s="115"/>
    </row>
    <row r="10" spans="2:17" x14ac:dyDescent="0.3">
      <c r="B10" s="413"/>
      <c r="C10" s="120" t="s">
        <v>273</v>
      </c>
      <c r="D10" s="121">
        <v>50</v>
      </c>
      <c r="E10" s="121">
        <v>74</v>
      </c>
      <c r="F10" s="121">
        <v>86</v>
      </c>
      <c r="G10" s="121">
        <v>92</v>
      </c>
      <c r="H10" s="121">
        <v>100</v>
      </c>
      <c r="I10" s="121">
        <v>100</v>
      </c>
      <c r="J10" s="121">
        <v>100</v>
      </c>
      <c r="K10" s="121">
        <v>95</v>
      </c>
      <c r="L10" s="121">
        <v>72</v>
      </c>
      <c r="M10" s="121">
        <v>48</v>
      </c>
      <c r="N10" s="121">
        <v>65</v>
      </c>
      <c r="O10" s="121">
        <v>48</v>
      </c>
      <c r="P10" s="122">
        <f t="shared" si="0"/>
        <v>930</v>
      </c>
      <c r="Q10" s="115"/>
    </row>
    <row r="11" spans="2:17" x14ac:dyDescent="0.3">
      <c r="B11" s="413"/>
      <c r="C11" s="120" t="s">
        <v>108</v>
      </c>
      <c r="D11" s="123">
        <f>D9/D10</f>
        <v>1</v>
      </c>
      <c r="E11" s="123">
        <f t="shared" ref="E11:P11" si="3">E9/E10</f>
        <v>1</v>
      </c>
      <c r="F11" s="123">
        <f t="shared" si="3"/>
        <v>0.93023255813953487</v>
      </c>
      <c r="G11" s="123">
        <f t="shared" si="3"/>
        <v>0.81521739130434778</v>
      </c>
      <c r="H11" s="123">
        <f t="shared" si="3"/>
        <v>0.92</v>
      </c>
      <c r="I11" s="123">
        <f t="shared" si="3"/>
        <v>0.91</v>
      </c>
      <c r="J11" s="123">
        <f t="shared" si="3"/>
        <v>0.96</v>
      </c>
      <c r="K11" s="123">
        <f t="shared" si="3"/>
        <v>1.0105263157894737</v>
      </c>
      <c r="L11" s="123">
        <f t="shared" si="3"/>
        <v>0.90277777777777779</v>
      </c>
      <c r="M11" s="123">
        <f t="shared" si="3"/>
        <v>0.83333333333333337</v>
      </c>
      <c r="N11" s="123">
        <f t="shared" si="3"/>
        <v>1.0153846153846153</v>
      </c>
      <c r="O11" s="123">
        <f t="shared" si="3"/>
        <v>1</v>
      </c>
      <c r="P11" s="124">
        <f t="shared" si="3"/>
        <v>0.93870967741935485</v>
      </c>
      <c r="Q11" s="114">
        <f>IF(P11&gt;=1,0,1-P11)</f>
        <v>6.1290322580645151E-2</v>
      </c>
    </row>
    <row r="12" spans="2:17" x14ac:dyDescent="0.3">
      <c r="B12" s="413" t="s">
        <v>112</v>
      </c>
      <c r="C12" s="120" t="s">
        <v>272</v>
      </c>
      <c r="D12" s="121">
        <v>102</v>
      </c>
      <c r="E12" s="121">
        <v>92</v>
      </c>
      <c r="F12" s="121">
        <v>99</v>
      </c>
      <c r="G12" s="121">
        <v>98</v>
      </c>
      <c r="H12" s="121">
        <v>102</v>
      </c>
      <c r="I12" s="121">
        <v>102</v>
      </c>
      <c r="J12" s="121">
        <v>86</v>
      </c>
      <c r="K12" s="121">
        <v>86</v>
      </c>
      <c r="L12" s="121">
        <v>89</v>
      </c>
      <c r="M12" s="121">
        <v>108</v>
      </c>
      <c r="N12" s="121">
        <v>107</v>
      </c>
      <c r="O12" s="121">
        <v>94</v>
      </c>
      <c r="P12" s="122">
        <f t="shared" si="0"/>
        <v>1165</v>
      </c>
      <c r="Q12" s="115"/>
    </row>
    <row r="13" spans="2:17" x14ac:dyDescent="0.3">
      <c r="B13" s="413"/>
      <c r="C13" s="120" t="s">
        <v>273</v>
      </c>
      <c r="D13" s="121">
        <v>102</v>
      </c>
      <c r="E13" s="121">
        <v>102</v>
      </c>
      <c r="F13" s="121">
        <v>102</v>
      </c>
      <c r="G13" s="121">
        <v>106</v>
      </c>
      <c r="H13" s="121">
        <v>109</v>
      </c>
      <c r="I13" s="121">
        <v>102</v>
      </c>
      <c r="J13" s="121">
        <v>102</v>
      </c>
      <c r="K13" s="121">
        <v>110</v>
      </c>
      <c r="L13" s="121">
        <v>95</v>
      </c>
      <c r="M13" s="121">
        <v>102</v>
      </c>
      <c r="N13" s="121">
        <v>102</v>
      </c>
      <c r="O13" s="121">
        <v>102</v>
      </c>
      <c r="P13" s="122">
        <f t="shared" si="0"/>
        <v>1236</v>
      </c>
      <c r="Q13" s="115"/>
    </row>
    <row r="14" spans="2:17" x14ac:dyDescent="0.3">
      <c r="B14" s="413"/>
      <c r="C14" s="120" t="s">
        <v>108</v>
      </c>
      <c r="D14" s="123">
        <f>D12/D13</f>
        <v>1</v>
      </c>
      <c r="E14" s="123">
        <f t="shared" ref="E14:P14" si="4">E12/E13</f>
        <v>0.90196078431372551</v>
      </c>
      <c r="F14" s="123">
        <f t="shared" si="4"/>
        <v>0.97058823529411764</v>
      </c>
      <c r="G14" s="123">
        <f t="shared" si="4"/>
        <v>0.92452830188679247</v>
      </c>
      <c r="H14" s="123">
        <f t="shared" si="4"/>
        <v>0.93577981651376152</v>
      </c>
      <c r="I14" s="123">
        <f t="shared" si="4"/>
        <v>1</v>
      </c>
      <c r="J14" s="123">
        <f t="shared" si="4"/>
        <v>0.84313725490196079</v>
      </c>
      <c r="K14" s="123">
        <f t="shared" si="4"/>
        <v>0.78181818181818186</v>
      </c>
      <c r="L14" s="123">
        <f t="shared" si="4"/>
        <v>0.93684210526315792</v>
      </c>
      <c r="M14" s="123">
        <f t="shared" si="4"/>
        <v>1.0588235294117647</v>
      </c>
      <c r="N14" s="123">
        <f t="shared" si="4"/>
        <v>1.0490196078431373</v>
      </c>
      <c r="O14" s="123">
        <f t="shared" si="4"/>
        <v>0.92156862745098034</v>
      </c>
      <c r="P14" s="124">
        <f t="shared" si="4"/>
        <v>0.94255663430420711</v>
      </c>
      <c r="Q14" s="114">
        <f>IF(P14&gt;=1,0,1-P14)</f>
        <v>5.7443365695792892E-2</v>
      </c>
    </row>
    <row r="15" spans="2:17" x14ac:dyDescent="0.3">
      <c r="B15" s="413" t="s">
        <v>113</v>
      </c>
      <c r="C15" s="120" t="s">
        <v>272</v>
      </c>
      <c r="D15" s="121">
        <v>55</v>
      </c>
      <c r="E15" s="121">
        <v>55</v>
      </c>
      <c r="F15" s="121">
        <v>55</v>
      </c>
      <c r="G15" s="121">
        <v>55</v>
      </c>
      <c r="H15" s="121">
        <v>50</v>
      </c>
      <c r="I15" s="121">
        <v>60</v>
      </c>
      <c r="J15" s="121">
        <v>30</v>
      </c>
      <c r="K15" s="121">
        <v>23</v>
      </c>
      <c r="L15" s="121">
        <v>90</v>
      </c>
      <c r="M15" s="121">
        <v>66</v>
      </c>
      <c r="N15" s="121">
        <v>45</v>
      </c>
      <c r="O15" s="121">
        <v>40</v>
      </c>
      <c r="P15" s="122">
        <f t="shared" ref="P15:P16" si="5">SUM(D15:O15)</f>
        <v>624</v>
      </c>
      <c r="Q15" s="115"/>
    </row>
    <row r="16" spans="2:17" x14ac:dyDescent="0.3">
      <c r="B16" s="413"/>
      <c r="C16" s="120" t="s">
        <v>273</v>
      </c>
      <c r="D16" s="121">
        <v>48</v>
      </c>
      <c r="E16" s="121">
        <v>48</v>
      </c>
      <c r="F16" s="121">
        <v>56</v>
      </c>
      <c r="G16" s="121">
        <v>56</v>
      </c>
      <c r="H16" s="121">
        <v>56</v>
      </c>
      <c r="I16" s="121">
        <v>67</v>
      </c>
      <c r="J16" s="121">
        <v>32</v>
      </c>
      <c r="K16" s="121">
        <v>24</v>
      </c>
      <c r="L16" s="121">
        <v>90</v>
      </c>
      <c r="M16" s="121">
        <v>66</v>
      </c>
      <c r="N16" s="121">
        <v>48</v>
      </c>
      <c r="O16" s="121">
        <v>40</v>
      </c>
      <c r="P16" s="122">
        <f t="shared" si="5"/>
        <v>631</v>
      </c>
      <c r="Q16" s="115"/>
    </row>
    <row r="17" spans="2:17" x14ac:dyDescent="0.3">
      <c r="B17" s="413"/>
      <c r="C17" s="120" t="s">
        <v>108</v>
      </c>
      <c r="D17" s="123">
        <f>D15/D16</f>
        <v>1.1458333333333333</v>
      </c>
      <c r="E17" s="123">
        <f t="shared" ref="E17:P17" si="6">E15/E16</f>
        <v>1.1458333333333333</v>
      </c>
      <c r="F17" s="123">
        <f t="shared" si="6"/>
        <v>0.9821428571428571</v>
      </c>
      <c r="G17" s="123">
        <f t="shared" si="6"/>
        <v>0.9821428571428571</v>
      </c>
      <c r="H17" s="123">
        <f t="shared" si="6"/>
        <v>0.8928571428571429</v>
      </c>
      <c r="I17" s="123">
        <f t="shared" si="6"/>
        <v>0.89552238805970152</v>
      </c>
      <c r="J17" s="123">
        <f t="shared" si="6"/>
        <v>0.9375</v>
      </c>
      <c r="K17" s="123">
        <f t="shared" si="6"/>
        <v>0.95833333333333337</v>
      </c>
      <c r="L17" s="123">
        <f t="shared" si="6"/>
        <v>1</v>
      </c>
      <c r="M17" s="123">
        <f t="shared" si="6"/>
        <v>1</v>
      </c>
      <c r="N17" s="123">
        <f t="shared" si="6"/>
        <v>0.9375</v>
      </c>
      <c r="O17" s="123">
        <f t="shared" si="6"/>
        <v>1</v>
      </c>
      <c r="P17" s="124">
        <f t="shared" si="6"/>
        <v>0.9889064976228209</v>
      </c>
      <c r="Q17" s="114">
        <f>IF(P17&gt;=1,0,1-P17)</f>
        <v>1.1093502377179099E-2</v>
      </c>
    </row>
    <row r="18" spans="2:17" x14ac:dyDescent="0.3">
      <c r="B18" s="413" t="s">
        <v>114</v>
      </c>
      <c r="C18" s="120" t="s">
        <v>272</v>
      </c>
      <c r="D18" s="121">
        <v>16</v>
      </c>
      <c r="E18" s="121">
        <v>9</v>
      </c>
      <c r="F18" s="121">
        <v>21</v>
      </c>
      <c r="G18" s="121">
        <v>24</v>
      </c>
      <c r="H18" s="121">
        <v>24</v>
      </c>
      <c r="I18" s="121">
        <v>34</v>
      </c>
      <c r="J18" s="121">
        <v>52</v>
      </c>
      <c r="K18" s="121">
        <v>72</v>
      </c>
      <c r="L18" s="121">
        <v>70</v>
      </c>
      <c r="M18" s="121">
        <v>24</v>
      </c>
      <c r="N18" s="121">
        <v>40</v>
      </c>
      <c r="O18" s="121">
        <v>24</v>
      </c>
      <c r="P18" s="122">
        <f t="shared" ref="P18:P19" si="7">SUM(D18:O18)</f>
        <v>410</v>
      </c>
      <c r="Q18" s="115"/>
    </row>
    <row r="19" spans="2:17" x14ac:dyDescent="0.3">
      <c r="B19" s="413"/>
      <c r="C19" s="120" t="s">
        <v>273</v>
      </c>
      <c r="D19" s="121">
        <v>16</v>
      </c>
      <c r="E19" s="121">
        <v>10</v>
      </c>
      <c r="F19" s="121">
        <v>21</v>
      </c>
      <c r="G19" s="121">
        <v>24</v>
      </c>
      <c r="H19" s="121">
        <v>26</v>
      </c>
      <c r="I19" s="121">
        <v>32</v>
      </c>
      <c r="J19" s="121">
        <v>48</v>
      </c>
      <c r="K19" s="121">
        <v>72</v>
      </c>
      <c r="L19" s="121">
        <v>72</v>
      </c>
      <c r="M19" s="121">
        <v>24</v>
      </c>
      <c r="N19" s="121">
        <v>48</v>
      </c>
      <c r="O19" s="121">
        <v>30</v>
      </c>
      <c r="P19" s="122">
        <f t="shared" si="7"/>
        <v>423</v>
      </c>
      <c r="Q19" s="115"/>
    </row>
    <row r="20" spans="2:17" x14ac:dyDescent="0.3">
      <c r="B20" s="413"/>
      <c r="C20" s="120" t="s">
        <v>108</v>
      </c>
      <c r="D20" s="123">
        <f>D18/D19</f>
        <v>1</v>
      </c>
      <c r="E20" s="123">
        <f t="shared" ref="E20:P20" si="8">E18/E19</f>
        <v>0.9</v>
      </c>
      <c r="F20" s="123">
        <f t="shared" si="8"/>
        <v>1</v>
      </c>
      <c r="G20" s="123">
        <f t="shared" si="8"/>
        <v>1</v>
      </c>
      <c r="H20" s="123">
        <f t="shared" si="8"/>
        <v>0.92307692307692313</v>
      </c>
      <c r="I20" s="123">
        <f t="shared" si="8"/>
        <v>1.0625</v>
      </c>
      <c r="J20" s="123">
        <f t="shared" si="8"/>
        <v>1.0833333333333333</v>
      </c>
      <c r="K20" s="123">
        <f t="shared" si="8"/>
        <v>1</v>
      </c>
      <c r="L20" s="123">
        <f t="shared" si="8"/>
        <v>0.97222222222222221</v>
      </c>
      <c r="M20" s="123">
        <f t="shared" si="8"/>
        <v>1</v>
      </c>
      <c r="N20" s="123">
        <f t="shared" si="8"/>
        <v>0.83333333333333337</v>
      </c>
      <c r="O20" s="123">
        <f t="shared" si="8"/>
        <v>0.8</v>
      </c>
      <c r="P20" s="124">
        <f t="shared" si="8"/>
        <v>0.96926713947990539</v>
      </c>
      <c r="Q20" s="114">
        <f>IF(P20&gt;=1,0,1-P20)</f>
        <v>3.0732860520094607E-2</v>
      </c>
    </row>
  </sheetData>
  <mergeCells count="6">
    <mergeCell ref="B18:B20"/>
    <mergeCell ref="B3:B5"/>
    <mergeCell ref="B6:B8"/>
    <mergeCell ref="B9:B11"/>
    <mergeCell ref="B12:B14"/>
    <mergeCell ref="B15:B17"/>
  </mergeCells>
  <phoneticPr fontId="7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DB57-8DA6-4AA4-B0FB-3FAA557C6960}">
  <sheetPr codeName="Sheet18"/>
  <dimension ref="B2:P30"/>
  <sheetViews>
    <sheetView showGridLines="0" workbookViewId="0">
      <selection activeCell="T21" sqref="T21"/>
    </sheetView>
  </sheetViews>
  <sheetFormatPr defaultRowHeight="14.4" x14ac:dyDescent="0.3"/>
  <sheetData>
    <row r="2" spans="2:16" ht="18" x14ac:dyDescent="0.35">
      <c r="B2" s="336" t="s">
        <v>255</v>
      </c>
      <c r="C2" s="337"/>
      <c r="D2" s="337"/>
      <c r="E2" s="337"/>
      <c r="F2" s="337"/>
      <c r="G2" s="338"/>
    </row>
    <row r="6" spans="2:16" ht="18" x14ac:dyDescent="0.35">
      <c r="B6" s="336" t="s">
        <v>256</v>
      </c>
      <c r="C6" s="337"/>
      <c r="D6" s="337"/>
      <c r="E6" s="337"/>
      <c r="F6" s="337"/>
      <c r="G6" s="338"/>
    </row>
    <row r="9" spans="2:16" x14ac:dyDescent="0.3">
      <c r="B9" s="363" t="s">
        <v>64</v>
      </c>
      <c r="C9" s="365"/>
      <c r="E9" s="211" t="s">
        <v>25</v>
      </c>
      <c r="F9" s="212" t="s">
        <v>26</v>
      </c>
      <c r="G9" s="212" t="s">
        <v>27</v>
      </c>
      <c r="H9" s="212" t="s">
        <v>28</v>
      </c>
      <c r="I9" s="212" t="s">
        <v>29</v>
      </c>
      <c r="J9" s="212" t="s">
        <v>30</v>
      </c>
      <c r="K9" s="212" t="s">
        <v>31</v>
      </c>
      <c r="L9" s="212" t="s">
        <v>32</v>
      </c>
      <c r="M9" s="212" t="s">
        <v>33</v>
      </c>
      <c r="N9" s="212" t="s">
        <v>34</v>
      </c>
      <c r="O9" s="212" t="s">
        <v>35</v>
      </c>
      <c r="P9" s="213" t="s">
        <v>36</v>
      </c>
    </row>
    <row r="10" spans="2:16" x14ac:dyDescent="0.3">
      <c r="B10" s="363" t="s">
        <v>65</v>
      </c>
      <c r="C10" s="365"/>
      <c r="E10" s="36">
        <f>Calculations!D19</f>
        <v>0.91111111111111109</v>
      </c>
      <c r="F10" s="33">
        <f>Calculations!E19</f>
        <v>0.97777777777777775</v>
      </c>
      <c r="G10" s="33">
        <f>Calculations!F19</f>
        <v>1</v>
      </c>
      <c r="H10" s="33">
        <f>Calculations!G19</f>
        <v>1</v>
      </c>
      <c r="I10" s="33">
        <f>Calculations!H19</f>
        <v>1</v>
      </c>
      <c r="J10" s="33">
        <f>Calculations!I19</f>
        <v>1</v>
      </c>
      <c r="K10" s="33">
        <f>Calculations!J19</f>
        <v>1</v>
      </c>
      <c r="L10" s="33">
        <f>Calculations!K19</f>
        <v>1</v>
      </c>
      <c r="M10" s="33">
        <f>Calculations!L19</f>
        <v>1</v>
      </c>
      <c r="N10" s="33">
        <f>Calculations!M19</f>
        <v>1</v>
      </c>
      <c r="O10" s="33">
        <f>Calculations!N19</f>
        <v>1</v>
      </c>
      <c r="P10" s="37">
        <f>Calculations!O19</f>
        <v>1</v>
      </c>
    </row>
    <row r="11" spans="2:16" x14ac:dyDescent="0.3">
      <c r="B11" s="363" t="s">
        <v>66</v>
      </c>
      <c r="C11" s="365"/>
      <c r="E11" s="36">
        <f>Calculations!D20</f>
        <v>0.72222222222222221</v>
      </c>
      <c r="F11" s="33">
        <f>Calculations!E20</f>
        <v>0.72222222222222221</v>
      </c>
      <c r="G11" s="33">
        <f>Calculations!F20</f>
        <v>0.72222222222222221</v>
      </c>
      <c r="H11" s="33">
        <f>Calculations!G20</f>
        <v>0.77777777777777779</v>
      </c>
      <c r="I11" s="33">
        <f>Calculations!H20</f>
        <v>0.77777777777777779</v>
      </c>
      <c r="J11" s="33">
        <f>Calculations!I20</f>
        <v>0.77777777777777779</v>
      </c>
      <c r="K11" s="33">
        <f>Calculations!J20</f>
        <v>0.88888888888888884</v>
      </c>
      <c r="L11" s="33">
        <f>Calculations!K20</f>
        <v>0.88888888888888884</v>
      </c>
      <c r="M11" s="33">
        <f>Calculations!L20</f>
        <v>0.88888888888888884</v>
      </c>
      <c r="N11" s="33">
        <f>Calculations!M20</f>
        <v>0.88888888888888884</v>
      </c>
      <c r="O11" s="33">
        <f>Calculations!N20</f>
        <v>0.88888888888888884</v>
      </c>
      <c r="P11" s="37">
        <f>Calculations!O20</f>
        <v>1</v>
      </c>
    </row>
    <row r="12" spans="2:16" x14ac:dyDescent="0.3">
      <c r="B12" s="363" t="s">
        <v>1</v>
      </c>
      <c r="C12" s="365"/>
      <c r="E12" s="36">
        <f>Calculations!D21</f>
        <v>0.3888888888888889</v>
      </c>
      <c r="F12" s="33">
        <f>Calculations!E21</f>
        <v>0.3888888888888889</v>
      </c>
      <c r="G12" s="33">
        <f>Calculations!F21</f>
        <v>0.3888888888888889</v>
      </c>
      <c r="H12" s="33">
        <f>Calculations!G21</f>
        <v>0.3888888888888889</v>
      </c>
      <c r="I12" s="33">
        <f>Calculations!H21</f>
        <v>0.44444444444444442</v>
      </c>
      <c r="J12" s="33">
        <f>Calculations!I21</f>
        <v>0.44444444444444442</v>
      </c>
      <c r="K12" s="33">
        <f>Calculations!J21</f>
        <v>0.44444444444444442</v>
      </c>
      <c r="L12" s="33">
        <f>Calculations!K21</f>
        <v>0.5</v>
      </c>
      <c r="M12" s="33">
        <f>Calculations!L21</f>
        <v>0.5</v>
      </c>
      <c r="N12" s="33">
        <f>Calculations!M21</f>
        <v>0.5</v>
      </c>
      <c r="O12" s="33">
        <f>Calculations!N21</f>
        <v>0.5</v>
      </c>
      <c r="P12" s="37">
        <f>Calculations!O21</f>
        <v>0.5</v>
      </c>
    </row>
    <row r="13" spans="2:16" x14ac:dyDescent="0.3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ht="18" x14ac:dyDescent="0.35">
      <c r="B14" s="336" t="s">
        <v>67</v>
      </c>
      <c r="C14" s="337"/>
      <c r="D14" s="337"/>
      <c r="E14" s="337"/>
      <c r="F14" s="337"/>
      <c r="G14" s="338"/>
      <c r="H14" s="5"/>
      <c r="I14" s="5"/>
      <c r="J14" s="5"/>
      <c r="K14" s="5"/>
      <c r="L14" s="5"/>
      <c r="M14" s="5"/>
      <c r="N14" s="5"/>
      <c r="O14" s="5"/>
      <c r="P14" s="5"/>
    </row>
    <row r="15" spans="2:16" x14ac:dyDescent="0.3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x14ac:dyDescent="0.3">
      <c r="B16" s="363" t="s">
        <v>64</v>
      </c>
      <c r="C16" s="365"/>
      <c r="E16" s="211" t="s">
        <v>25</v>
      </c>
      <c r="F16" s="212" t="s">
        <v>26</v>
      </c>
      <c r="G16" s="212" t="s">
        <v>27</v>
      </c>
      <c r="H16" s="212" t="s">
        <v>28</v>
      </c>
      <c r="I16" s="212" t="s">
        <v>29</v>
      </c>
      <c r="J16" s="212" t="s">
        <v>30</v>
      </c>
      <c r="K16" s="212" t="s">
        <v>31</v>
      </c>
      <c r="L16" s="212" t="s">
        <v>32</v>
      </c>
      <c r="M16" s="212" t="s">
        <v>33</v>
      </c>
      <c r="N16" s="212" t="s">
        <v>34</v>
      </c>
      <c r="O16" s="212" t="s">
        <v>35</v>
      </c>
      <c r="P16" s="213" t="s">
        <v>36</v>
      </c>
    </row>
    <row r="17" spans="2:16" x14ac:dyDescent="0.3">
      <c r="E17" s="36">
        <v>0.1</v>
      </c>
      <c r="F17" s="33">
        <v>0.1</v>
      </c>
      <c r="G17" s="33">
        <v>0.1</v>
      </c>
      <c r="H17" s="33">
        <v>0.1</v>
      </c>
      <c r="I17" s="33">
        <v>0.1</v>
      </c>
      <c r="J17" s="33">
        <v>0.15</v>
      </c>
      <c r="K17" s="33">
        <v>0.2</v>
      </c>
      <c r="L17" s="33">
        <v>0.2</v>
      </c>
      <c r="M17" s="33">
        <v>0.1</v>
      </c>
      <c r="N17" s="33">
        <v>0.1</v>
      </c>
      <c r="O17" s="33">
        <v>0.1</v>
      </c>
      <c r="P17" s="37">
        <v>0.15</v>
      </c>
    </row>
    <row r="18" spans="2:16" x14ac:dyDescent="0.3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ht="18" x14ac:dyDescent="0.35">
      <c r="B19" s="336" t="s">
        <v>68</v>
      </c>
      <c r="C19" s="337"/>
      <c r="D19" s="337"/>
      <c r="E19" s="337"/>
      <c r="F19" s="337"/>
      <c r="G19" s="338"/>
      <c r="H19" s="5"/>
      <c r="I19" s="5"/>
      <c r="J19" s="5"/>
      <c r="K19" s="5"/>
      <c r="L19" s="5"/>
      <c r="M19" s="5"/>
      <c r="N19" s="5"/>
      <c r="O19" s="5"/>
      <c r="P19" s="5"/>
    </row>
    <row r="20" spans="2:16" x14ac:dyDescent="0.3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3">
      <c r="B21" s="363" t="s">
        <v>64</v>
      </c>
      <c r="C21" s="365"/>
      <c r="E21" s="211" t="s">
        <v>25</v>
      </c>
      <c r="F21" s="212" t="s">
        <v>26</v>
      </c>
      <c r="G21" s="212" t="s">
        <v>27</v>
      </c>
      <c r="H21" s="212" t="s">
        <v>28</v>
      </c>
      <c r="I21" s="212" t="s">
        <v>29</v>
      </c>
      <c r="J21" s="212" t="s">
        <v>30</v>
      </c>
      <c r="K21" s="212" t="s">
        <v>31</v>
      </c>
      <c r="L21" s="212" t="s">
        <v>32</v>
      </c>
      <c r="M21" s="212" t="s">
        <v>33</v>
      </c>
      <c r="N21" s="212" t="s">
        <v>34</v>
      </c>
      <c r="O21" s="212" t="s">
        <v>35</v>
      </c>
      <c r="P21" s="213" t="s">
        <v>36</v>
      </c>
    </row>
    <row r="22" spans="2:16" x14ac:dyDescent="0.3">
      <c r="B22" s="15" t="s">
        <v>237</v>
      </c>
      <c r="C22" s="11"/>
      <c r="E22" s="38">
        <f>Calculations!E36</f>
        <v>0.58333333333333337</v>
      </c>
      <c r="F22" s="34">
        <f>Calculations!F36</f>
        <v>0.58333333333333337</v>
      </c>
      <c r="G22" s="34">
        <f>Calculations!G36</f>
        <v>0.91666666666666663</v>
      </c>
      <c r="H22" s="34">
        <f>Calculations!H36</f>
        <v>1</v>
      </c>
      <c r="I22" s="34">
        <f>Calculations!I36</f>
        <v>1</v>
      </c>
      <c r="J22" s="34">
        <f>Calculations!J36</f>
        <v>1</v>
      </c>
      <c r="K22" s="34">
        <f>Calculations!K36</f>
        <v>1</v>
      </c>
      <c r="L22" s="34">
        <f>Calculations!L36</f>
        <v>1</v>
      </c>
      <c r="M22" s="34">
        <f>Calculations!M36</f>
        <v>0.66666666666666663</v>
      </c>
      <c r="N22" s="34">
        <f>Calculations!N36</f>
        <v>1</v>
      </c>
      <c r="O22" s="34">
        <f>Calculations!O36</f>
        <v>1</v>
      </c>
      <c r="P22" s="39">
        <f>Calculations!P36</f>
        <v>1</v>
      </c>
    </row>
    <row r="23" spans="2:16" x14ac:dyDescent="0.3">
      <c r="B23" s="15" t="s">
        <v>238</v>
      </c>
      <c r="C23" s="11"/>
      <c r="E23" s="40">
        <f>Calculations!E37</f>
        <v>0.66666666666666663</v>
      </c>
      <c r="F23" s="35">
        <f>Calculations!F37</f>
        <v>0.66666666666666663</v>
      </c>
      <c r="G23" s="35">
        <f>Calculations!G37</f>
        <v>0.66666666666666663</v>
      </c>
      <c r="H23" s="35">
        <f>Calculations!H37</f>
        <v>1</v>
      </c>
      <c r="I23" s="35">
        <f>Calculations!I37</f>
        <v>1</v>
      </c>
      <c r="J23" s="35">
        <f>Calculations!J37</f>
        <v>1</v>
      </c>
      <c r="K23" s="35">
        <f>Calculations!K37</f>
        <v>1</v>
      </c>
      <c r="L23" s="35">
        <f>Calculations!L37</f>
        <v>1</v>
      </c>
      <c r="M23" s="35">
        <f>Calculations!M37</f>
        <v>0.66666666666666663</v>
      </c>
      <c r="N23" s="35">
        <f>Calculations!N37</f>
        <v>1</v>
      </c>
      <c r="O23" s="35">
        <f>Calculations!O37</f>
        <v>1</v>
      </c>
      <c r="P23" s="41">
        <f>Calculations!P37</f>
        <v>1</v>
      </c>
    </row>
    <row r="24" spans="2:16" x14ac:dyDescent="0.3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x14ac:dyDescent="0.3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3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3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3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x14ac:dyDescent="0.3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x14ac:dyDescent="0.3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mergeCells count="10">
    <mergeCell ref="B21:C21"/>
    <mergeCell ref="B16:C16"/>
    <mergeCell ref="B2:G2"/>
    <mergeCell ref="B6:G6"/>
    <mergeCell ref="B14:G14"/>
    <mergeCell ref="B19:G19"/>
    <mergeCell ref="B9:C9"/>
    <mergeCell ref="B10:C10"/>
    <mergeCell ref="B11:C11"/>
    <mergeCell ref="B12:C12"/>
  </mergeCells>
  <phoneticPr fontId="7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14D8-2720-4BB1-81B2-2B35C4DE18E8}">
  <sheetPr codeName="Sheet20"/>
  <dimension ref="B5:BL51"/>
  <sheetViews>
    <sheetView topLeftCell="A31" workbookViewId="0">
      <selection activeCell="H42" sqref="H42"/>
    </sheetView>
  </sheetViews>
  <sheetFormatPr defaultRowHeight="14.4" x14ac:dyDescent="0.3"/>
  <cols>
    <col min="1" max="1" width="3.44140625" customWidth="1"/>
    <col min="2" max="2" width="23.5546875" customWidth="1"/>
    <col min="3" max="3" width="8.5546875" customWidth="1"/>
    <col min="4" max="4" width="12.33203125" customWidth="1"/>
  </cols>
  <sheetData>
    <row r="5" spans="2:15" x14ac:dyDescent="0.3">
      <c r="B5" s="145" t="s">
        <v>274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2:15" x14ac:dyDescent="0.3">
      <c r="B6" s="233" t="s">
        <v>64</v>
      </c>
      <c r="C6" s="233"/>
      <c r="D6" s="234" t="s">
        <v>25</v>
      </c>
      <c r="E6" s="234" t="s">
        <v>26</v>
      </c>
      <c r="F6" s="234" t="s">
        <v>27</v>
      </c>
      <c r="G6" s="234" t="s">
        <v>28</v>
      </c>
      <c r="H6" s="234" t="s">
        <v>29</v>
      </c>
      <c r="I6" s="234" t="s">
        <v>30</v>
      </c>
      <c r="J6" s="234" t="s">
        <v>31</v>
      </c>
      <c r="K6" s="234" t="s">
        <v>32</v>
      </c>
      <c r="L6" s="234" t="s">
        <v>33</v>
      </c>
      <c r="M6" s="234" t="s">
        <v>34</v>
      </c>
      <c r="N6" s="234" t="s">
        <v>35</v>
      </c>
      <c r="O6" s="234" t="s">
        <v>36</v>
      </c>
    </row>
    <row r="7" spans="2:15" x14ac:dyDescent="0.3">
      <c r="B7" t="s">
        <v>65</v>
      </c>
      <c r="D7" s="5">
        <v>82</v>
      </c>
      <c r="E7" s="5">
        <v>88</v>
      </c>
      <c r="F7" s="5">
        <v>90</v>
      </c>
      <c r="G7" s="5">
        <v>90</v>
      </c>
      <c r="H7" s="5">
        <v>90</v>
      </c>
      <c r="I7" s="5">
        <v>90</v>
      </c>
      <c r="J7" s="5">
        <v>90</v>
      </c>
      <c r="K7" s="5">
        <v>90</v>
      </c>
      <c r="L7" s="5">
        <v>90</v>
      </c>
      <c r="M7" s="5">
        <v>90</v>
      </c>
      <c r="N7" s="5">
        <v>90</v>
      </c>
      <c r="O7" s="5">
        <v>90</v>
      </c>
    </row>
    <row r="8" spans="2:15" x14ac:dyDescent="0.3">
      <c r="B8" t="s">
        <v>66</v>
      </c>
      <c r="D8" s="5">
        <v>90</v>
      </c>
      <c r="E8" s="5">
        <v>90</v>
      </c>
      <c r="F8" s="5">
        <v>90</v>
      </c>
      <c r="G8" s="5">
        <v>90</v>
      </c>
      <c r="H8" s="5">
        <v>90</v>
      </c>
      <c r="I8" s="5">
        <v>90</v>
      </c>
      <c r="J8" s="5">
        <v>90</v>
      </c>
      <c r="K8" s="5">
        <v>90</v>
      </c>
      <c r="L8" s="5">
        <v>90</v>
      </c>
      <c r="M8" s="5">
        <v>90</v>
      </c>
      <c r="N8" s="5">
        <v>90</v>
      </c>
      <c r="O8" s="5">
        <v>90</v>
      </c>
    </row>
    <row r="9" spans="2:15" x14ac:dyDescent="0.3">
      <c r="B9" t="s">
        <v>1</v>
      </c>
      <c r="D9" s="5">
        <v>90</v>
      </c>
      <c r="E9" s="5">
        <v>90</v>
      </c>
      <c r="F9" s="5">
        <v>90</v>
      </c>
      <c r="G9" s="5">
        <v>90</v>
      </c>
      <c r="H9" s="5">
        <v>90</v>
      </c>
      <c r="I9" s="5">
        <v>90</v>
      </c>
      <c r="J9" s="5">
        <v>90</v>
      </c>
      <c r="K9" s="5">
        <v>90</v>
      </c>
      <c r="L9" s="5">
        <v>90</v>
      </c>
      <c r="M9" s="5">
        <v>90</v>
      </c>
      <c r="N9" s="5">
        <v>90</v>
      </c>
      <c r="O9" s="5">
        <v>90</v>
      </c>
    </row>
    <row r="11" spans="2:15" x14ac:dyDescent="0.3">
      <c r="B11" s="145" t="s">
        <v>275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</row>
    <row r="12" spans="2:15" x14ac:dyDescent="0.3">
      <c r="B12" s="233" t="s">
        <v>64</v>
      </c>
      <c r="C12" s="233"/>
      <c r="D12" s="234" t="s">
        <v>25</v>
      </c>
      <c r="E12" s="234" t="s">
        <v>26</v>
      </c>
      <c r="F12" s="234" t="s">
        <v>27</v>
      </c>
      <c r="G12" s="234" t="s">
        <v>28</v>
      </c>
      <c r="H12" s="234" t="s">
        <v>29</v>
      </c>
      <c r="I12" s="234" t="s">
        <v>30</v>
      </c>
      <c r="J12" s="234" t="s">
        <v>31</v>
      </c>
      <c r="K12" s="234" t="s">
        <v>32</v>
      </c>
      <c r="L12" s="234" t="s">
        <v>33</v>
      </c>
      <c r="M12" s="234" t="s">
        <v>34</v>
      </c>
      <c r="N12" s="234" t="s">
        <v>35</v>
      </c>
      <c r="O12" s="234" t="s">
        <v>36</v>
      </c>
    </row>
    <row r="13" spans="2:15" x14ac:dyDescent="0.3">
      <c r="B13" t="s">
        <v>65</v>
      </c>
      <c r="D13" s="5">
        <v>90</v>
      </c>
      <c r="E13" s="5">
        <v>90</v>
      </c>
      <c r="F13" s="5">
        <v>90</v>
      </c>
      <c r="G13" s="5">
        <v>90</v>
      </c>
      <c r="H13" s="5">
        <v>90</v>
      </c>
      <c r="I13" s="5">
        <v>90</v>
      </c>
      <c r="J13" s="5">
        <v>90</v>
      </c>
      <c r="K13" s="5">
        <v>90</v>
      </c>
      <c r="L13" s="5">
        <v>90</v>
      </c>
      <c r="M13" s="5">
        <v>90</v>
      </c>
      <c r="N13" s="5">
        <v>90</v>
      </c>
      <c r="O13" s="5">
        <v>90</v>
      </c>
    </row>
    <row r="14" spans="2:15" x14ac:dyDescent="0.3">
      <c r="B14" t="s">
        <v>66</v>
      </c>
      <c r="D14" s="5">
        <v>65</v>
      </c>
      <c r="E14" s="5">
        <v>65</v>
      </c>
      <c r="F14" s="5">
        <v>65</v>
      </c>
      <c r="G14" s="5">
        <v>70</v>
      </c>
      <c r="H14" s="5">
        <v>70</v>
      </c>
      <c r="I14" s="5">
        <v>70</v>
      </c>
      <c r="J14" s="5">
        <v>80</v>
      </c>
      <c r="K14" s="5">
        <v>80</v>
      </c>
      <c r="L14" s="5">
        <v>80</v>
      </c>
      <c r="M14" s="5">
        <v>80</v>
      </c>
      <c r="N14" s="5">
        <v>80</v>
      </c>
      <c r="O14" s="5">
        <v>90</v>
      </c>
    </row>
    <row r="15" spans="2:15" x14ac:dyDescent="0.3">
      <c r="B15" t="s">
        <v>1</v>
      </c>
      <c r="D15" s="5">
        <v>35</v>
      </c>
      <c r="E15" s="5">
        <v>35</v>
      </c>
      <c r="F15" s="5">
        <v>35</v>
      </c>
      <c r="G15" s="5">
        <v>35</v>
      </c>
      <c r="H15" s="5">
        <v>40</v>
      </c>
      <c r="I15" s="5">
        <v>40</v>
      </c>
      <c r="J15" s="5">
        <v>40</v>
      </c>
      <c r="K15" s="5">
        <v>45</v>
      </c>
      <c r="L15" s="5">
        <v>45</v>
      </c>
      <c r="M15" s="5">
        <v>45</v>
      </c>
      <c r="N15" s="5">
        <v>45</v>
      </c>
      <c r="O15" s="5">
        <v>45</v>
      </c>
    </row>
    <row r="17" spans="2:16" x14ac:dyDescent="0.3">
      <c r="B17" s="145" t="s">
        <v>276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</row>
    <row r="18" spans="2:16" x14ac:dyDescent="0.3">
      <c r="B18" s="233" t="s">
        <v>64</v>
      </c>
      <c r="C18" s="233"/>
      <c r="D18" s="234" t="s">
        <v>25</v>
      </c>
      <c r="E18" s="234" t="s">
        <v>26</v>
      </c>
      <c r="F18" s="234" t="s">
        <v>27</v>
      </c>
      <c r="G18" s="234" t="s">
        <v>28</v>
      </c>
      <c r="H18" s="234" t="s">
        <v>29</v>
      </c>
      <c r="I18" s="234" t="s">
        <v>30</v>
      </c>
      <c r="J18" s="234" t="s">
        <v>31</v>
      </c>
      <c r="K18" s="234" t="s">
        <v>32</v>
      </c>
      <c r="L18" s="234" t="s">
        <v>33</v>
      </c>
      <c r="M18" s="234" t="s">
        <v>34</v>
      </c>
      <c r="N18" s="234" t="s">
        <v>35</v>
      </c>
      <c r="O18" s="234" t="s">
        <v>36</v>
      </c>
    </row>
    <row r="19" spans="2:16" x14ac:dyDescent="0.3">
      <c r="B19" t="s">
        <v>65</v>
      </c>
      <c r="D19" s="10">
        <f>D7/D13</f>
        <v>0.91111111111111109</v>
      </c>
      <c r="E19" s="10">
        <f t="shared" ref="E19:O19" si="0">E7/E13</f>
        <v>0.97777777777777775</v>
      </c>
      <c r="F19" s="10">
        <f t="shared" si="0"/>
        <v>1</v>
      </c>
      <c r="G19" s="10">
        <f t="shared" si="0"/>
        <v>1</v>
      </c>
      <c r="H19" s="10">
        <f t="shared" si="0"/>
        <v>1</v>
      </c>
      <c r="I19" s="10">
        <f t="shared" si="0"/>
        <v>1</v>
      </c>
      <c r="J19" s="10">
        <f t="shared" si="0"/>
        <v>1</v>
      </c>
      <c r="K19" s="10">
        <f t="shared" si="0"/>
        <v>1</v>
      </c>
      <c r="L19" s="10">
        <f t="shared" si="0"/>
        <v>1</v>
      </c>
      <c r="M19" s="10">
        <f t="shared" si="0"/>
        <v>1</v>
      </c>
      <c r="N19" s="10">
        <f t="shared" si="0"/>
        <v>1</v>
      </c>
      <c r="O19" s="10">
        <f t="shared" si="0"/>
        <v>1</v>
      </c>
    </row>
    <row r="20" spans="2:16" x14ac:dyDescent="0.3">
      <c r="B20" t="s">
        <v>66</v>
      </c>
      <c r="D20" s="10">
        <f>D14/D8</f>
        <v>0.72222222222222221</v>
      </c>
      <c r="E20" s="10">
        <f t="shared" ref="E20:O20" si="1">E14/E8</f>
        <v>0.72222222222222221</v>
      </c>
      <c r="F20" s="10">
        <f t="shared" si="1"/>
        <v>0.72222222222222221</v>
      </c>
      <c r="G20" s="10">
        <f t="shared" si="1"/>
        <v>0.77777777777777779</v>
      </c>
      <c r="H20" s="10">
        <f t="shared" si="1"/>
        <v>0.77777777777777779</v>
      </c>
      <c r="I20" s="10">
        <f t="shared" si="1"/>
        <v>0.77777777777777779</v>
      </c>
      <c r="J20" s="10">
        <f t="shared" si="1"/>
        <v>0.88888888888888884</v>
      </c>
      <c r="K20" s="10">
        <f t="shared" si="1"/>
        <v>0.88888888888888884</v>
      </c>
      <c r="L20" s="10">
        <f t="shared" si="1"/>
        <v>0.88888888888888884</v>
      </c>
      <c r="M20" s="10">
        <f t="shared" si="1"/>
        <v>0.88888888888888884</v>
      </c>
      <c r="N20" s="10">
        <f t="shared" si="1"/>
        <v>0.88888888888888884</v>
      </c>
      <c r="O20" s="10">
        <f t="shared" si="1"/>
        <v>1</v>
      </c>
    </row>
    <row r="21" spans="2:16" x14ac:dyDescent="0.3">
      <c r="B21" t="s">
        <v>1</v>
      </c>
      <c r="D21" s="10">
        <f>D15/D9</f>
        <v>0.3888888888888889</v>
      </c>
      <c r="E21" s="10">
        <f t="shared" ref="E21:O21" si="2">E15/E9</f>
        <v>0.3888888888888889</v>
      </c>
      <c r="F21" s="10">
        <f t="shared" si="2"/>
        <v>0.3888888888888889</v>
      </c>
      <c r="G21" s="10">
        <f t="shared" si="2"/>
        <v>0.3888888888888889</v>
      </c>
      <c r="H21" s="10">
        <f t="shared" si="2"/>
        <v>0.44444444444444442</v>
      </c>
      <c r="I21" s="10">
        <f t="shared" si="2"/>
        <v>0.44444444444444442</v>
      </c>
      <c r="J21" s="10">
        <f t="shared" si="2"/>
        <v>0.44444444444444442</v>
      </c>
      <c r="K21" s="10">
        <f t="shared" si="2"/>
        <v>0.5</v>
      </c>
      <c r="L21" s="10">
        <f t="shared" si="2"/>
        <v>0.5</v>
      </c>
      <c r="M21" s="10">
        <f t="shared" si="2"/>
        <v>0.5</v>
      </c>
      <c r="N21" s="10">
        <f t="shared" si="2"/>
        <v>0.5</v>
      </c>
      <c r="O21" s="10">
        <f t="shared" si="2"/>
        <v>0.5</v>
      </c>
    </row>
    <row r="25" spans="2:16" ht="18" x14ac:dyDescent="0.35">
      <c r="B25" s="414" t="s">
        <v>68</v>
      </c>
      <c r="C25" s="414"/>
      <c r="D25" s="414"/>
      <c r="E25" s="414"/>
      <c r="F25" s="414"/>
      <c r="G25" s="414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3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3">
      <c r="B27" s="172" t="s">
        <v>214</v>
      </c>
      <c r="C27" s="172" t="s">
        <v>64</v>
      </c>
      <c r="D27" s="172"/>
      <c r="E27" s="199" t="s">
        <v>25</v>
      </c>
      <c r="F27" s="199" t="s">
        <v>26</v>
      </c>
      <c r="G27" s="199" t="s">
        <v>27</v>
      </c>
      <c r="H27" s="199" t="s">
        <v>28</v>
      </c>
      <c r="I27" s="199" t="s">
        <v>29</v>
      </c>
      <c r="J27" s="199" t="s">
        <v>30</v>
      </c>
      <c r="K27" s="199" t="s">
        <v>31</v>
      </c>
      <c r="L27" s="199" t="s">
        <v>32</v>
      </c>
      <c r="M27" s="199" t="s">
        <v>33</v>
      </c>
      <c r="N27" s="199" t="s">
        <v>34</v>
      </c>
      <c r="O27" s="199" t="s">
        <v>35</v>
      </c>
      <c r="P27" s="199" t="s">
        <v>36</v>
      </c>
    </row>
    <row r="28" spans="2:16" x14ac:dyDescent="0.3">
      <c r="B28" s="16" t="s">
        <v>237</v>
      </c>
      <c r="E28" s="5">
        <v>60</v>
      </c>
      <c r="F28" s="5">
        <v>60</v>
      </c>
      <c r="G28" s="5">
        <v>60</v>
      </c>
      <c r="H28" s="5">
        <v>60</v>
      </c>
      <c r="I28" s="5">
        <v>60</v>
      </c>
      <c r="J28" s="5">
        <v>60</v>
      </c>
      <c r="K28" s="5">
        <v>60</v>
      </c>
      <c r="L28" s="5">
        <v>60</v>
      </c>
      <c r="M28" s="5">
        <v>60</v>
      </c>
      <c r="N28" s="5">
        <v>60</v>
      </c>
      <c r="O28" s="5">
        <v>60</v>
      </c>
      <c r="P28" s="5">
        <v>60</v>
      </c>
    </row>
    <row r="29" spans="2:16" x14ac:dyDescent="0.3">
      <c r="B29" s="16" t="s">
        <v>238</v>
      </c>
      <c r="E29" s="5">
        <v>30</v>
      </c>
      <c r="F29" s="5">
        <v>30</v>
      </c>
      <c r="G29" s="5">
        <v>30</v>
      </c>
      <c r="H29" s="5">
        <v>30</v>
      </c>
      <c r="I29" s="5">
        <v>30</v>
      </c>
      <c r="J29" s="5">
        <v>30</v>
      </c>
      <c r="K29" s="5">
        <v>30</v>
      </c>
      <c r="L29" s="5">
        <v>30</v>
      </c>
      <c r="M29" s="5">
        <v>30</v>
      </c>
      <c r="N29" s="5">
        <v>30</v>
      </c>
      <c r="O29" s="5">
        <v>30</v>
      </c>
      <c r="P29" s="5">
        <v>30</v>
      </c>
    </row>
    <row r="31" spans="2:16" x14ac:dyDescent="0.3">
      <c r="B31" s="172" t="s">
        <v>93</v>
      </c>
      <c r="C31" s="172" t="s">
        <v>64</v>
      </c>
      <c r="D31" s="172"/>
      <c r="E31" s="199" t="s">
        <v>25</v>
      </c>
      <c r="F31" s="199" t="s">
        <v>26</v>
      </c>
      <c r="G31" s="199" t="s">
        <v>27</v>
      </c>
      <c r="H31" s="199" t="s">
        <v>28</v>
      </c>
      <c r="I31" s="199" t="s">
        <v>29</v>
      </c>
      <c r="J31" s="199" t="s">
        <v>30</v>
      </c>
      <c r="K31" s="199" t="s">
        <v>31</v>
      </c>
      <c r="L31" s="199" t="s">
        <v>32</v>
      </c>
      <c r="M31" s="199" t="s">
        <v>33</v>
      </c>
      <c r="N31" s="199" t="s">
        <v>34</v>
      </c>
      <c r="O31" s="199" t="s">
        <v>35</v>
      </c>
      <c r="P31" s="199" t="s">
        <v>36</v>
      </c>
    </row>
    <row r="32" spans="2:16" x14ac:dyDescent="0.3">
      <c r="B32" s="16" t="s">
        <v>237</v>
      </c>
      <c r="E32" s="5">
        <v>35</v>
      </c>
      <c r="F32" s="5">
        <v>35</v>
      </c>
      <c r="G32" s="5">
        <v>55</v>
      </c>
      <c r="H32" s="5">
        <v>60</v>
      </c>
      <c r="I32" s="5">
        <v>60</v>
      </c>
      <c r="J32" s="5">
        <v>60</v>
      </c>
      <c r="K32" s="5">
        <v>60</v>
      </c>
      <c r="L32" s="5">
        <v>60</v>
      </c>
      <c r="M32" s="5">
        <v>40</v>
      </c>
      <c r="N32" s="5">
        <v>60</v>
      </c>
      <c r="O32" s="5">
        <v>60</v>
      </c>
      <c r="P32" s="5">
        <v>60</v>
      </c>
    </row>
    <row r="33" spans="2:64" x14ac:dyDescent="0.3">
      <c r="B33" s="16" t="s">
        <v>238</v>
      </c>
      <c r="E33" s="5">
        <v>20</v>
      </c>
      <c r="F33" s="5">
        <v>20</v>
      </c>
      <c r="G33" s="5">
        <v>20</v>
      </c>
      <c r="H33" s="5">
        <v>30</v>
      </c>
      <c r="I33" s="5">
        <v>30</v>
      </c>
      <c r="J33" s="5">
        <v>30</v>
      </c>
      <c r="K33" s="5">
        <v>30</v>
      </c>
      <c r="L33" s="5">
        <v>30</v>
      </c>
      <c r="M33" s="5">
        <v>20</v>
      </c>
      <c r="N33" s="5">
        <v>30</v>
      </c>
      <c r="O33" s="5">
        <v>30</v>
      </c>
      <c r="P33" s="5">
        <v>30</v>
      </c>
    </row>
    <row r="35" spans="2:64" x14ac:dyDescent="0.3">
      <c r="B35" s="145"/>
      <c r="C35" s="172" t="s">
        <v>64</v>
      </c>
      <c r="D35" s="172"/>
      <c r="E35" s="199" t="s">
        <v>25</v>
      </c>
      <c r="F35" s="199" t="s">
        <v>26</v>
      </c>
      <c r="G35" s="199" t="s">
        <v>27</v>
      </c>
      <c r="H35" s="199" t="s">
        <v>28</v>
      </c>
      <c r="I35" s="199" t="s">
        <v>29</v>
      </c>
      <c r="J35" s="199" t="s">
        <v>30</v>
      </c>
      <c r="K35" s="199" t="s">
        <v>31</v>
      </c>
      <c r="L35" s="199" t="s">
        <v>32</v>
      </c>
      <c r="M35" s="199" t="s">
        <v>33</v>
      </c>
      <c r="N35" s="199" t="s">
        <v>34</v>
      </c>
      <c r="O35" s="199" t="s">
        <v>35</v>
      </c>
      <c r="P35" s="199" t="s">
        <v>36</v>
      </c>
    </row>
    <row r="36" spans="2:64" x14ac:dyDescent="0.3">
      <c r="B36" s="16" t="s">
        <v>237</v>
      </c>
      <c r="E36" s="6">
        <f>E32/E28</f>
        <v>0.58333333333333337</v>
      </c>
      <c r="F36" s="6">
        <f t="shared" ref="F36:P36" si="3">F32/F28</f>
        <v>0.58333333333333337</v>
      </c>
      <c r="G36" s="6">
        <f t="shared" si="3"/>
        <v>0.91666666666666663</v>
      </c>
      <c r="H36" s="6">
        <f t="shared" si="3"/>
        <v>1</v>
      </c>
      <c r="I36" s="6">
        <f t="shared" si="3"/>
        <v>1</v>
      </c>
      <c r="J36" s="6">
        <f t="shared" si="3"/>
        <v>1</v>
      </c>
      <c r="K36" s="6">
        <f t="shared" si="3"/>
        <v>1</v>
      </c>
      <c r="L36" s="6">
        <f t="shared" si="3"/>
        <v>1</v>
      </c>
      <c r="M36" s="6">
        <f t="shared" si="3"/>
        <v>0.66666666666666663</v>
      </c>
      <c r="N36" s="6">
        <f t="shared" si="3"/>
        <v>1</v>
      </c>
      <c r="O36" s="6">
        <f t="shared" si="3"/>
        <v>1</v>
      </c>
      <c r="P36" s="6">
        <f t="shared" si="3"/>
        <v>1</v>
      </c>
    </row>
    <row r="37" spans="2:64" x14ac:dyDescent="0.3">
      <c r="B37" s="16" t="s">
        <v>238</v>
      </c>
      <c r="E37" s="6">
        <f>E33/E29</f>
        <v>0.66666666666666663</v>
      </c>
      <c r="F37" s="6">
        <f t="shared" ref="F37:P37" si="4">F33/F29</f>
        <v>0.66666666666666663</v>
      </c>
      <c r="G37" s="6">
        <f t="shared" si="4"/>
        <v>0.66666666666666663</v>
      </c>
      <c r="H37" s="6">
        <f t="shared" si="4"/>
        <v>1</v>
      </c>
      <c r="I37" s="6">
        <f t="shared" si="4"/>
        <v>1</v>
      </c>
      <c r="J37" s="6">
        <f t="shared" si="4"/>
        <v>1</v>
      </c>
      <c r="K37" s="6">
        <f t="shared" si="4"/>
        <v>1</v>
      </c>
      <c r="L37" s="6">
        <f t="shared" si="4"/>
        <v>1</v>
      </c>
      <c r="M37" s="6">
        <f t="shared" si="4"/>
        <v>0.66666666666666663</v>
      </c>
      <c r="N37" s="6">
        <f t="shared" si="4"/>
        <v>1</v>
      </c>
      <c r="O37" s="6">
        <f t="shared" si="4"/>
        <v>1</v>
      </c>
      <c r="P37" s="6">
        <f t="shared" si="4"/>
        <v>1</v>
      </c>
    </row>
    <row r="40" spans="2:64" x14ac:dyDescent="0.3">
      <c r="J40" s="340">
        <v>2023</v>
      </c>
      <c r="K40" s="340"/>
      <c r="V40" s="340">
        <v>2024</v>
      </c>
      <c r="W40" s="340"/>
      <c r="AH40" s="340">
        <v>2025</v>
      </c>
      <c r="AI40" s="340"/>
      <c r="AT40" s="340">
        <v>2026</v>
      </c>
      <c r="AU40" s="340"/>
      <c r="BF40" s="340">
        <v>2027</v>
      </c>
      <c r="BG40" s="340"/>
    </row>
    <row r="41" spans="2:64" x14ac:dyDescent="0.3">
      <c r="E41" t="str">
        <f t="shared" ref="E41:P41" si="5">E27</f>
        <v>Jan</v>
      </c>
      <c r="F41" t="str">
        <f t="shared" si="5"/>
        <v>Feb</v>
      </c>
      <c r="G41" t="str">
        <f t="shared" si="5"/>
        <v>Mar</v>
      </c>
      <c r="H41" t="str">
        <f t="shared" si="5"/>
        <v>Apr</v>
      </c>
      <c r="I41" t="str">
        <f t="shared" si="5"/>
        <v>May</v>
      </c>
      <c r="J41" t="str">
        <f t="shared" si="5"/>
        <v>Jun</v>
      </c>
      <c r="K41" t="str">
        <f t="shared" si="5"/>
        <v>Jul</v>
      </c>
      <c r="L41" t="str">
        <f t="shared" si="5"/>
        <v>Aug</v>
      </c>
      <c r="M41" t="str">
        <f t="shared" si="5"/>
        <v>Sep</v>
      </c>
      <c r="N41" t="str">
        <f t="shared" si="5"/>
        <v>Oct</v>
      </c>
      <c r="O41" t="str">
        <f t="shared" si="5"/>
        <v>Nov</v>
      </c>
      <c r="P41" t="str">
        <f t="shared" si="5"/>
        <v>Dec</v>
      </c>
      <c r="Q41" t="s">
        <v>25</v>
      </c>
      <c r="R41" t="s">
        <v>26</v>
      </c>
      <c r="S41" t="s">
        <v>27</v>
      </c>
      <c r="T41" t="s">
        <v>28</v>
      </c>
      <c r="U41" t="s">
        <v>29</v>
      </c>
      <c r="V41" t="s">
        <v>30</v>
      </c>
      <c r="W41" t="s">
        <v>31</v>
      </c>
      <c r="X41" t="s">
        <v>32</v>
      </c>
      <c r="Y41" t="s">
        <v>33</v>
      </c>
      <c r="Z41" t="s">
        <v>34</v>
      </c>
      <c r="AA41" t="s">
        <v>35</v>
      </c>
      <c r="AB41" t="s">
        <v>36</v>
      </c>
      <c r="AC41" t="s">
        <v>25</v>
      </c>
      <c r="AD41" t="s">
        <v>26</v>
      </c>
      <c r="AE41" t="s">
        <v>27</v>
      </c>
      <c r="AF41" t="s">
        <v>28</v>
      </c>
      <c r="AG41" t="s">
        <v>29</v>
      </c>
      <c r="AH41" t="s">
        <v>30</v>
      </c>
      <c r="AI41" t="s">
        <v>31</v>
      </c>
      <c r="AJ41" t="s">
        <v>32</v>
      </c>
      <c r="AK41" t="s">
        <v>33</v>
      </c>
      <c r="AL41" t="s">
        <v>34</v>
      </c>
      <c r="AM41" t="s">
        <v>35</v>
      </c>
      <c r="AN41" t="s">
        <v>36</v>
      </c>
      <c r="AO41" t="s">
        <v>25</v>
      </c>
      <c r="AP41" t="s">
        <v>26</v>
      </c>
      <c r="AQ41" t="s">
        <v>27</v>
      </c>
      <c r="AR41" t="s">
        <v>28</v>
      </c>
      <c r="AS41" t="s">
        <v>29</v>
      </c>
      <c r="AT41" t="s">
        <v>30</v>
      </c>
      <c r="AU41" t="s">
        <v>31</v>
      </c>
      <c r="AV41" t="s">
        <v>32</v>
      </c>
      <c r="AW41" t="s">
        <v>33</v>
      </c>
      <c r="AX41" t="s">
        <v>34</v>
      </c>
      <c r="AY41" t="s">
        <v>35</v>
      </c>
      <c r="AZ41" t="s">
        <v>36</v>
      </c>
      <c r="BA41" t="s">
        <v>25</v>
      </c>
      <c r="BB41" t="s">
        <v>26</v>
      </c>
      <c r="BC41" t="s">
        <v>27</v>
      </c>
      <c r="BD41" t="s">
        <v>28</v>
      </c>
      <c r="BE41" t="s">
        <v>29</v>
      </c>
      <c r="BF41" t="s">
        <v>30</v>
      </c>
      <c r="BG41" t="s">
        <v>31</v>
      </c>
      <c r="BH41" t="s">
        <v>32</v>
      </c>
      <c r="BI41" t="s">
        <v>33</v>
      </c>
      <c r="BJ41" t="s">
        <v>34</v>
      </c>
      <c r="BK41" t="s">
        <v>35</v>
      </c>
      <c r="BL41" t="s">
        <v>36</v>
      </c>
    </row>
    <row r="42" spans="2:64" x14ac:dyDescent="0.3">
      <c r="D42" t="s">
        <v>2</v>
      </c>
      <c r="E42" s="1">
        <f>'IS 2023'!F13</f>
        <v>280000</v>
      </c>
      <c r="F42" s="1">
        <f>'IS 2023'!G13</f>
        <v>270555</v>
      </c>
      <c r="G42" s="1">
        <f>'IS 2023'!H13</f>
        <v>286778</v>
      </c>
      <c r="H42" s="1">
        <f>'IS 2023'!I13</f>
        <v>295112</v>
      </c>
      <c r="I42" s="1">
        <f>'IS 2023'!J13</f>
        <v>320445</v>
      </c>
      <c r="J42" s="1">
        <f>'IS 2023'!K13</f>
        <v>349015</v>
      </c>
      <c r="K42" s="1">
        <f>'IS 2023'!L13</f>
        <v>357998</v>
      </c>
      <c r="L42" s="1">
        <f>'IS 2023'!M13</f>
        <v>360821</v>
      </c>
      <c r="M42" s="1">
        <f>'IS 2023'!N13</f>
        <v>350123</v>
      </c>
      <c r="N42" s="1">
        <f>'IS 2023'!O13</f>
        <v>330015</v>
      </c>
      <c r="O42" s="1">
        <f>'IS 2023'!P13</f>
        <v>313011</v>
      </c>
      <c r="P42" s="1">
        <f>'IS 2023'!Q13</f>
        <v>300123</v>
      </c>
      <c r="Q42" s="1">
        <f>'IS 2024'!F13</f>
        <v>338078.59200000006</v>
      </c>
      <c r="R42" s="1">
        <f>'IS 2024'!G13</f>
        <v>342857.08799999993</v>
      </c>
      <c r="S42" s="1">
        <f>'IS 2024'!H13</f>
        <v>347635.58399999997</v>
      </c>
      <c r="T42" s="1">
        <f>'IS 2024'!I13</f>
        <v>352414.07999999996</v>
      </c>
      <c r="U42" s="1">
        <f>'IS 2024'!J13</f>
        <v>350024.83200000005</v>
      </c>
      <c r="V42" s="1">
        <f>'IS 2024'!K13</f>
        <v>353011.39199999993</v>
      </c>
      <c r="W42" s="1">
        <f>'IS 2024'!L13</f>
        <v>363165.69600000005</v>
      </c>
      <c r="X42" s="1">
        <f>'IS 2024'!M13</f>
        <v>358984.51199999993</v>
      </c>
      <c r="Y42" s="1">
        <f>'IS 2024'!N13</f>
        <v>372722.68800000002</v>
      </c>
      <c r="Z42" s="1">
        <f>'IS 2024'!O13</f>
        <v>374215.96799999999</v>
      </c>
      <c r="AA42" s="1">
        <f>'IS 2024'!P13</f>
        <v>364957.63199999998</v>
      </c>
      <c r="AB42" s="1">
        <f>'IS 2024'!Q13</f>
        <v>366450.91200000001</v>
      </c>
      <c r="AC42" s="1">
        <f>'IS 2025'!F13</f>
        <v>373290</v>
      </c>
      <c r="AD42" s="1">
        <f>'IS 2025'!G13</f>
        <v>377775</v>
      </c>
      <c r="AE42" s="1">
        <f>'IS 2025'!H13</f>
        <v>353280</v>
      </c>
      <c r="AF42" s="1">
        <f>'IS 2025'!I13</f>
        <v>695175</v>
      </c>
      <c r="AG42" s="1">
        <f>'IS 2025'!J13</f>
        <v>359835</v>
      </c>
      <c r="AH42" s="1">
        <f>'IS 2025'!K13</f>
        <v>362250</v>
      </c>
      <c r="AI42" s="1">
        <f>'IS 2025'!L13</f>
        <v>372945</v>
      </c>
      <c r="AJ42" s="1">
        <f>'IS 2025'!M13</f>
        <v>367770</v>
      </c>
      <c r="AK42" s="1">
        <f>'IS 2025'!N13</f>
        <v>381570</v>
      </c>
      <c r="AL42" s="1">
        <f>'IS 2025'!O13</f>
        <v>383295</v>
      </c>
      <c r="AM42" s="1">
        <f>'IS 2025'!P13</f>
        <v>394680</v>
      </c>
      <c r="AN42" s="1">
        <f>'IS 2025'!Q13</f>
        <v>425730</v>
      </c>
      <c r="AO42" s="1">
        <f>'IS 2026'!F13</f>
        <v>519820</v>
      </c>
      <c r="AP42" s="1">
        <f>'IS 2026'!G13</f>
        <v>532510</v>
      </c>
      <c r="AQ42" s="1">
        <f>'IS 2026'!H13</f>
        <v>536270</v>
      </c>
      <c r="AR42" s="1">
        <f>'IS 2026'!I13</f>
        <v>540030</v>
      </c>
      <c r="AS42" s="1">
        <f>'IS 2026'!J13</f>
        <v>543320</v>
      </c>
      <c r="AT42" s="1">
        <f>'IS 2026'!K13</f>
        <v>547080</v>
      </c>
      <c r="AU42" s="1">
        <f>'IS 2026'!L13</f>
        <v>550840</v>
      </c>
      <c r="AV42" s="1">
        <f>'IS 2026'!M13</f>
        <v>565410</v>
      </c>
      <c r="AW42" s="1">
        <f>'IS 2026'!N13</f>
        <v>569170</v>
      </c>
      <c r="AX42" s="1">
        <f>'IS 2026'!O13</f>
        <v>572460</v>
      </c>
      <c r="AY42" s="1">
        <f>'IS 2026'!P13</f>
        <v>581860</v>
      </c>
      <c r="AZ42" s="1">
        <f>'IS 2026'!Q13</f>
        <v>585620</v>
      </c>
      <c r="BA42" s="1">
        <f>'IS 2027'!F13</f>
        <v>588910</v>
      </c>
      <c r="BB42" s="1">
        <f>'IS 2027'!G13</f>
        <v>592670</v>
      </c>
      <c r="BC42" s="1">
        <f>'IS 2027'!H13</f>
        <v>607240</v>
      </c>
      <c r="BD42" s="1">
        <f>'IS 2027'!I13</f>
        <v>611000</v>
      </c>
      <c r="BE42" s="1">
        <f>'IS 2027'!J13</f>
        <v>614760</v>
      </c>
      <c r="BF42" s="1">
        <f>'IS 2027'!K13</f>
        <v>618050</v>
      </c>
      <c r="BG42" s="1">
        <f>'IS 2027'!L13</f>
        <v>627450</v>
      </c>
      <c r="BH42" s="1">
        <f>'IS 2027'!M13</f>
        <v>631210</v>
      </c>
      <c r="BI42" s="1">
        <f>'IS 2027'!N13</f>
        <v>645310</v>
      </c>
      <c r="BJ42" s="1">
        <f>'IS 2027'!O13</f>
        <v>649070</v>
      </c>
      <c r="BK42" s="1">
        <f>'IS 2027'!P13</f>
        <v>652830</v>
      </c>
      <c r="BL42" s="1">
        <f>'IS 2027'!Q13</f>
        <v>656590</v>
      </c>
    </row>
    <row r="43" spans="2:64" x14ac:dyDescent="0.3">
      <c r="D43" t="s">
        <v>116</v>
      </c>
      <c r="E43" s="1">
        <f>'IS 2023'!F14</f>
        <v>-10390</v>
      </c>
      <c r="F43" s="1">
        <f>'IS 2023'!G14</f>
        <v>-10390</v>
      </c>
      <c r="G43" s="1">
        <f>'IS 2023'!H14</f>
        <v>-10390</v>
      </c>
      <c r="H43" s="1">
        <f>'IS 2023'!I14</f>
        <v>-10390</v>
      </c>
      <c r="I43" s="1">
        <f>'IS 2023'!J14</f>
        <v>-10390</v>
      </c>
      <c r="J43" s="1">
        <f>'IS 2023'!K14</f>
        <v>-10390</v>
      </c>
      <c r="K43" s="1">
        <f>'IS 2023'!L14</f>
        <v>-10390</v>
      </c>
      <c r="L43" s="1">
        <f>'IS 2023'!M14</f>
        <v>-10390</v>
      </c>
      <c r="M43" s="1">
        <f>'IS 2023'!N14</f>
        <v>-10390</v>
      </c>
      <c r="N43" s="1">
        <f>'IS 2023'!O14</f>
        <v>-10390</v>
      </c>
      <c r="O43" s="1">
        <f>'IS 2023'!P14</f>
        <v>-10390</v>
      </c>
      <c r="P43" s="1">
        <f>'IS 2023'!Q14</f>
        <v>-10390</v>
      </c>
      <c r="Q43" s="1">
        <f>'IS 2024'!F14</f>
        <v>-10390</v>
      </c>
      <c r="R43" s="1">
        <f>'IS 2024'!G14</f>
        <v>-10390</v>
      </c>
      <c r="S43" s="1">
        <f>'IS 2024'!H14</f>
        <v>-10390</v>
      </c>
      <c r="T43" s="1">
        <f>'IS 2024'!I14</f>
        <v>-10390</v>
      </c>
      <c r="U43" s="1">
        <f>'IS 2024'!J14</f>
        <v>-10390</v>
      </c>
      <c r="V43" s="1">
        <f>'IS 2024'!K14</f>
        <v>-10390</v>
      </c>
      <c r="W43" s="1">
        <f>'IS 2024'!L14</f>
        <v>-10390</v>
      </c>
      <c r="X43" s="1">
        <f>'IS 2024'!M14</f>
        <v>-10390</v>
      </c>
      <c r="Y43" s="1">
        <f>'IS 2024'!N14</f>
        <v>-10390</v>
      </c>
      <c r="Z43" s="1">
        <f>'IS 2024'!O14</f>
        <v>-10390</v>
      </c>
      <c r="AA43" s="1">
        <f>'IS 2024'!P14</f>
        <v>-10390</v>
      </c>
      <c r="AB43" s="1">
        <f>'IS 2024'!Q14</f>
        <v>-10390</v>
      </c>
      <c r="AC43" s="1">
        <f>'IS 2025'!F14</f>
        <v>8610</v>
      </c>
      <c r="AD43" s="1">
        <f>'IS 2025'!G14</f>
        <v>8610</v>
      </c>
      <c r="AE43" s="1">
        <f>'IS 2025'!H14</f>
        <v>8610</v>
      </c>
      <c r="AF43" s="1">
        <f>'IS 2025'!I14</f>
        <v>8610</v>
      </c>
      <c r="AG43" s="1">
        <f>'IS 2025'!J14</f>
        <v>8610</v>
      </c>
      <c r="AH43" s="1">
        <f>'IS 2025'!K14</f>
        <v>8610</v>
      </c>
      <c r="AI43" s="1">
        <f>'IS 2025'!L14</f>
        <v>8610</v>
      </c>
      <c r="AJ43" s="1">
        <f>'IS 2025'!M14</f>
        <v>8610</v>
      </c>
      <c r="AK43" s="1">
        <f>'IS 2025'!N14</f>
        <v>8610</v>
      </c>
      <c r="AL43" s="1">
        <f>'IS 2025'!O14</f>
        <v>8610</v>
      </c>
      <c r="AM43" s="1">
        <f>'IS 2025'!P14</f>
        <v>8610</v>
      </c>
      <c r="AN43" s="1">
        <f>'IS 2025'!Q14</f>
        <v>8610</v>
      </c>
      <c r="AO43" s="1">
        <f>'IS 2026'!F14</f>
        <v>-32544</v>
      </c>
      <c r="AP43" s="1">
        <f>'IS 2026'!G14</f>
        <v>-32544</v>
      </c>
      <c r="AQ43" s="1">
        <f>'IS 2026'!H14</f>
        <v>-32544</v>
      </c>
      <c r="AR43" s="1">
        <f>'IS 2026'!I14</f>
        <v>-32544</v>
      </c>
      <c r="AS43" s="1">
        <f>'IS 2026'!J14</f>
        <v>-32544</v>
      </c>
      <c r="AT43" s="1">
        <f>'IS 2026'!K14</f>
        <v>-32544</v>
      </c>
      <c r="AU43" s="1">
        <f>'IS 2026'!L14</f>
        <v>-32544</v>
      </c>
      <c r="AV43" s="1">
        <f>'IS 2026'!M14</f>
        <v>-32544</v>
      </c>
      <c r="AW43" s="1">
        <f>'IS 2026'!N14</f>
        <v>-32544</v>
      </c>
      <c r="AX43" s="1">
        <f>'IS 2026'!O14</f>
        <v>-32544</v>
      </c>
      <c r="AY43" s="1">
        <f>'IS 2026'!P14</f>
        <v>-32544</v>
      </c>
      <c r="AZ43" s="1">
        <f>'IS 2026'!Q14</f>
        <v>-32544</v>
      </c>
      <c r="BA43" s="1">
        <f>'IS 2027'!F14</f>
        <v>-32544</v>
      </c>
      <c r="BB43" s="1">
        <f>'IS 2027'!G14</f>
        <v>-32544</v>
      </c>
      <c r="BC43" s="1">
        <f>'IS 2027'!H14</f>
        <v>-38444</v>
      </c>
      <c r="BD43" s="1">
        <f>'IS 2027'!I14</f>
        <v>-38444</v>
      </c>
      <c r="BE43" s="1">
        <f>'IS 2027'!J14</f>
        <v>-38444</v>
      </c>
      <c r="BF43" s="1">
        <f>'IS 2027'!K14</f>
        <v>-38444</v>
      </c>
      <c r="BG43" s="1">
        <f>'IS 2027'!L14</f>
        <v>-38444</v>
      </c>
      <c r="BH43" s="1">
        <f>'IS 2027'!M14</f>
        <v>-38444</v>
      </c>
      <c r="BI43" s="1">
        <f>'IS 2027'!N14</f>
        <v>-38444</v>
      </c>
      <c r="BJ43" s="1">
        <f>'IS 2027'!O14</f>
        <v>-38444</v>
      </c>
      <c r="BK43" s="1">
        <f>'IS 2027'!P14</f>
        <v>-38444</v>
      </c>
      <c r="BL43" s="1">
        <f>'IS 2027'!Q14</f>
        <v>-38444</v>
      </c>
    </row>
    <row r="44" spans="2:64" x14ac:dyDescent="0.3">
      <c r="D44" t="s">
        <v>124</v>
      </c>
      <c r="E44" s="1">
        <f>'IS 2023'!F34</f>
        <v>-2285</v>
      </c>
      <c r="F44" s="1">
        <f>'IS 2023'!G34</f>
        <v>-2285</v>
      </c>
      <c r="G44" s="1">
        <f>'IS 2023'!H34</f>
        <v>-2285</v>
      </c>
      <c r="H44" s="1">
        <f>'IS 2023'!I34</f>
        <v>-2285</v>
      </c>
      <c r="I44" s="1">
        <f>'IS 2023'!J34</f>
        <v>-2285</v>
      </c>
      <c r="J44" s="1">
        <f>'IS 2023'!K34</f>
        <v>-2285</v>
      </c>
      <c r="K44" s="1">
        <f>'IS 2023'!L34</f>
        <v>-2285</v>
      </c>
      <c r="L44" s="1">
        <f>'IS 2023'!M34</f>
        <v>-2285</v>
      </c>
      <c r="M44" s="1">
        <f>'IS 2023'!N34</f>
        <v>-2285</v>
      </c>
      <c r="N44" s="1">
        <f>'IS 2023'!O34</f>
        <v>-2285</v>
      </c>
      <c r="O44" s="1">
        <f>'IS 2023'!P34</f>
        <v>-2285</v>
      </c>
      <c r="P44" s="1">
        <f>'IS 2023'!Q34</f>
        <v>-2285</v>
      </c>
      <c r="Q44" s="1">
        <f>'IS 2024'!F35</f>
        <v>-2285</v>
      </c>
      <c r="R44" s="1">
        <f>'IS 2024'!G35</f>
        <v>-2285</v>
      </c>
      <c r="S44" s="1">
        <f>'IS 2024'!H35</f>
        <v>-2285</v>
      </c>
      <c r="T44" s="1">
        <f>'IS 2024'!I35</f>
        <v>-2285</v>
      </c>
      <c r="U44" s="1">
        <f>'IS 2024'!J35</f>
        <v>-2285</v>
      </c>
      <c r="V44" s="1">
        <f>'IS 2024'!K35</f>
        <v>-2285</v>
      </c>
      <c r="W44" s="1">
        <f>'IS 2024'!L35</f>
        <v>-2285</v>
      </c>
      <c r="X44" s="1">
        <f>'IS 2024'!M35</f>
        <v>-2285</v>
      </c>
      <c r="Y44" s="1">
        <f>'IS 2024'!N35</f>
        <v>-2285</v>
      </c>
      <c r="Z44" s="1">
        <f>'IS 2024'!O35</f>
        <v>-2285</v>
      </c>
      <c r="AA44" s="1">
        <f>'IS 2024'!P35</f>
        <v>-2285</v>
      </c>
      <c r="AB44" s="1">
        <f>'IS 2024'!Q35</f>
        <v>-2285</v>
      </c>
      <c r="AC44" s="1">
        <f>'IS 2025'!F34</f>
        <v>-2285</v>
      </c>
      <c r="AD44" s="1">
        <f>'IS 2025'!G34</f>
        <v>-2285</v>
      </c>
      <c r="AE44" s="1">
        <f>'IS 2025'!H34</f>
        <v>-2285</v>
      </c>
      <c r="AF44" s="1">
        <f>'IS 2025'!I34</f>
        <v>-2285</v>
      </c>
      <c r="AG44" s="1">
        <f>'IS 2025'!J34</f>
        <v>-2285</v>
      </c>
      <c r="AH44" s="1">
        <f>'IS 2025'!K34</f>
        <v>-2285</v>
      </c>
      <c r="AI44" s="1">
        <f>'IS 2025'!L34</f>
        <v>-2285</v>
      </c>
      <c r="AJ44" s="1">
        <f>'IS 2025'!M34</f>
        <v>-2285</v>
      </c>
      <c r="AK44" s="1">
        <f>'IS 2025'!N34</f>
        <v>-2285</v>
      </c>
      <c r="AL44" s="1">
        <f>'IS 2025'!O34</f>
        <v>-2285</v>
      </c>
      <c r="AM44" s="1">
        <f>'IS 2025'!P34</f>
        <v>-2285</v>
      </c>
      <c r="AN44" s="1">
        <f>'IS 2025'!Q34</f>
        <v>-2285</v>
      </c>
      <c r="AO44" s="1">
        <f>'IS 2026'!F33</f>
        <v>-28713</v>
      </c>
      <c r="AP44" s="1">
        <f>'IS 2026'!G33</f>
        <v>-28713</v>
      </c>
      <c r="AQ44" s="1">
        <f>'IS 2026'!H33</f>
        <v>-28713</v>
      </c>
      <c r="AR44" s="1">
        <f>'IS 2026'!I33</f>
        <v>-28713</v>
      </c>
      <c r="AS44" s="1">
        <f>'IS 2026'!J33</f>
        <v>-28713</v>
      </c>
      <c r="AT44" s="1">
        <f>'IS 2026'!K33</f>
        <v>-28713</v>
      </c>
      <c r="AU44" s="1">
        <f>'IS 2026'!L33</f>
        <v>-28713</v>
      </c>
      <c r="AV44" s="1">
        <f>'IS 2026'!M33</f>
        <v>-28713</v>
      </c>
      <c r="AW44" s="1">
        <f>'IS 2026'!N33</f>
        <v>-28713</v>
      </c>
      <c r="AX44" s="1">
        <f>'IS 2026'!O33</f>
        <v>-28713</v>
      </c>
      <c r="AY44" s="1">
        <f>'IS 2026'!P33</f>
        <v>-28713</v>
      </c>
      <c r="AZ44" s="1">
        <f>'IS 2026'!Q33</f>
        <v>-17479</v>
      </c>
      <c r="BA44" s="1">
        <f>'IS 2027'!F33</f>
        <v>-28713</v>
      </c>
      <c r="BB44" s="1">
        <f>'IS 2027'!G33</f>
        <v>-28713</v>
      </c>
      <c r="BC44" s="1">
        <f>'IS 2027'!H33</f>
        <v>-28713</v>
      </c>
      <c r="BD44" s="1">
        <f>'IS 2027'!I33</f>
        <v>-28713</v>
      </c>
      <c r="BE44" s="1">
        <f>'IS 2027'!J33</f>
        <v>-28713</v>
      </c>
      <c r="BF44" s="1">
        <f>'IS 2027'!K33</f>
        <v>-28713</v>
      </c>
      <c r="BG44" s="1">
        <f>'IS 2027'!L33</f>
        <v>-28713</v>
      </c>
      <c r="BH44" s="1">
        <f>'IS 2027'!M33</f>
        <v>-28713</v>
      </c>
      <c r="BI44" s="1">
        <f>'IS 2027'!N33</f>
        <v>-28713</v>
      </c>
      <c r="BJ44" s="1">
        <f>'IS 2027'!O33</f>
        <v>-28713</v>
      </c>
      <c r="BK44" s="1">
        <f>'IS 2027'!P33</f>
        <v>-28713</v>
      </c>
      <c r="BL44" s="1">
        <f>'IS 2027'!Q33</f>
        <v>-17479</v>
      </c>
    </row>
    <row r="45" spans="2:64" x14ac:dyDescent="0.3">
      <c r="D45" t="s">
        <v>125</v>
      </c>
      <c r="E45" s="1">
        <f>'IS 2023'!F35</f>
        <v>-4063</v>
      </c>
      <c r="F45" s="1">
        <f>'IS 2023'!G35</f>
        <v>-4063</v>
      </c>
      <c r="G45" s="1">
        <f>'IS 2023'!H35</f>
        <v>-4063</v>
      </c>
      <c r="H45" s="1">
        <f>'IS 2023'!I35</f>
        <v>-4063</v>
      </c>
      <c r="I45" s="1">
        <f>'IS 2023'!J35</f>
        <v>-4063</v>
      </c>
      <c r="J45" s="1">
        <f>'IS 2023'!K35</f>
        <v>-4063</v>
      </c>
      <c r="K45" s="1">
        <f>'IS 2023'!L35</f>
        <v>-4063</v>
      </c>
      <c r="L45" s="1">
        <f>'IS 2023'!M35</f>
        <v>-4063</v>
      </c>
      <c r="M45" s="1">
        <f>'IS 2023'!N35</f>
        <v>-4063</v>
      </c>
      <c r="N45" s="1">
        <f>'IS 2023'!O35</f>
        <v>-4063</v>
      </c>
      <c r="O45" s="1">
        <f>'IS 2023'!P35</f>
        <v>-4063</v>
      </c>
      <c r="P45" s="1">
        <f>'IS 2023'!Q35</f>
        <v>-4063</v>
      </c>
      <c r="Q45" s="1">
        <f>'IS 2024'!F36</f>
        <v>-4063</v>
      </c>
      <c r="R45" s="1">
        <f>'IS 2024'!G36</f>
        <v>-4063</v>
      </c>
      <c r="S45" s="1">
        <f>'IS 2024'!H36</f>
        <v>-4063</v>
      </c>
      <c r="T45" s="1">
        <f>'IS 2024'!I36</f>
        <v>-4063</v>
      </c>
      <c r="U45" s="1">
        <f>'IS 2024'!J36</f>
        <v>-4063</v>
      </c>
      <c r="V45" s="1">
        <f>'IS 2024'!K36</f>
        <v>-4063</v>
      </c>
      <c r="W45" s="1">
        <f>'IS 2024'!L36</f>
        <v>-4063</v>
      </c>
      <c r="X45" s="1">
        <f>'IS 2024'!M36</f>
        <v>-4063</v>
      </c>
      <c r="Y45" s="1">
        <f>'IS 2024'!N36</f>
        <v>-4063</v>
      </c>
      <c r="Z45" s="1">
        <f>'IS 2024'!O36</f>
        <v>-4063</v>
      </c>
      <c r="AA45" s="1">
        <f>'IS 2024'!P36</f>
        <v>-4063</v>
      </c>
      <c r="AB45" s="1">
        <f>'IS 2024'!Q36</f>
        <v>-4063</v>
      </c>
      <c r="AC45" s="1">
        <f>'IS 2025'!F35</f>
        <v>-45063</v>
      </c>
      <c r="AD45" s="1">
        <f>'IS 2025'!G35</f>
        <v>-45063</v>
      </c>
      <c r="AE45" s="1">
        <f>'IS 2025'!H35</f>
        <v>-45063</v>
      </c>
      <c r="AF45" s="1">
        <f>'IS 2025'!I35</f>
        <v>-45063</v>
      </c>
      <c r="AG45" s="1">
        <f>'IS 2025'!J35</f>
        <v>-45063</v>
      </c>
      <c r="AH45" s="1">
        <f>'IS 2025'!K35</f>
        <v>-45063</v>
      </c>
      <c r="AI45" s="1">
        <f>'IS 2025'!L35</f>
        <v>-45063</v>
      </c>
      <c r="AJ45" s="1">
        <f>'IS 2025'!M35</f>
        <v>-45063</v>
      </c>
      <c r="AK45" s="1">
        <f>'IS 2025'!N35</f>
        <v>-45063</v>
      </c>
      <c r="AL45" s="1">
        <f>'IS 2025'!O35</f>
        <v>-45063</v>
      </c>
      <c r="AM45" s="1">
        <f>'IS 2025'!P35</f>
        <v>-45063</v>
      </c>
      <c r="AN45" s="1">
        <f>'IS 2025'!Q35</f>
        <v>-45063</v>
      </c>
      <c r="AO45" s="1">
        <f>'IS 2026'!F34</f>
        <v>-45063</v>
      </c>
      <c r="AP45" s="1">
        <f>'IS 2026'!G34</f>
        <v>-45063</v>
      </c>
      <c r="AQ45" s="1">
        <f>'IS 2026'!H34</f>
        <v>-45063</v>
      </c>
      <c r="AR45" s="1">
        <f>'IS 2026'!I34</f>
        <v>-45063</v>
      </c>
      <c r="AS45" s="1">
        <f>'IS 2026'!J34</f>
        <v>-45063</v>
      </c>
      <c r="AT45" s="1">
        <f>'IS 2026'!K34</f>
        <v>-45063</v>
      </c>
      <c r="AU45" s="1">
        <f>'IS 2026'!L34</f>
        <v>-45063</v>
      </c>
      <c r="AV45" s="1">
        <f>'IS 2026'!M34</f>
        <v>-45063</v>
      </c>
      <c r="AW45" s="1">
        <f>'IS 2026'!N34</f>
        <v>-45063</v>
      </c>
      <c r="AX45" s="1">
        <f>'IS 2026'!O34</f>
        <v>-45063</v>
      </c>
      <c r="AY45" s="1">
        <f>'IS 2026'!P34</f>
        <v>-45063</v>
      </c>
      <c r="AZ45" s="1">
        <f>'IS 2026'!Q34</f>
        <v>-45063</v>
      </c>
      <c r="BA45" s="1">
        <f>'IS 2027'!F34</f>
        <v>-45063</v>
      </c>
      <c r="BB45" s="1">
        <f>'IS 2027'!G34</f>
        <v>-45063</v>
      </c>
      <c r="BC45" s="1">
        <f>'IS 2027'!H34</f>
        <v>-45063</v>
      </c>
      <c r="BD45" s="1">
        <f>'IS 2027'!I34</f>
        <v>-45063</v>
      </c>
      <c r="BE45" s="1">
        <f>'IS 2027'!J34</f>
        <v>-45063</v>
      </c>
      <c r="BF45" s="1">
        <f>'IS 2027'!K34</f>
        <v>-45063</v>
      </c>
      <c r="BG45" s="1">
        <f>'IS 2027'!L34</f>
        <v>-45063</v>
      </c>
      <c r="BH45" s="1">
        <f>'IS 2027'!M34</f>
        <v>-45063</v>
      </c>
      <c r="BI45" s="1">
        <f>'IS 2027'!N34</f>
        <v>-45063</v>
      </c>
      <c r="BJ45" s="1">
        <f>'IS 2027'!O34</f>
        <v>-45063</v>
      </c>
      <c r="BK45" s="1">
        <f>'IS 2027'!P34</f>
        <v>-45063</v>
      </c>
      <c r="BL45" s="1">
        <f>'IS 2027'!Q34</f>
        <v>-45063</v>
      </c>
    </row>
    <row r="46" spans="2:64" x14ac:dyDescent="0.3">
      <c r="D46" t="s">
        <v>6</v>
      </c>
      <c r="E46" s="1">
        <v>424833</v>
      </c>
      <c r="F46" s="1">
        <v>444259</v>
      </c>
      <c r="G46" s="1">
        <v>473068</v>
      </c>
      <c r="H46" s="1">
        <v>474558</v>
      </c>
      <c r="I46" s="1">
        <v>479798</v>
      </c>
      <c r="J46" s="1">
        <v>515933</v>
      </c>
      <c r="K46" s="1">
        <v>493708</v>
      </c>
      <c r="L46" s="1">
        <v>522253</v>
      </c>
      <c r="M46" s="1">
        <v>533023</v>
      </c>
      <c r="N46" s="1">
        <v>591933</v>
      </c>
      <c r="O46" s="1">
        <v>602488</v>
      </c>
      <c r="P46" s="1">
        <v>623332</v>
      </c>
      <c r="Q46" s="1">
        <v>724561.57200000016</v>
      </c>
      <c r="R46" s="1">
        <v>735619.30799999996</v>
      </c>
      <c r="S46" s="1">
        <v>743902.04399999999</v>
      </c>
      <c r="T46" s="1">
        <v>751919.78</v>
      </c>
      <c r="U46" s="1">
        <v>748538.41200000001</v>
      </c>
      <c r="V46" s="1">
        <v>753800.12199999986</v>
      </c>
      <c r="W46" s="1">
        <v>770955.9360000001</v>
      </c>
      <c r="X46" s="1">
        <v>766833.5419999999</v>
      </c>
      <c r="Y46" s="1">
        <v>790486.40800000005</v>
      </c>
      <c r="Z46" s="1">
        <v>793459.76300000004</v>
      </c>
      <c r="AA46" s="1">
        <v>777966.96200000006</v>
      </c>
      <c r="AB46" s="1">
        <v>794074.31700000004</v>
      </c>
      <c r="AC46" s="1">
        <f>'IS 2025'!F55</f>
        <v>371365</v>
      </c>
      <c r="AD46" s="1">
        <f>'IS 2025'!G55</f>
        <v>375850</v>
      </c>
      <c r="AE46" s="1">
        <f>'IS 2025'!H55</f>
        <v>351355</v>
      </c>
      <c r="AF46" s="1">
        <f>'IS 2025'!I55</f>
        <v>693250</v>
      </c>
      <c r="AG46" s="1">
        <f>'IS 2025'!J55</f>
        <v>357910</v>
      </c>
      <c r="AH46" s="1">
        <f>'IS 2025'!K55</f>
        <v>360325</v>
      </c>
      <c r="AI46" s="1">
        <f>'IS 2025'!L55</f>
        <v>371020</v>
      </c>
      <c r="AJ46" s="1">
        <f>'IS 2025'!M55</f>
        <v>365845</v>
      </c>
      <c r="AK46" s="1">
        <f>'IS 2025'!N55</f>
        <v>379645</v>
      </c>
      <c r="AL46" s="1">
        <f>'IS 2025'!O55</f>
        <v>381370</v>
      </c>
      <c r="AM46" s="1">
        <f>'IS 2025'!P55</f>
        <v>392755</v>
      </c>
      <c r="AN46" s="1">
        <f>'IS 2025'!Q55</f>
        <v>423805</v>
      </c>
      <c r="AO46" s="1">
        <f>'IS 2026'!F53</f>
        <v>450313</v>
      </c>
      <c r="AP46" s="1">
        <f>'IS 2026'!G53</f>
        <v>463003</v>
      </c>
      <c r="AQ46" s="1">
        <f>'IS 2026'!H53</f>
        <v>466763</v>
      </c>
      <c r="AR46" s="1">
        <f>'IS 2026'!I53</f>
        <v>470523</v>
      </c>
      <c r="AS46" s="1">
        <f>'IS 2026'!J53</f>
        <v>473813</v>
      </c>
      <c r="AT46" s="1">
        <f>'IS 2026'!K53</f>
        <v>477573</v>
      </c>
      <c r="AU46" s="1">
        <f>'IS 2026'!L53</f>
        <v>481333</v>
      </c>
      <c r="AV46" s="1">
        <f>'IS 2026'!M53</f>
        <v>495903</v>
      </c>
      <c r="AW46" s="1">
        <f>'IS 2026'!N53</f>
        <v>499663</v>
      </c>
      <c r="AX46" s="1">
        <f>'IS 2026'!O53</f>
        <v>502953</v>
      </c>
      <c r="AY46" s="1">
        <f>'IS 2026'!P53</f>
        <v>512353</v>
      </c>
      <c r="AZ46" s="1">
        <f>'IS 2026'!Q53</f>
        <v>527347</v>
      </c>
      <c r="BA46" s="1">
        <f>'IS 2027'!F53</f>
        <v>519403</v>
      </c>
      <c r="BB46" s="1">
        <f>'IS 2027'!G53</f>
        <v>523163</v>
      </c>
      <c r="BC46" s="1">
        <f>'IS 2027'!H53</f>
        <v>531833</v>
      </c>
      <c r="BD46" s="1">
        <f>'IS 2027'!I53</f>
        <v>535593</v>
      </c>
      <c r="BE46" s="1">
        <f>'IS 2027'!J53</f>
        <v>539353</v>
      </c>
      <c r="BF46" s="1">
        <f>'IS 2027'!K53</f>
        <v>542643</v>
      </c>
      <c r="BG46" s="1">
        <f>'IS 2027'!L53</f>
        <v>552043</v>
      </c>
      <c r="BH46" s="1">
        <f>'IS 2027'!M53</f>
        <v>555803</v>
      </c>
      <c r="BI46" s="1">
        <f>'IS 2027'!N53</f>
        <v>569903</v>
      </c>
      <c r="BJ46" s="1">
        <f>'IS 2027'!O53</f>
        <v>573663</v>
      </c>
      <c r="BK46" s="1">
        <f>'IS 2027'!P53</f>
        <v>577423</v>
      </c>
      <c r="BL46" s="1">
        <f>'IS 2027'!Q53</f>
        <v>592417</v>
      </c>
    </row>
    <row r="49" spans="4:64" x14ac:dyDescent="0.3">
      <c r="D49" t="s">
        <v>285</v>
      </c>
      <c r="E49" s="1">
        <f>'CF 2023'!G17</f>
        <v>280000</v>
      </c>
      <c r="F49" s="1">
        <f>'CF 2023'!H17</f>
        <v>270555</v>
      </c>
      <c r="G49" s="1">
        <f>'CF 2023'!I17</f>
        <v>286778</v>
      </c>
      <c r="H49" s="1">
        <f>'CF 2023'!J17</f>
        <v>295112</v>
      </c>
      <c r="I49" s="1">
        <f>'CF 2023'!K17</f>
        <v>320445</v>
      </c>
      <c r="J49" s="1">
        <f>'CF 2023'!L17</f>
        <v>349015</v>
      </c>
      <c r="K49" s="1">
        <f>'CF 2023'!M17</f>
        <v>357998</v>
      </c>
      <c r="L49" s="1">
        <f>'CF 2023'!N17</f>
        <v>360821</v>
      </c>
      <c r="M49" s="1">
        <f>'CF 2023'!O17</f>
        <v>350123</v>
      </c>
      <c r="N49" s="1">
        <f>'CF 2023'!P17</f>
        <v>330015</v>
      </c>
      <c r="O49" s="1">
        <f>'CF 2023'!Q17</f>
        <v>313011</v>
      </c>
      <c r="P49" s="1">
        <f>'CF 2023'!R17</f>
        <v>300123</v>
      </c>
      <c r="Q49" s="1">
        <f>'CF 2024'!G18</f>
        <v>338078.59200000006</v>
      </c>
      <c r="R49" s="1">
        <f>'CF 2024'!H18</f>
        <v>342857.08799999993</v>
      </c>
      <c r="S49" s="1">
        <f>'CF 2024'!I18</f>
        <v>347635.58399999997</v>
      </c>
      <c r="T49" s="1">
        <f>'CF 2024'!J18</f>
        <v>352414.07999999996</v>
      </c>
      <c r="U49" s="1">
        <f>'CF 2024'!K18</f>
        <v>350024.83200000005</v>
      </c>
      <c r="V49" s="1">
        <f>'CF 2024'!L18</f>
        <v>353011.39199999993</v>
      </c>
      <c r="W49" s="1">
        <f>'CF 2024'!M18</f>
        <v>363165.69600000005</v>
      </c>
      <c r="X49" s="1">
        <f>'CF 2024'!N18</f>
        <v>358984.51199999993</v>
      </c>
      <c r="Y49" s="1">
        <f>'CF 2024'!O18</f>
        <v>372722.68800000002</v>
      </c>
      <c r="Z49" s="1">
        <f>'CF 2024'!P18</f>
        <v>374215.96799999999</v>
      </c>
      <c r="AA49" s="1">
        <f>'CF 2024'!Q18</f>
        <v>364957.63199999998</v>
      </c>
      <c r="AB49" s="1">
        <f>'CF 2024'!R18</f>
        <v>366450.91200000001</v>
      </c>
      <c r="AC49" s="1">
        <f>'CF 2025'!G18</f>
        <v>373290</v>
      </c>
      <c r="AD49" s="1">
        <f>'CF 2025'!H18</f>
        <v>377775</v>
      </c>
      <c r="AE49" s="1">
        <f>'CF 2025'!I18</f>
        <v>353280</v>
      </c>
      <c r="AF49" s="1">
        <f>'CF 2025'!J18</f>
        <v>695175</v>
      </c>
      <c r="AG49" s="1">
        <f>'CF 2025'!K18</f>
        <v>359835</v>
      </c>
      <c r="AH49" s="1">
        <f>'CF 2025'!L18</f>
        <v>362250</v>
      </c>
      <c r="AI49" s="1">
        <f>'CF 2025'!M18</f>
        <v>372945</v>
      </c>
      <c r="AJ49" s="1">
        <f>'CF 2025'!N18</f>
        <v>367770</v>
      </c>
      <c r="AK49" s="1">
        <f>'CF 2025'!O18</f>
        <v>381570</v>
      </c>
      <c r="AL49" s="1">
        <f>'CF 2025'!P18</f>
        <v>383295</v>
      </c>
      <c r="AM49" s="1">
        <f>'CF 2025'!Q18</f>
        <v>394680</v>
      </c>
      <c r="AN49" s="1">
        <f>'CF 2025'!R18</f>
        <v>425730</v>
      </c>
      <c r="AO49" s="1">
        <f>'CF 2026'!G18</f>
        <v>519820</v>
      </c>
      <c r="AP49" s="1">
        <f>'CF 2026'!H18</f>
        <v>532510</v>
      </c>
      <c r="AQ49" s="1">
        <f>'CF 2026'!I18</f>
        <v>536270</v>
      </c>
      <c r="AR49" s="1">
        <f>'CF 2026'!J18</f>
        <v>540030</v>
      </c>
      <c r="AS49" s="1">
        <f>'CF 2026'!K18</f>
        <v>543320</v>
      </c>
      <c r="AT49" s="1">
        <f>'CF 2026'!L18</f>
        <v>547080</v>
      </c>
      <c r="AU49" s="1">
        <f>'CF 2026'!M18</f>
        <v>550840</v>
      </c>
      <c r="AV49" s="1">
        <f>'CF 2026'!N18</f>
        <v>565410</v>
      </c>
      <c r="AW49" s="1">
        <f>'CF 2026'!O18</f>
        <v>569170</v>
      </c>
      <c r="AX49" s="1">
        <f>'CF 2026'!P18</f>
        <v>572460</v>
      </c>
      <c r="AY49" s="1">
        <f>'CF 2026'!Q18</f>
        <v>581860</v>
      </c>
      <c r="AZ49" s="1">
        <f>'CF 2026'!R18</f>
        <v>585620</v>
      </c>
      <c r="BA49" s="1">
        <f>'CF 2027'!G17</f>
        <v>588910</v>
      </c>
      <c r="BB49" s="1">
        <f>'CF 2027'!H17</f>
        <v>592670</v>
      </c>
      <c r="BC49" s="1">
        <f>'CF 2027'!I17</f>
        <v>607240</v>
      </c>
      <c r="BD49" s="1">
        <f>'CF 2027'!J17</f>
        <v>611000</v>
      </c>
      <c r="BE49" s="1">
        <f>'CF 2027'!K17</f>
        <v>614760</v>
      </c>
      <c r="BF49" s="1">
        <f>'CF 2027'!L17</f>
        <v>618050</v>
      </c>
      <c r="BG49" s="1">
        <f>'CF 2027'!M17</f>
        <v>627450</v>
      </c>
      <c r="BH49" s="1">
        <f>'CF 2027'!N17</f>
        <v>631210</v>
      </c>
      <c r="BI49" s="1">
        <f>'CF 2027'!O17</f>
        <v>645310</v>
      </c>
      <c r="BJ49" s="1">
        <f>'CF 2027'!P17</f>
        <v>649070</v>
      </c>
      <c r="BK49" s="1">
        <f>'CF 2027'!Q17</f>
        <v>652830</v>
      </c>
      <c r="BL49" s="1">
        <f>'CF 2027'!R17</f>
        <v>656590</v>
      </c>
    </row>
    <row r="50" spans="4:64" x14ac:dyDescent="0.3">
      <c r="D50" t="s">
        <v>286</v>
      </c>
      <c r="E50" s="1">
        <f>'CF 2023'!G18</f>
        <v>-162440</v>
      </c>
      <c r="F50" s="1">
        <f>'CF 2023'!H18</f>
        <v>-157187.40000000002</v>
      </c>
      <c r="G50" s="1">
        <f>'CF 2023'!I18</f>
        <v>-157068.40000000002</v>
      </c>
      <c r="H50" s="1">
        <f>'CF 2023'!J18</f>
        <v>-155371.6</v>
      </c>
      <c r="I50" s="1">
        <f>'CF 2023'!K18</f>
        <v>-157074.6</v>
      </c>
      <c r="J50" s="1">
        <f>'CF 2023'!L18</f>
        <v>-159425</v>
      </c>
      <c r="K50" s="1">
        <f>'CF 2023'!M18</f>
        <v>-157858</v>
      </c>
      <c r="L50" s="1">
        <f>'CF 2023'!N18</f>
        <v>-155059</v>
      </c>
      <c r="M50" s="1">
        <f>'CF 2023'!O18</f>
        <v>-149555.80000000002</v>
      </c>
      <c r="N50" s="1">
        <f>'CF 2023'!P18</f>
        <v>-142170.6</v>
      </c>
      <c r="O50" s="1">
        <f>'CF 2023'!Q18</f>
        <v>-135406.20000000001</v>
      </c>
      <c r="P50" s="1">
        <f>'CF 2023'!R18</f>
        <v>-129465.00000000001</v>
      </c>
      <c r="Q50" s="1">
        <f>'CF 2024'!G19</f>
        <v>-133692.5184</v>
      </c>
      <c r="R50" s="1">
        <f>'CF 2024'!H19</f>
        <v>-131284.6176</v>
      </c>
      <c r="S50" s="1">
        <f>'CF 2024'!I19</f>
        <v>-128876.71679999999</v>
      </c>
      <c r="T50" s="1">
        <f>'CF 2024'!J19</f>
        <v>-126468.81599999999</v>
      </c>
      <c r="U50" s="1">
        <f>'CF 2024'!K19</f>
        <v>-122627.36640000003</v>
      </c>
      <c r="V50" s="1">
        <f>'CF 2024'!L19</f>
        <v>-119861.0784</v>
      </c>
      <c r="W50" s="1">
        <f>'CF 2024'!M19</f>
        <v>-118528.33920000002</v>
      </c>
      <c r="X50" s="1">
        <f>'CF 2024'!N19</f>
        <v>-114328.5024</v>
      </c>
      <c r="Y50" s="1">
        <f>'CF 2024'!O19</f>
        <v>-113712.53760000001</v>
      </c>
      <c r="Z50" s="1">
        <f>'CF 2024'!P19</f>
        <v>-110647.59359999999</v>
      </c>
      <c r="AA50" s="1">
        <f>'CF 2024'!Q19</f>
        <v>-105432.32640000001</v>
      </c>
      <c r="AB50" s="1">
        <f>'CF 2024'!R19</f>
        <v>-102367.3824</v>
      </c>
      <c r="AC50" s="1">
        <f>'CF 2025'!G19</f>
        <v>-103114.8</v>
      </c>
      <c r="AD50" s="1">
        <f>'CF 2025'!H19</f>
        <v>-99591.4</v>
      </c>
      <c r="AE50" s="1">
        <f>'CF 2025'!I19</f>
        <v>-90272</v>
      </c>
      <c r="AF50" s="1">
        <f>'CF 2025'!J19</f>
        <v>-154230.6</v>
      </c>
      <c r="AG50" s="1">
        <f>'CF 2025'!K19</f>
        <v>-82742.2</v>
      </c>
      <c r="AH50" s="1">
        <f>'CF 2025'!L19</f>
        <v>-78804.800000000003</v>
      </c>
      <c r="AI50" s="1">
        <f>'CF 2025'!M19</f>
        <v>-76523.399999999994</v>
      </c>
      <c r="AJ50" s="1">
        <f>'CF 2025'!N19</f>
        <v>-73794</v>
      </c>
      <c r="AK50" s="1">
        <f>'CF 2025'!O19</f>
        <v>-76554</v>
      </c>
      <c r="AL50" s="1">
        <f>'CF 2025'!P19</f>
        <v>-76899</v>
      </c>
      <c r="AM50" s="1">
        <f>'CF 2025'!Q19</f>
        <v>-79176</v>
      </c>
      <c r="AN50" s="1">
        <f>'CF 2025'!R19</f>
        <v>-85386</v>
      </c>
      <c r="AO50" s="1">
        <f>'CF 2026'!G19</f>
        <v>-90687.6</v>
      </c>
      <c r="AP50" s="1">
        <f>'CF 2026'!H19</f>
        <v>-93225.600000000006</v>
      </c>
      <c r="AQ50" s="1">
        <f>'CF 2026'!I19</f>
        <v>-93977.600000000006</v>
      </c>
      <c r="AR50" s="1">
        <f>'CF 2026'!J19</f>
        <v>-94729.600000000006</v>
      </c>
      <c r="AS50" s="1">
        <f>'CF 2026'!K19</f>
        <v>-95387.6</v>
      </c>
      <c r="AT50" s="1">
        <f>'CF 2026'!L19</f>
        <v>-96139.6</v>
      </c>
      <c r="AU50" s="1">
        <f>'CF 2026'!M19</f>
        <v>-96891.6</v>
      </c>
      <c r="AV50" s="1">
        <f>'CF 2026'!N19</f>
        <v>-99805.6</v>
      </c>
      <c r="AW50" s="1">
        <f>'CF 2026'!O19</f>
        <v>-100557.6</v>
      </c>
      <c r="AX50" s="1">
        <f>'CF 2026'!P19</f>
        <v>-101215.6</v>
      </c>
      <c r="AY50" s="1">
        <f>'CF 2026'!Q19</f>
        <v>-103095.6</v>
      </c>
      <c r="AZ50" s="1">
        <f>'CF 2026'!R19</f>
        <v>-106094.40000000001</v>
      </c>
      <c r="BA50" s="1">
        <f>'CF 2027'!G18</f>
        <v>-104505.60000000001</v>
      </c>
      <c r="BB50" s="1">
        <f>'CF 2027'!H18</f>
        <v>-105257.60000000001</v>
      </c>
      <c r="BC50" s="1">
        <f>'CF 2027'!I18</f>
        <v>-106991.6</v>
      </c>
      <c r="BD50" s="1">
        <f>'CF 2027'!J18</f>
        <v>-107743.6</v>
      </c>
      <c r="BE50" s="1">
        <f>'CF 2027'!K18</f>
        <v>-108495.6</v>
      </c>
      <c r="BF50" s="1">
        <f>'CF 2027'!L18</f>
        <v>-109153.60000000001</v>
      </c>
      <c r="BG50" s="1">
        <f>'CF 2027'!M18</f>
        <v>-111033.60000000001</v>
      </c>
      <c r="BH50" s="1">
        <f>'CF 2027'!N18</f>
        <v>-111785.60000000001</v>
      </c>
      <c r="BI50" s="1">
        <f>'CF 2027'!O18</f>
        <v>-114605.6</v>
      </c>
      <c r="BJ50" s="1">
        <f>'CF 2027'!P18</f>
        <v>-115357.6</v>
      </c>
      <c r="BK50" s="1">
        <f>'CF 2027'!Q18</f>
        <v>-116109.6</v>
      </c>
      <c r="BL50" s="1">
        <f>'CF 2027'!R18</f>
        <v>-119108.40000000001</v>
      </c>
    </row>
    <row r="51" spans="4:64" x14ac:dyDescent="0.3">
      <c r="D51" t="s">
        <v>287</v>
      </c>
      <c r="E51" s="1">
        <f>'CF 2023'!G40</f>
        <v>117560</v>
      </c>
      <c r="F51" s="1">
        <f>'CF 2023'!H40</f>
        <v>96549.599999999977</v>
      </c>
      <c r="G51" s="1">
        <f>'CF 2023'!I40</f>
        <v>112891.59999999998</v>
      </c>
      <c r="H51" s="1">
        <f>'CF 2023'!J40</f>
        <v>122922.4</v>
      </c>
      <c r="I51" s="1">
        <f>'CF 2023'!K40</f>
        <v>146552.4</v>
      </c>
      <c r="J51" s="1">
        <f>'CF 2023'!L40</f>
        <v>172772</v>
      </c>
      <c r="K51" s="1">
        <f>'CF 2023'!M40</f>
        <v>183322</v>
      </c>
      <c r="L51" s="1">
        <f>'CF 2023'!N40</f>
        <v>188944</v>
      </c>
      <c r="M51" s="1">
        <f>'CF 2023'!O40</f>
        <v>183749.19999999998</v>
      </c>
      <c r="N51" s="1">
        <f>'CF 2023'!P40</f>
        <v>171026.4</v>
      </c>
      <c r="O51" s="1">
        <f>'CF 2023'!Q40</f>
        <v>160786.79999999999</v>
      </c>
      <c r="P51" s="1">
        <f>'CF 2023'!R40</f>
        <v>153840</v>
      </c>
      <c r="Q51" s="1">
        <f>'CF 2024'!G41</f>
        <v>187568.07360000006</v>
      </c>
      <c r="R51" s="1">
        <f>'CF 2024'!H41</f>
        <v>194754.47039999993</v>
      </c>
      <c r="S51" s="1">
        <f>'CF 2024'!I41</f>
        <v>201940.86719999998</v>
      </c>
      <c r="T51" s="1">
        <f>'CF 2024'!J41</f>
        <v>209127.26399999997</v>
      </c>
      <c r="U51" s="1">
        <f>'CF 2024'!K41</f>
        <v>210579.46560000003</v>
      </c>
      <c r="V51" s="1">
        <f>'CF 2024'!L41</f>
        <v>216332.31359999994</v>
      </c>
      <c r="W51" s="1">
        <f>'CF 2024'!M41</f>
        <v>227819.35680000004</v>
      </c>
      <c r="X51" s="1">
        <f>'CF 2024'!N41</f>
        <v>227838.00959999993</v>
      </c>
      <c r="Y51" s="1">
        <f>'CF 2024'!O41</f>
        <v>242192.15040000001</v>
      </c>
      <c r="Z51" s="1">
        <f>'CF 2024'!P41</f>
        <v>246750.37439999997</v>
      </c>
      <c r="AA51" s="1">
        <f>'CF 2024'!Q41</f>
        <v>242707.30559999996</v>
      </c>
      <c r="AB51" s="1">
        <f>'CF 2024'!R41</f>
        <v>247265.52960000001</v>
      </c>
      <c r="AC51" s="1">
        <f>'CF 2025'!G41</f>
        <v>248073.2</v>
      </c>
      <c r="AD51" s="1">
        <f>'CF 2025'!H41</f>
        <v>256081.59999999998</v>
      </c>
      <c r="AE51" s="1">
        <f>'CF 2025'!I41</f>
        <v>240906</v>
      </c>
      <c r="AF51" s="1">
        <f>'CF 2025'!J41</f>
        <v>518842.4</v>
      </c>
      <c r="AG51" s="1">
        <f>'CF 2025'!K41</f>
        <v>254990.8</v>
      </c>
      <c r="AH51" s="1">
        <f>'CF 2025'!L41</f>
        <v>261343.2</v>
      </c>
      <c r="AI51" s="1">
        <f>'CF 2025'!M41</f>
        <v>274319.59999999998</v>
      </c>
      <c r="AJ51" s="1">
        <f>'CF 2025'!N41</f>
        <v>285504</v>
      </c>
      <c r="AK51" s="1">
        <f>'CF 2025'!O41</f>
        <v>305016</v>
      </c>
      <c r="AL51" s="1">
        <f>'CF 2025'!P41</f>
        <v>306396</v>
      </c>
      <c r="AM51" s="1">
        <f>'CF 2025'!Q41</f>
        <v>315504</v>
      </c>
      <c r="AN51" s="1">
        <f>'CF 2025'!R41</f>
        <v>340344</v>
      </c>
      <c r="AO51" s="1">
        <f>'CF 2026'!G41</f>
        <v>429132.4</v>
      </c>
      <c r="AP51" s="1">
        <f>'CF 2026'!H41</f>
        <v>439284.4</v>
      </c>
      <c r="AQ51" s="1">
        <f>'CF 2026'!I41</f>
        <v>442292.4</v>
      </c>
      <c r="AR51" s="1">
        <f>'CF 2026'!J41</f>
        <v>445300.4</v>
      </c>
      <c r="AS51" s="1">
        <f>'CF 2026'!K41</f>
        <v>447932.4</v>
      </c>
      <c r="AT51" s="1">
        <f>'CF 2026'!L41</f>
        <v>450940.4</v>
      </c>
      <c r="AU51" s="1">
        <f>'CF 2026'!M41</f>
        <v>453948.4</v>
      </c>
      <c r="AV51" s="1">
        <f>'CF 2026'!N41</f>
        <v>465604.4</v>
      </c>
      <c r="AW51" s="1">
        <f>'CF 2026'!O41</f>
        <v>468612.4</v>
      </c>
      <c r="AX51" s="1">
        <f>'CF 2026'!P41</f>
        <v>471244.4</v>
      </c>
      <c r="AY51" s="1">
        <f>'CF 2026'!Q41</f>
        <v>478764.4</v>
      </c>
      <c r="AZ51" s="1">
        <f>'CF 2026'!R41</f>
        <v>479525.6</v>
      </c>
      <c r="BA51" s="1">
        <f>'CF 2027'!G40</f>
        <v>484404.4</v>
      </c>
      <c r="BB51" s="1">
        <f>'CF 2027'!H40</f>
        <v>487412.4</v>
      </c>
      <c r="BC51" s="1">
        <f>'CF 2027'!I40</f>
        <v>500248.4</v>
      </c>
      <c r="BD51" s="1">
        <f>'CF 2027'!J40</f>
        <v>503256.4</v>
      </c>
      <c r="BE51" s="1">
        <f>'CF 2027'!K40</f>
        <v>506264.4</v>
      </c>
      <c r="BF51" s="1">
        <f>'CF 2027'!L40</f>
        <v>508896.4</v>
      </c>
      <c r="BG51" s="1">
        <f>'CF 2027'!M40</f>
        <v>516416.4</v>
      </c>
      <c r="BH51" s="1">
        <f>'CF 2027'!N40</f>
        <v>519424.4</v>
      </c>
      <c r="BI51" s="1">
        <f>'CF 2027'!O40</f>
        <v>530704.4</v>
      </c>
      <c r="BJ51" s="1">
        <f>'CF 2027'!P40</f>
        <v>533712.4</v>
      </c>
      <c r="BK51" s="1">
        <f>'CF 2027'!Q40</f>
        <v>536720.4</v>
      </c>
      <c r="BL51" s="1">
        <f>'CF 2027'!R40</f>
        <v>537481.6</v>
      </c>
    </row>
  </sheetData>
  <mergeCells count="6">
    <mergeCell ref="BF40:BG40"/>
    <mergeCell ref="B25:G25"/>
    <mergeCell ref="J40:K40"/>
    <mergeCell ref="V40:W40"/>
    <mergeCell ref="AH40:AI40"/>
    <mergeCell ref="AT40:AU40"/>
  </mergeCells>
  <phoneticPr fontId="7" type="noConversion"/>
  <pageMargins left="0.7" right="0.7" top="0.75" bottom="0.75" header="0.3" footer="0.3"/>
  <pageSetup paperSize="9" orientation="portrait" horizontalDpi="1200" verticalDpi="1200" r:id="rId1"/>
  <ignoredErrors>
    <ignoredError sqref="D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867D-A35F-407E-8EA4-B2A4D82E260A}">
  <sheetPr codeName="Sheet1"/>
  <dimension ref="B2:V99"/>
  <sheetViews>
    <sheetView showGridLines="0" topLeftCell="A50" zoomScale="96" zoomScaleNormal="96" workbookViewId="0">
      <selection activeCell="J104" sqref="J104"/>
    </sheetView>
  </sheetViews>
  <sheetFormatPr defaultRowHeight="14.4" x14ac:dyDescent="0.3"/>
  <cols>
    <col min="1" max="1" width="2.44140625" customWidth="1"/>
    <col min="5" max="5" width="12.6640625" customWidth="1"/>
    <col min="6" max="6" width="11.109375" customWidth="1"/>
    <col min="7" max="7" width="11.5546875" customWidth="1"/>
    <col min="8" max="9" width="11.6640625" customWidth="1"/>
    <col min="10" max="10" width="3.6640625" customWidth="1"/>
    <col min="11" max="11" width="12.77734375" customWidth="1"/>
    <col min="12" max="12" width="10.109375" bestFit="1" customWidth="1"/>
    <col min="13" max="13" width="10.33203125" customWidth="1"/>
    <col min="14" max="15" width="10.109375" customWidth="1"/>
    <col min="16" max="16" width="10" customWidth="1"/>
    <col min="17" max="18" width="10.109375" customWidth="1"/>
    <col min="19" max="20" width="9.77734375" customWidth="1"/>
    <col min="21" max="21" width="9.6640625" customWidth="1"/>
    <col min="22" max="22" width="9.77734375" customWidth="1"/>
  </cols>
  <sheetData>
    <row r="2" spans="2:22" x14ac:dyDescent="0.3">
      <c r="B2" s="172" t="s">
        <v>224</v>
      </c>
      <c r="C2" s="172"/>
      <c r="D2" s="172"/>
      <c r="E2" s="172"/>
      <c r="F2" s="145"/>
      <c r="G2" s="145"/>
      <c r="H2" s="145"/>
      <c r="I2" s="145"/>
      <c r="J2" s="145"/>
      <c r="K2" s="334" t="s">
        <v>228</v>
      </c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4" spans="2:22" x14ac:dyDescent="0.3">
      <c r="B4" s="185" t="s">
        <v>20</v>
      </c>
      <c r="C4" s="185"/>
      <c r="D4" s="185"/>
      <c r="E4" s="186">
        <v>2023</v>
      </c>
      <c r="F4" s="186">
        <v>2024</v>
      </c>
      <c r="G4" s="186">
        <v>2025</v>
      </c>
      <c r="H4" s="186">
        <v>2026</v>
      </c>
      <c r="I4" s="186">
        <v>2027</v>
      </c>
      <c r="J4" s="185"/>
      <c r="K4" s="186" t="s">
        <v>25</v>
      </c>
      <c r="L4" s="186" t="s">
        <v>26</v>
      </c>
      <c r="M4" s="186" t="s">
        <v>27</v>
      </c>
      <c r="N4" s="186" t="s">
        <v>28</v>
      </c>
      <c r="O4" s="186" t="s">
        <v>29</v>
      </c>
      <c r="P4" s="186" t="s">
        <v>30</v>
      </c>
      <c r="Q4" s="186" t="s">
        <v>31</v>
      </c>
      <c r="R4" s="186" t="s">
        <v>32</v>
      </c>
      <c r="S4" s="186" t="s">
        <v>33</v>
      </c>
      <c r="T4" s="186" t="s">
        <v>34</v>
      </c>
      <c r="U4" s="186" t="s">
        <v>35</v>
      </c>
      <c r="V4" s="186" t="s">
        <v>36</v>
      </c>
    </row>
    <row r="5" spans="2:22" x14ac:dyDescent="0.3">
      <c r="B5" t="s">
        <v>37</v>
      </c>
      <c r="E5" s="197">
        <f t="shared" ref="E5:E17" si="0">V5</f>
        <v>300123</v>
      </c>
      <c r="F5" s="197">
        <f>'Statements Summary 2024'!V5</f>
        <v>366450.91200000001</v>
      </c>
      <c r="G5" s="197">
        <f>'Statements Summary 2025'!V5</f>
        <v>425730</v>
      </c>
      <c r="H5" s="197">
        <f>'Statements Summary 2026'!V5</f>
        <v>585620</v>
      </c>
      <c r="I5" s="197">
        <f>'Statements Summary 2027'!V5</f>
        <v>656590</v>
      </c>
      <c r="K5" s="197">
        <f>'CF 2023'!G11</f>
        <v>280000</v>
      </c>
      <c r="L5" s="197">
        <f>'CF 2023'!H11</f>
        <v>270555</v>
      </c>
      <c r="M5" s="197">
        <f>'CF 2023'!I11</f>
        <v>286778</v>
      </c>
      <c r="N5" s="197">
        <f>'CF 2023'!J11</f>
        <v>295112</v>
      </c>
      <c r="O5" s="197">
        <f>'CF 2023'!K11</f>
        <v>320445</v>
      </c>
      <c r="P5" s="197">
        <f>'CF 2023'!L11</f>
        <v>349015</v>
      </c>
      <c r="Q5" s="197">
        <f>'CF 2023'!M11</f>
        <v>357998</v>
      </c>
      <c r="R5" s="197">
        <f>'CF 2023'!N11</f>
        <v>360821</v>
      </c>
      <c r="S5" s="197">
        <f>'CF 2023'!O11</f>
        <v>350123</v>
      </c>
      <c r="T5" s="197">
        <f>'CF 2023'!P11</f>
        <v>330015</v>
      </c>
      <c r="U5" s="197">
        <f>'CF 2023'!Q11</f>
        <v>313011</v>
      </c>
      <c r="V5" s="197">
        <f>'CF 2023'!R11</f>
        <v>300123</v>
      </c>
    </row>
    <row r="6" spans="2:22" x14ac:dyDescent="0.3">
      <c r="B6" t="s">
        <v>38</v>
      </c>
      <c r="E6" s="197">
        <f t="shared" si="0"/>
        <v>-625</v>
      </c>
      <c r="F6" s="197">
        <f>'Statements Summary 2024'!V6</f>
        <v>-625</v>
      </c>
      <c r="G6" s="197">
        <f>'Statements Summary 2025'!V6</f>
        <v>-625</v>
      </c>
      <c r="H6" s="197">
        <f>'Statements Summary 2026'!V6</f>
        <v>-625</v>
      </c>
      <c r="I6" s="197">
        <f>'Statements Summary 2027'!V6</f>
        <v>-625</v>
      </c>
      <c r="K6" s="197">
        <f>'CF 2023'!G14</f>
        <v>-625</v>
      </c>
      <c r="L6" s="197">
        <f>'CF 2023'!H14</f>
        <v>-625</v>
      </c>
      <c r="M6" s="197">
        <f>'CF 2023'!I14</f>
        <v>-625</v>
      </c>
      <c r="N6" s="197">
        <f>'CF 2023'!J14</f>
        <v>-625</v>
      </c>
      <c r="O6" s="197">
        <f>'CF 2023'!K14</f>
        <v>-625</v>
      </c>
      <c r="P6" s="197">
        <f>'CF 2023'!L14</f>
        <v>-625</v>
      </c>
      <c r="Q6" s="197">
        <f>'CF 2023'!M14</f>
        <v>-625</v>
      </c>
      <c r="R6" s="197">
        <f>'CF 2023'!N14</f>
        <v>-625</v>
      </c>
      <c r="S6" s="197">
        <f>'CF 2023'!O14</f>
        <v>-625</v>
      </c>
      <c r="T6" s="197">
        <f>'CF 2023'!P14</f>
        <v>-625</v>
      </c>
      <c r="U6" s="197">
        <f>'CF 2023'!Q14</f>
        <v>-625</v>
      </c>
      <c r="V6" s="197">
        <f>'CF 2023'!R14</f>
        <v>-625</v>
      </c>
    </row>
    <row r="7" spans="2:22" x14ac:dyDescent="0.3">
      <c r="B7" t="s">
        <v>39</v>
      </c>
      <c r="E7" s="197">
        <f t="shared" si="0"/>
        <v>-16818</v>
      </c>
      <c r="F7" s="197">
        <f>'Statements Summary 2024'!V7</f>
        <v>-16818</v>
      </c>
      <c r="G7" s="197">
        <f>'Statements Summary 2025'!V7</f>
        <v>0</v>
      </c>
      <c r="H7" s="197">
        <f>'Statements Summary 2026'!V7</f>
        <v>0</v>
      </c>
      <c r="I7" s="197">
        <f>'Statements Summary 2027'!V7</f>
        <v>0</v>
      </c>
      <c r="K7" s="197" t="s">
        <v>189</v>
      </c>
      <c r="L7" s="197">
        <f>'CF 2023'!H30</f>
        <v>-16818</v>
      </c>
      <c r="M7" s="197">
        <f>'CF 2023'!I30</f>
        <v>-16818</v>
      </c>
      <c r="N7" s="197">
        <f>'CF 2023'!J30</f>
        <v>-16818</v>
      </c>
      <c r="O7" s="197">
        <f>'CF 2023'!K30</f>
        <v>-16818</v>
      </c>
      <c r="P7" s="197">
        <f>'CF 2023'!L30</f>
        <v>-16818</v>
      </c>
      <c r="Q7" s="197">
        <f>'CF 2023'!M30</f>
        <v>-16818</v>
      </c>
      <c r="R7" s="197">
        <f>'CF 2023'!N30</f>
        <v>-16818</v>
      </c>
      <c r="S7" s="197">
        <f>'CF 2023'!O30</f>
        <v>-16818</v>
      </c>
      <c r="T7" s="197">
        <f>'CF 2023'!P30</f>
        <v>-16818</v>
      </c>
      <c r="U7" s="197">
        <f>'CF 2023'!Q30</f>
        <v>-16818</v>
      </c>
      <c r="V7" s="197">
        <f>'CF 2023'!R30</f>
        <v>-16818</v>
      </c>
    </row>
    <row r="8" spans="2:22" x14ac:dyDescent="0.3">
      <c r="B8" t="s">
        <v>14</v>
      </c>
      <c r="E8" s="197">
        <f t="shared" si="0"/>
        <v>170658</v>
      </c>
      <c r="F8" s="197">
        <f>'Statements Summary 2024'!V8</f>
        <v>264083.52960000001</v>
      </c>
      <c r="G8" s="197">
        <f>'Statements Summary 2025'!V8</f>
        <v>340344</v>
      </c>
      <c r="H8" s="197">
        <f>'Statements Summary 2026'!V8</f>
        <v>479525.6</v>
      </c>
      <c r="I8" s="197">
        <f>'Statements Summary 2027'!V8</f>
        <v>537481.6</v>
      </c>
      <c r="K8" s="197">
        <f>'CF 2023'!G19</f>
        <v>117560</v>
      </c>
      <c r="L8" s="197">
        <f>'CF 2023'!H19</f>
        <v>113367.59999999998</v>
      </c>
      <c r="M8" s="197">
        <f>'CF 2023'!I19</f>
        <v>129709.59999999998</v>
      </c>
      <c r="N8" s="197">
        <f>'CF 2023'!J19</f>
        <v>139740.4</v>
      </c>
      <c r="O8" s="197">
        <f>'CF 2023'!K19</f>
        <v>163370.4</v>
      </c>
      <c r="P8" s="197">
        <f>'CF 2023'!L19</f>
        <v>189590</v>
      </c>
      <c r="Q8" s="197">
        <f>'CF 2023'!M19</f>
        <v>200140</v>
      </c>
      <c r="R8" s="197">
        <f>'CF 2023'!N19</f>
        <v>205762</v>
      </c>
      <c r="S8" s="197">
        <f>'CF 2023'!O19</f>
        <v>200567.19999999998</v>
      </c>
      <c r="T8" s="197">
        <f>'CF 2023'!P19</f>
        <v>187844.4</v>
      </c>
      <c r="U8" s="197">
        <f>'CF 2023'!Q19</f>
        <v>177604.8</v>
      </c>
      <c r="V8" s="197">
        <f>'CF 2023'!R19</f>
        <v>170658</v>
      </c>
    </row>
    <row r="9" spans="2:22" x14ac:dyDescent="0.3">
      <c r="B9" t="s">
        <v>40</v>
      </c>
      <c r="E9" s="197" t="str">
        <f t="shared" si="0"/>
        <v>-</v>
      </c>
      <c r="F9" s="197" t="str">
        <f>'Statements Summary 2024'!V9</f>
        <v>-</v>
      </c>
      <c r="G9" s="197">
        <f>'Statements Summary 2025'!V9</f>
        <v>0</v>
      </c>
      <c r="H9" s="197">
        <f>'Statements Summary 2026'!V9</f>
        <v>0</v>
      </c>
      <c r="I9" s="197">
        <f>'Statements Summary 2027'!V9</f>
        <v>0</v>
      </c>
      <c r="K9" s="197">
        <f>'CF 2023'!G24</f>
        <v>450000</v>
      </c>
      <c r="L9" s="197" t="s">
        <v>189</v>
      </c>
      <c r="M9" s="197" t="s">
        <v>189</v>
      </c>
      <c r="N9" s="197" t="s">
        <v>189</v>
      </c>
      <c r="O9" s="197" t="s">
        <v>189</v>
      </c>
      <c r="P9" s="197" t="s">
        <v>189</v>
      </c>
      <c r="Q9" s="197" t="s">
        <v>189</v>
      </c>
      <c r="R9" s="197" t="s">
        <v>189</v>
      </c>
      <c r="S9" s="197" t="s">
        <v>189</v>
      </c>
      <c r="T9" s="197" t="s">
        <v>189</v>
      </c>
      <c r="U9" s="197" t="s">
        <v>189</v>
      </c>
      <c r="V9" s="197" t="s">
        <v>189</v>
      </c>
    </row>
    <row r="10" spans="2:22" x14ac:dyDescent="0.3">
      <c r="B10" t="s">
        <v>41</v>
      </c>
      <c r="E10" s="197" t="str">
        <f t="shared" si="0"/>
        <v>-</v>
      </c>
      <c r="F10" s="197" t="str">
        <f>'Statements Summary 2024'!V10</f>
        <v>-</v>
      </c>
      <c r="G10" s="197" t="str">
        <f>'Statements Summary 2025'!V10</f>
        <v>-</v>
      </c>
      <c r="H10" s="197" t="str">
        <f>'Statements Summary 2026'!V10</f>
        <v>-</v>
      </c>
      <c r="I10" s="197" t="str">
        <f>'Statements Summary 2027'!V10</f>
        <v>-</v>
      </c>
      <c r="K10" s="197" t="s">
        <v>189</v>
      </c>
      <c r="L10" s="197" t="s">
        <v>189</v>
      </c>
      <c r="M10" s="197" t="s">
        <v>189</v>
      </c>
      <c r="N10" s="197" t="s">
        <v>189</v>
      </c>
      <c r="O10" s="197" t="s">
        <v>189</v>
      </c>
      <c r="P10" s="197" t="s">
        <v>189</v>
      </c>
      <c r="Q10" s="197" t="s">
        <v>189</v>
      </c>
      <c r="R10" s="197" t="s">
        <v>189</v>
      </c>
      <c r="S10" s="197" t="s">
        <v>189</v>
      </c>
      <c r="T10" s="197" t="s">
        <v>189</v>
      </c>
      <c r="U10" s="197" t="s">
        <v>189</v>
      </c>
      <c r="V10" s="197" t="s">
        <v>189</v>
      </c>
    </row>
    <row r="11" spans="2:22" x14ac:dyDescent="0.3">
      <c r="B11" t="s">
        <v>42</v>
      </c>
      <c r="E11" s="197" t="str">
        <f t="shared" si="0"/>
        <v>-</v>
      </c>
      <c r="F11" s="197" t="str">
        <f>'Statements Summary 2024'!V11</f>
        <v>-</v>
      </c>
      <c r="G11" s="197" t="str">
        <f>'Statements Summary 2025'!V11</f>
        <v>-</v>
      </c>
      <c r="H11" s="197" t="str">
        <f>'Statements Summary 2026'!V11</f>
        <v>-</v>
      </c>
      <c r="I11" s="197" t="str">
        <f>'Statements Summary 2027'!V11</f>
        <v>-</v>
      </c>
      <c r="K11" s="197">
        <f>'CF 2023'!G24</f>
        <v>450000</v>
      </c>
      <c r="L11" s="197" t="s">
        <v>189</v>
      </c>
      <c r="M11" s="197" t="s">
        <v>189</v>
      </c>
      <c r="N11" s="197" t="s">
        <v>189</v>
      </c>
      <c r="O11" s="197" t="s">
        <v>189</v>
      </c>
      <c r="P11" s="197" t="s">
        <v>189</v>
      </c>
      <c r="Q11" s="197" t="s">
        <v>189</v>
      </c>
      <c r="R11" s="197" t="s">
        <v>189</v>
      </c>
      <c r="S11" s="197" t="s">
        <v>189</v>
      </c>
      <c r="T11" s="197" t="s">
        <v>189</v>
      </c>
      <c r="U11" s="197" t="s">
        <v>189</v>
      </c>
      <c r="V11" s="197" t="s">
        <v>189</v>
      </c>
    </row>
    <row r="12" spans="2:22" x14ac:dyDescent="0.3">
      <c r="B12" t="s">
        <v>43</v>
      </c>
      <c r="E12" s="197">
        <f t="shared" si="0"/>
        <v>-16818</v>
      </c>
      <c r="F12" s="197">
        <f>'Statements Summary 2024'!V12</f>
        <v>-16818</v>
      </c>
      <c r="G12" s="197">
        <f>'Statements Summary 2025'!V12</f>
        <v>0</v>
      </c>
      <c r="H12" s="197">
        <f>'Statements Summary 2026'!V12</f>
        <v>0</v>
      </c>
      <c r="I12" s="197">
        <f>'Statements Summary 2027'!V12</f>
        <v>0</v>
      </c>
      <c r="K12" s="197" t="s">
        <v>189</v>
      </c>
      <c r="L12" s="197">
        <f>'CF 2023'!H30</f>
        <v>-16818</v>
      </c>
      <c r="M12" s="197">
        <f>'CF 2023'!I30</f>
        <v>-16818</v>
      </c>
      <c r="N12" s="197">
        <f>'CF 2023'!J30</f>
        <v>-16818</v>
      </c>
      <c r="O12" s="197">
        <f>'CF 2023'!K30</f>
        <v>-16818</v>
      </c>
      <c r="P12" s="197">
        <f>'CF 2023'!L30</f>
        <v>-16818</v>
      </c>
      <c r="Q12" s="197">
        <f>'CF 2023'!M30</f>
        <v>-16818</v>
      </c>
      <c r="R12" s="197">
        <f>'CF 2023'!N30</f>
        <v>-16818</v>
      </c>
      <c r="S12" s="197">
        <f>'CF 2023'!O30</f>
        <v>-16818</v>
      </c>
      <c r="T12" s="197">
        <f>'CF 2023'!P30</f>
        <v>-16818</v>
      </c>
      <c r="U12" s="197">
        <f>'CF 2023'!Q30</f>
        <v>-16818</v>
      </c>
      <c r="V12" s="197">
        <f>'CF 2023'!R30</f>
        <v>-16818</v>
      </c>
    </row>
    <row r="13" spans="2:22" x14ac:dyDescent="0.3">
      <c r="B13" t="s">
        <v>44</v>
      </c>
      <c r="E13" s="197" t="str">
        <f t="shared" si="0"/>
        <v>-</v>
      </c>
      <c r="F13" s="197" t="str">
        <f>'Statements Summary 2024'!V13</f>
        <v>-</v>
      </c>
      <c r="G13" s="197" t="str">
        <f>'Statements Summary 2025'!V13</f>
        <v>-</v>
      </c>
      <c r="H13" s="197" t="str">
        <f>'Statements Summary 2026'!V13</f>
        <v>-</v>
      </c>
      <c r="I13" s="197" t="str">
        <f>'Statements Summary 2027'!V13</f>
        <v>-</v>
      </c>
      <c r="K13" s="197" t="s">
        <v>189</v>
      </c>
      <c r="L13" s="197" t="s">
        <v>189</v>
      </c>
      <c r="M13" s="197" t="s">
        <v>189</v>
      </c>
      <c r="N13" s="197" t="s">
        <v>189</v>
      </c>
      <c r="O13" s="197" t="s">
        <v>189</v>
      </c>
      <c r="P13" s="197" t="s">
        <v>189</v>
      </c>
      <c r="Q13" s="197" t="s">
        <v>189</v>
      </c>
      <c r="R13" s="197" t="s">
        <v>189</v>
      </c>
      <c r="S13" s="197" t="s">
        <v>189</v>
      </c>
      <c r="T13" s="197" t="s">
        <v>189</v>
      </c>
      <c r="U13" s="197" t="s">
        <v>189</v>
      </c>
      <c r="V13" s="197" t="s">
        <v>189</v>
      </c>
    </row>
    <row r="14" spans="2:22" x14ac:dyDescent="0.3">
      <c r="B14" t="s">
        <v>45</v>
      </c>
      <c r="E14" s="197" t="str">
        <f t="shared" si="0"/>
        <v>-</v>
      </c>
      <c r="F14" s="197" t="str">
        <f>'Statements Summary 2024'!V14</f>
        <v>-</v>
      </c>
      <c r="G14" s="197" t="str">
        <f>'Statements Summary 2025'!V14</f>
        <v>-</v>
      </c>
      <c r="H14" s="197" t="str">
        <f>'Statements Summary 2026'!V14</f>
        <v>-</v>
      </c>
      <c r="I14" s="197" t="str">
        <f>'Statements Summary 2027'!V14</f>
        <v>-</v>
      </c>
      <c r="K14" s="197" t="s">
        <v>189</v>
      </c>
      <c r="L14" s="197" t="s">
        <v>189</v>
      </c>
      <c r="M14" s="197" t="s">
        <v>189</v>
      </c>
      <c r="N14" s="197" t="s">
        <v>189</v>
      </c>
      <c r="O14" s="197" t="s">
        <v>189</v>
      </c>
      <c r="P14" s="197" t="s">
        <v>189</v>
      </c>
      <c r="Q14" s="197" t="s">
        <v>189</v>
      </c>
      <c r="R14" s="197" t="s">
        <v>189</v>
      </c>
      <c r="S14" s="197" t="s">
        <v>189</v>
      </c>
      <c r="T14" s="197" t="s">
        <v>189</v>
      </c>
      <c r="U14" s="197" t="s">
        <v>189</v>
      </c>
      <c r="V14" s="197" t="s">
        <v>189</v>
      </c>
    </row>
    <row r="15" spans="2:22" x14ac:dyDescent="0.3">
      <c r="B15" t="s">
        <v>46</v>
      </c>
      <c r="E15" s="197">
        <f t="shared" si="0"/>
        <v>-16818</v>
      </c>
      <c r="F15" s="197">
        <f>'Statements Summary 2024'!V15</f>
        <v>-16818</v>
      </c>
      <c r="G15" s="197">
        <f>'Statements Summary 2025'!V15</f>
        <v>0</v>
      </c>
      <c r="H15" s="197">
        <f>'Statements Summary 2026'!V15</f>
        <v>0</v>
      </c>
      <c r="I15" s="197">
        <f>'Statements Summary 2027'!V15</f>
        <v>0</v>
      </c>
      <c r="K15" s="197" t="s">
        <v>189</v>
      </c>
      <c r="L15" s="197">
        <f>'CF 2023'!H30</f>
        <v>-16818</v>
      </c>
      <c r="M15" s="197">
        <f>'CF 2023'!I30</f>
        <v>-16818</v>
      </c>
      <c r="N15" s="197">
        <f>'CF 2023'!J30</f>
        <v>-16818</v>
      </c>
      <c r="O15" s="197">
        <f>'CF 2023'!K30</f>
        <v>-16818</v>
      </c>
      <c r="P15" s="197">
        <f>'CF 2023'!L30</f>
        <v>-16818</v>
      </c>
      <c r="Q15" s="197">
        <f>'CF 2023'!M30</f>
        <v>-16818</v>
      </c>
      <c r="R15" s="197">
        <f>'CF 2023'!N30</f>
        <v>-16818</v>
      </c>
      <c r="S15" s="197">
        <f>'CF 2023'!O30</f>
        <v>-16818</v>
      </c>
      <c r="T15" s="197">
        <f>'CF 2023'!P30</f>
        <v>-16818</v>
      </c>
      <c r="U15" s="197">
        <f>'CF 2023'!Q30</f>
        <v>-16818</v>
      </c>
      <c r="V15" s="197">
        <f>'CF 2023'!R30</f>
        <v>-16818</v>
      </c>
    </row>
    <row r="16" spans="2:22" x14ac:dyDescent="0.3">
      <c r="B16" t="s">
        <v>194</v>
      </c>
      <c r="E16" s="197">
        <f t="shared" si="0"/>
        <v>170658</v>
      </c>
      <c r="F16" s="197">
        <f>'Statements Summary 2024'!V16</f>
        <v>264083.52960000001</v>
      </c>
      <c r="G16" s="197">
        <f>'Statements Summary 2025'!V16</f>
        <v>340344</v>
      </c>
      <c r="H16" s="197">
        <f>'Statements Summary 2026'!V16</f>
        <v>479525.6</v>
      </c>
      <c r="I16" s="197">
        <f>'Statements Summary 2027'!V16</f>
        <v>537481.6</v>
      </c>
      <c r="K16" s="197">
        <f>'CF 2023'!G42</f>
        <v>450000</v>
      </c>
      <c r="L16" s="197">
        <f>'CF 2023'!H19</f>
        <v>113367.59999999998</v>
      </c>
      <c r="M16" s="197">
        <f>'CF 2023'!I19</f>
        <v>129709.59999999998</v>
      </c>
      <c r="N16" s="197">
        <f>'CF 2023'!J19</f>
        <v>139740.4</v>
      </c>
      <c r="O16" s="197">
        <f>'CF 2023'!K19</f>
        <v>163370.4</v>
      </c>
      <c r="P16" s="197">
        <f>'CF 2023'!L19</f>
        <v>189590</v>
      </c>
      <c r="Q16" s="197">
        <f>'CF 2023'!M19</f>
        <v>200140</v>
      </c>
      <c r="R16" s="197">
        <f>'CF 2023'!N19</f>
        <v>205762</v>
      </c>
      <c r="S16" s="197">
        <f>'CF 2023'!O19</f>
        <v>200567.19999999998</v>
      </c>
      <c r="T16" s="197">
        <f>'CF 2023'!P19</f>
        <v>187844.4</v>
      </c>
      <c r="U16" s="197">
        <f>'CF 2023'!Q19</f>
        <v>177604.8</v>
      </c>
      <c r="V16" s="197">
        <f>'CF 2023'!R19</f>
        <v>170658</v>
      </c>
    </row>
    <row r="17" spans="2:22" x14ac:dyDescent="0.3">
      <c r="B17" t="s">
        <v>47</v>
      </c>
      <c r="E17" s="197">
        <f t="shared" si="0"/>
        <v>324498</v>
      </c>
      <c r="F17" s="197">
        <f>'Statements Summary 2024'!V17</f>
        <v>511349.05920000002</v>
      </c>
      <c r="G17" s="197">
        <f>'Statements Summary 2025'!V17</f>
        <v>680688</v>
      </c>
      <c r="H17" s="197">
        <f>'Statements Summary 2026'!V17</f>
        <v>959051.20000000007</v>
      </c>
      <c r="I17" s="197">
        <f>'Statements Summary 2027'!V17</f>
        <v>1074963.2000000002</v>
      </c>
      <c r="K17" s="197">
        <f>'CF 2023'!G40+'CF 2023'!G17+'CF 2023'!G18</f>
        <v>235120</v>
      </c>
      <c r="L17" s="197">
        <f>'CF 2023'!H40+'CF 2023'!H17+'CF 2023'!H18</f>
        <v>209917.19999999995</v>
      </c>
      <c r="M17" s="197">
        <f>'CF 2023'!I40+'CF 2023'!I17+'CF 2023'!I18</f>
        <v>242601.19999999995</v>
      </c>
      <c r="N17" s="197">
        <f>'CF 2023'!J40+'CF 2023'!J17+'CF 2023'!J18</f>
        <v>262662.80000000005</v>
      </c>
      <c r="O17" s="197">
        <f>'CF 2023'!K40+'CF 2023'!K17+'CF 2023'!K18</f>
        <v>309922.80000000005</v>
      </c>
      <c r="P17" s="197">
        <f>'CF 2023'!L40+'CF 2023'!L17+'CF 2023'!L18</f>
        <v>362362</v>
      </c>
      <c r="Q17" s="197">
        <f>'CF 2023'!M40+'CF 2023'!M17+'CF 2023'!M18</f>
        <v>383462</v>
      </c>
      <c r="R17" s="197">
        <f>'CF 2023'!N40+'CF 2023'!N17+'CF 2023'!N18</f>
        <v>394706</v>
      </c>
      <c r="S17" s="197">
        <f>'CF 2023'!O40+'CF 2023'!O17+'CF 2023'!O18</f>
        <v>384316.39999999991</v>
      </c>
      <c r="T17" s="197">
        <f>'CF 2023'!P40+'CF 2023'!P17+'CF 2023'!P18</f>
        <v>358870.80000000005</v>
      </c>
      <c r="U17" s="197">
        <f>'CF 2023'!Q40+'CF 2023'!Q17+'CF 2023'!Q18</f>
        <v>338391.6</v>
      </c>
      <c r="V17" s="197">
        <f>'CF 2023'!R40+'CF 2023'!R17+'CF 2023'!R18</f>
        <v>324498</v>
      </c>
    </row>
    <row r="19" spans="2:22" x14ac:dyDescent="0.3">
      <c r="B19" s="172" t="s">
        <v>224</v>
      </c>
      <c r="C19" s="145"/>
      <c r="D19" s="145"/>
      <c r="E19" s="145"/>
      <c r="F19" s="145"/>
      <c r="G19" s="145"/>
      <c r="H19" s="145"/>
      <c r="I19" s="145"/>
      <c r="K19" s="334" t="s">
        <v>228</v>
      </c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</row>
    <row r="41" spans="2:22" x14ac:dyDescent="0.3">
      <c r="B41" s="172" t="s">
        <v>225</v>
      </c>
      <c r="C41" s="172"/>
      <c r="D41" s="172"/>
      <c r="E41" s="172"/>
      <c r="F41" s="145"/>
      <c r="G41" s="145"/>
      <c r="H41" s="145"/>
      <c r="I41" s="145"/>
      <c r="J41" s="145"/>
      <c r="K41" s="334" t="s">
        <v>196</v>
      </c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</row>
    <row r="43" spans="2:22" x14ac:dyDescent="0.3">
      <c r="B43" s="185" t="s">
        <v>20</v>
      </c>
      <c r="C43" s="185"/>
      <c r="D43" s="185"/>
      <c r="E43" s="186">
        <v>2023</v>
      </c>
      <c r="F43" s="186">
        <v>2024</v>
      </c>
      <c r="G43" s="186">
        <v>2025</v>
      </c>
      <c r="H43" s="186">
        <v>2026</v>
      </c>
      <c r="I43" s="186">
        <v>2027</v>
      </c>
      <c r="J43" s="185"/>
      <c r="K43" s="186" t="s">
        <v>25</v>
      </c>
      <c r="L43" s="186" t="s">
        <v>26</v>
      </c>
      <c r="M43" s="186" t="s">
        <v>27</v>
      </c>
      <c r="N43" s="186" t="s">
        <v>28</v>
      </c>
      <c r="O43" s="186" t="s">
        <v>29</v>
      </c>
      <c r="P43" s="186" t="s">
        <v>30</v>
      </c>
      <c r="Q43" s="186" t="s">
        <v>31</v>
      </c>
      <c r="R43" s="186" t="s">
        <v>32</v>
      </c>
      <c r="S43" s="186" t="s">
        <v>33</v>
      </c>
      <c r="T43" s="186" t="s">
        <v>34</v>
      </c>
      <c r="U43" s="186" t="s">
        <v>35</v>
      </c>
      <c r="V43" s="186" t="s">
        <v>36</v>
      </c>
    </row>
    <row r="44" spans="2:22" x14ac:dyDescent="0.3">
      <c r="B44" s="14" t="s">
        <v>2</v>
      </c>
      <c r="C44" s="14"/>
      <c r="D44" s="14"/>
      <c r="E44" s="201">
        <f t="shared" ref="E44:E64" si="1">V44</f>
        <v>300123</v>
      </c>
      <c r="F44" s="201">
        <f>'Statements Summary 2024'!V45</f>
        <v>366450.91200000001</v>
      </c>
      <c r="G44" s="201">
        <f>'Statements Summary 2025'!V45</f>
        <v>425730</v>
      </c>
      <c r="H44" s="201">
        <f>'Statements Summary 2026'!V45</f>
        <v>585620</v>
      </c>
      <c r="I44" s="201">
        <f>'Statements Summary 2027'!V45</f>
        <v>656590</v>
      </c>
      <c r="K44" s="201">
        <f>'IS 2023'!F13</f>
        <v>280000</v>
      </c>
      <c r="L44" s="201">
        <f>'IS 2023'!G13</f>
        <v>270555</v>
      </c>
      <c r="M44" s="201">
        <f>'IS 2023'!H13</f>
        <v>286778</v>
      </c>
      <c r="N44" s="201">
        <f>'IS 2023'!I13</f>
        <v>295112</v>
      </c>
      <c r="O44" s="201">
        <f>'IS 2023'!J13</f>
        <v>320445</v>
      </c>
      <c r="P44" s="201">
        <f>'IS 2023'!K13</f>
        <v>349015</v>
      </c>
      <c r="Q44" s="201">
        <f>'IS 2023'!L13</f>
        <v>357998</v>
      </c>
      <c r="R44" s="201">
        <f>'IS 2023'!M13</f>
        <v>360821</v>
      </c>
      <c r="S44" s="201">
        <f>'IS 2023'!N13</f>
        <v>350123</v>
      </c>
      <c r="T44" s="201">
        <f>'IS 2023'!O13</f>
        <v>330015</v>
      </c>
      <c r="U44" s="201">
        <f>'IS 2023'!P13</f>
        <v>313011</v>
      </c>
      <c r="V44" s="201">
        <f>'IS 2023'!Q13</f>
        <v>300123</v>
      </c>
    </row>
    <row r="45" spans="2:22" x14ac:dyDescent="0.3">
      <c r="B45" t="s">
        <v>21</v>
      </c>
      <c r="E45" s="197">
        <f t="shared" si="1"/>
        <v>-4.1174271830702436E-2</v>
      </c>
      <c r="F45" s="6">
        <f>'Statements Summary 2024'!V46</f>
        <v>4.0916530278233172E-3</v>
      </c>
      <c r="G45" s="6">
        <f>'Statements Summary 2025'!V46</f>
        <v>7.8671328671328672E-2</v>
      </c>
      <c r="H45" s="6">
        <f>'Statements Summary 2026'!V46</f>
        <v>6.462035541195477E-3</v>
      </c>
      <c r="I45" s="6">
        <f>'Statements Summary 2027'!V46</f>
        <v>5.7595392368610509E-3</v>
      </c>
      <c r="K45" s="6"/>
      <c r="L45" s="6">
        <f t="shared" ref="L45" si="2">(L44-K44)/K44</f>
        <v>-3.3732142857142856E-2</v>
      </c>
      <c r="M45" s="6">
        <f>(M44-L44)/L44</f>
        <v>5.9961930106632665E-2</v>
      </c>
      <c r="N45" s="6">
        <f>(N44-M44)/M44</f>
        <v>2.906080661696504E-2</v>
      </c>
      <c r="O45" s="6">
        <f t="shared" ref="O45:T45" si="3">(O44-N44)/N44</f>
        <v>8.5841985415706576E-2</v>
      </c>
      <c r="P45" s="6">
        <f t="shared" si="3"/>
        <v>8.9157265677417344E-2</v>
      </c>
      <c r="Q45" s="6">
        <f t="shared" si="3"/>
        <v>2.5738148790166612E-2</v>
      </c>
      <c r="R45" s="6">
        <f t="shared" si="3"/>
        <v>7.885518913513483E-3</v>
      </c>
      <c r="S45" s="6">
        <f t="shared" si="3"/>
        <v>-2.9649050360150878E-2</v>
      </c>
      <c r="T45" s="6">
        <f t="shared" si="3"/>
        <v>-5.743124559083522E-2</v>
      </c>
      <c r="U45" s="6">
        <f>(U44-T44)/T44</f>
        <v>-5.1524930684968863E-2</v>
      </c>
      <c r="V45" s="6">
        <f t="shared" ref="V45" si="4">(V44-U44)/U44</f>
        <v>-4.1174271830702436E-2</v>
      </c>
    </row>
    <row r="46" spans="2:22" x14ac:dyDescent="0.3">
      <c r="B46" t="s">
        <v>3</v>
      </c>
      <c r="E46" s="197">
        <f t="shared" si="1"/>
        <v>-10390</v>
      </c>
      <c r="F46" s="197">
        <f>'Statements Summary 2024'!V47</f>
        <v>-10390</v>
      </c>
      <c r="G46" s="197">
        <f>'Statements Summary 2025'!V47</f>
        <v>8610</v>
      </c>
      <c r="H46" s="197">
        <f>'Statements Summary 2026'!V47</f>
        <v>-32544</v>
      </c>
      <c r="I46" s="197">
        <f>'Statements Summary 2027'!V47</f>
        <v>-38444</v>
      </c>
      <c r="K46" s="197">
        <f>'IS 2023'!F14</f>
        <v>-10390</v>
      </c>
      <c r="L46" s="197">
        <f>'IS 2023'!G14</f>
        <v>-10390</v>
      </c>
      <c r="M46" s="197">
        <f>'IS 2023'!H14</f>
        <v>-10390</v>
      </c>
      <c r="N46" s="197">
        <f>'IS 2023'!I14</f>
        <v>-10390</v>
      </c>
      <c r="O46" s="197">
        <f>'IS 2023'!J14</f>
        <v>-10390</v>
      </c>
      <c r="P46" s="197">
        <f>'IS 2023'!K14</f>
        <v>-10390</v>
      </c>
      <c r="Q46" s="197">
        <f>'IS 2023'!L14</f>
        <v>-10390</v>
      </c>
      <c r="R46" s="197">
        <f>'IS 2023'!M14</f>
        <v>-10390</v>
      </c>
      <c r="S46" s="197">
        <f>'IS 2023'!N14</f>
        <v>-10390</v>
      </c>
      <c r="T46" s="197">
        <f>'IS 2023'!O14</f>
        <v>-10390</v>
      </c>
      <c r="U46" s="197">
        <f>'IS 2023'!P14</f>
        <v>-10390</v>
      </c>
      <c r="V46" s="197">
        <f>'IS 2023'!Q14</f>
        <v>-10390</v>
      </c>
    </row>
    <row r="47" spans="2:22" x14ac:dyDescent="0.3">
      <c r="B47" t="s">
        <v>22</v>
      </c>
      <c r="E47" s="6">
        <f t="shared" si="1"/>
        <v>-3.4619139486144014E-2</v>
      </c>
      <c r="F47" s="6">
        <f>'Statements Summary 2024'!V48</f>
        <v>-2.8353047187940957E-2</v>
      </c>
      <c r="G47" s="6">
        <f>'Statements Summary 2025'!V48</f>
        <v>2.0224085688112185E-2</v>
      </c>
      <c r="H47" s="6">
        <f>'Statements Summary 2026'!V48</f>
        <v>-5.5571872545336569E-2</v>
      </c>
      <c r="I47" s="6">
        <f>'Statements Summary 2027'!V48</f>
        <v>-5.8550998339907706E-2</v>
      </c>
      <c r="K47" s="6">
        <f>K46/K44</f>
        <v>-3.7107142857142859E-2</v>
      </c>
      <c r="L47" s="6">
        <f t="shared" ref="L47:V47" si="5">L46/L44</f>
        <v>-3.8402542921032692E-2</v>
      </c>
      <c r="M47" s="6">
        <f t="shared" si="5"/>
        <v>-3.6230115280809549E-2</v>
      </c>
      <c r="N47" s="6">
        <f t="shared" si="5"/>
        <v>-3.520697226815582E-2</v>
      </c>
      <c r="O47" s="6">
        <f t="shared" si="5"/>
        <v>-3.2423660846635151E-2</v>
      </c>
      <c r="P47" s="6">
        <f t="shared" si="5"/>
        <v>-2.9769494147815996E-2</v>
      </c>
      <c r="Q47" s="6">
        <f t="shared" si="5"/>
        <v>-2.902250850563411E-2</v>
      </c>
      <c r="R47" s="6">
        <f t="shared" si="5"/>
        <v>-2.8795441507007628E-2</v>
      </c>
      <c r="S47" s="6">
        <f t="shared" si="5"/>
        <v>-2.9675285542509346E-2</v>
      </c>
      <c r="T47" s="6">
        <f t="shared" si="5"/>
        <v>-3.1483417420420282E-2</v>
      </c>
      <c r="U47" s="6">
        <f t="shared" si="5"/>
        <v>-3.3193721626396513E-2</v>
      </c>
      <c r="V47" s="6">
        <f t="shared" si="5"/>
        <v>-3.4619139486144014E-2</v>
      </c>
    </row>
    <row r="48" spans="2:22" x14ac:dyDescent="0.3">
      <c r="B48" t="s">
        <v>4</v>
      </c>
      <c r="E48" s="197">
        <f t="shared" si="1"/>
        <v>289733</v>
      </c>
      <c r="F48" s="197">
        <f>'Statements Summary 2024'!V49</f>
        <v>356060.91200000001</v>
      </c>
      <c r="G48" s="197">
        <f>'Statements Summary 2025'!V49</f>
        <v>434340</v>
      </c>
      <c r="H48" s="197">
        <f>'Statements Summary 2026'!V49</f>
        <v>553076</v>
      </c>
      <c r="I48" s="197">
        <f>'Statements Summary 2027'!V49</f>
        <v>618146</v>
      </c>
      <c r="K48" s="197">
        <f>'IS 2023'!F22</f>
        <v>269610</v>
      </c>
      <c r="L48" s="197">
        <f>'IS 2023'!G22</f>
        <v>260165</v>
      </c>
      <c r="M48" s="197">
        <f>'IS 2023'!H22</f>
        <v>276388</v>
      </c>
      <c r="N48" s="197">
        <f>'IS 2023'!I22</f>
        <v>284722</v>
      </c>
      <c r="O48" s="197">
        <f>'IS 2023'!J22</f>
        <v>310055</v>
      </c>
      <c r="P48" s="197">
        <f>'IS 2023'!K22</f>
        <v>338625</v>
      </c>
      <c r="Q48" s="197">
        <f>'IS 2023'!L22</f>
        <v>347608</v>
      </c>
      <c r="R48" s="197">
        <f>'IS 2023'!M22</f>
        <v>350431</v>
      </c>
      <c r="S48" s="197">
        <f>'IS 2023'!N22</f>
        <v>339733</v>
      </c>
      <c r="T48" s="197">
        <f>'IS 2023'!O22</f>
        <v>319625</v>
      </c>
      <c r="U48" s="197">
        <f>'IS 2023'!P22</f>
        <v>302621</v>
      </c>
      <c r="V48" s="197">
        <f>'IS 2023'!Q22</f>
        <v>289733</v>
      </c>
    </row>
    <row r="49" spans="2:22" x14ac:dyDescent="0.3">
      <c r="B49" t="s">
        <v>23</v>
      </c>
      <c r="E49" s="6">
        <f t="shared" si="1"/>
        <v>0.96538086051385597</v>
      </c>
      <c r="F49" s="6">
        <f>'Statements Summary 2024'!V50</f>
        <v>0.97164695281205904</v>
      </c>
      <c r="G49" s="6">
        <f>'Statements Summary 2025'!V50</f>
        <v>1.0202240856881122</v>
      </c>
      <c r="H49" s="6">
        <f>'Statements Summary 2026'!V50</f>
        <v>0.94442812745466342</v>
      </c>
      <c r="I49" s="6">
        <f>'Statements Summary 2027'!V50</f>
        <v>0.94144900166009227</v>
      </c>
      <c r="K49" s="6">
        <f>K48/K44</f>
        <v>0.96289285714285711</v>
      </c>
      <c r="L49" s="6">
        <f t="shared" ref="L49:V49" si="6">L48/L44</f>
        <v>0.96159745707896727</v>
      </c>
      <c r="M49" s="6">
        <f t="shared" si="6"/>
        <v>0.96376988471919045</v>
      </c>
      <c r="N49" s="6">
        <f t="shared" si="6"/>
        <v>0.96479302773184417</v>
      </c>
      <c r="O49" s="6">
        <f t="shared" si="6"/>
        <v>0.96757633915336483</v>
      </c>
      <c r="P49" s="6">
        <f t="shared" si="6"/>
        <v>0.97023050585218396</v>
      </c>
      <c r="Q49" s="6">
        <f t="shared" si="6"/>
        <v>0.97097749149436585</v>
      </c>
      <c r="R49" s="6">
        <f t="shared" si="6"/>
        <v>0.97120455849299236</v>
      </c>
      <c r="S49" s="6">
        <f t="shared" si="6"/>
        <v>0.97032471445749069</v>
      </c>
      <c r="T49" s="6">
        <f t="shared" si="6"/>
        <v>0.96851658257957973</v>
      </c>
      <c r="U49" s="6">
        <f t="shared" si="6"/>
        <v>0.96680627837360344</v>
      </c>
      <c r="V49" s="6">
        <f t="shared" si="6"/>
        <v>0.96538086051385597</v>
      </c>
    </row>
    <row r="50" spans="2:22" x14ac:dyDescent="0.3">
      <c r="B50" t="s">
        <v>5</v>
      </c>
      <c r="E50" s="197">
        <f t="shared" si="1"/>
        <v>-2285</v>
      </c>
      <c r="F50" s="197">
        <f>'Statements Summary 2024'!V51</f>
        <v>-2285</v>
      </c>
      <c r="G50" s="197">
        <f>'Statements Summary 2025'!V51</f>
        <v>-2285</v>
      </c>
      <c r="H50" s="197">
        <f>'Statements Summary 2026'!V51</f>
        <v>-17479</v>
      </c>
      <c r="I50" s="197">
        <f>'Statements Summary 2027'!V51</f>
        <v>-17479</v>
      </c>
      <c r="K50" s="197">
        <f>'IS 2023'!F34</f>
        <v>-2285</v>
      </c>
      <c r="L50" s="197">
        <f>'IS 2023'!G34</f>
        <v>-2285</v>
      </c>
      <c r="M50" s="197">
        <f>'IS 2023'!H34</f>
        <v>-2285</v>
      </c>
      <c r="N50" s="197">
        <f>'IS 2023'!I34</f>
        <v>-2285</v>
      </c>
      <c r="O50" s="197">
        <f>'IS 2023'!J34</f>
        <v>-2285</v>
      </c>
      <c r="P50" s="197">
        <f>'IS 2023'!K34</f>
        <v>-2285</v>
      </c>
      <c r="Q50" s="197">
        <f>'IS 2023'!L34</f>
        <v>-2285</v>
      </c>
      <c r="R50" s="197">
        <f>'IS 2023'!M34</f>
        <v>-2285</v>
      </c>
      <c r="S50" s="197">
        <f>'IS 2023'!N34</f>
        <v>-2285</v>
      </c>
      <c r="T50" s="197">
        <f>'IS 2023'!O34</f>
        <v>-2285</v>
      </c>
      <c r="U50" s="197">
        <f>'IS 2023'!P34</f>
        <v>-2285</v>
      </c>
      <c r="V50" s="197">
        <f>'IS 2023'!Q34</f>
        <v>-2285</v>
      </c>
    </row>
    <row r="51" spans="2:22" x14ac:dyDescent="0.3">
      <c r="B51" t="s">
        <v>22</v>
      </c>
      <c r="E51" s="6">
        <f t="shared" si="1"/>
        <v>-7.6135451131702668E-3</v>
      </c>
      <c r="F51" s="6">
        <f>'Statements Summary 2024'!V52</f>
        <v>-6.2354872785798932E-3</v>
      </c>
      <c r="G51" s="6">
        <f>'Statements Summary 2025'!V52</f>
        <v>-5.3672515444060792E-3</v>
      </c>
      <c r="H51" s="6">
        <f>'Statements Summary 2026'!V52</f>
        <v>-2.9846999760937125E-2</v>
      </c>
      <c r="I51" s="6">
        <f>'Statements Summary 2027'!V52</f>
        <v>-2.6620874518344783E-2</v>
      </c>
      <c r="K51" s="6">
        <f>K50/K44</f>
        <v>-8.160714285714285E-3</v>
      </c>
      <c r="L51" s="6">
        <f t="shared" ref="L51:V51" si="7">L50/L44</f>
        <v>-8.4456025577054564E-3</v>
      </c>
      <c r="M51" s="6">
        <f t="shared" si="7"/>
        <v>-7.9678357475120136E-3</v>
      </c>
      <c r="N51" s="6">
        <f t="shared" si="7"/>
        <v>-7.7428230637859525E-3</v>
      </c>
      <c r="O51" s="6">
        <f t="shared" si="7"/>
        <v>-7.1307088579943513E-3</v>
      </c>
      <c r="P51" s="6">
        <f t="shared" si="7"/>
        <v>-6.5469965474263285E-3</v>
      </c>
      <c r="Q51" s="6">
        <f t="shared" si="7"/>
        <v>-6.3827172218839214E-3</v>
      </c>
      <c r="R51" s="6">
        <f t="shared" si="7"/>
        <v>-6.3327799656893585E-3</v>
      </c>
      <c r="S51" s="6">
        <f t="shared" si="7"/>
        <v>-6.5262779080494573E-3</v>
      </c>
      <c r="T51" s="6">
        <f t="shared" si="7"/>
        <v>-6.9239277002560492E-3</v>
      </c>
      <c r="U51" s="6">
        <f t="shared" si="7"/>
        <v>-7.3000629370852778E-3</v>
      </c>
      <c r="V51" s="6">
        <f t="shared" si="7"/>
        <v>-7.6135451131702668E-3</v>
      </c>
    </row>
    <row r="52" spans="2:22" x14ac:dyDescent="0.3">
      <c r="B52" t="s">
        <v>190</v>
      </c>
      <c r="E52" s="197">
        <f t="shared" si="1"/>
        <v>-4063</v>
      </c>
      <c r="F52" s="197">
        <f>'Statements Summary 2024'!V53</f>
        <v>-4063</v>
      </c>
      <c r="G52" s="197">
        <f>'Statements Summary 2025'!V53</f>
        <v>-45063</v>
      </c>
      <c r="H52" s="197">
        <f>'Statements Summary 2026'!V53</f>
        <v>-45063</v>
      </c>
      <c r="I52" s="197">
        <f>'Statements Summary 2027'!V53</f>
        <v>-45063</v>
      </c>
      <c r="K52" s="197">
        <f>'IS 2023'!F35</f>
        <v>-4063</v>
      </c>
      <c r="L52" s="197">
        <f>'IS 2023'!G35</f>
        <v>-4063</v>
      </c>
      <c r="M52" s="197">
        <f>'IS 2023'!H35</f>
        <v>-4063</v>
      </c>
      <c r="N52" s="197">
        <f>'IS 2023'!I35</f>
        <v>-4063</v>
      </c>
      <c r="O52" s="197">
        <f>'IS 2023'!J35</f>
        <v>-4063</v>
      </c>
      <c r="P52" s="197">
        <f>'IS 2023'!K35</f>
        <v>-4063</v>
      </c>
      <c r="Q52" s="197">
        <f>'IS 2023'!L35</f>
        <v>-4063</v>
      </c>
      <c r="R52" s="197">
        <f>'IS 2023'!M35</f>
        <v>-4063</v>
      </c>
      <c r="S52" s="197">
        <f>'IS 2023'!N35</f>
        <v>-4063</v>
      </c>
      <c r="T52" s="197">
        <f>'IS 2023'!O35</f>
        <v>-4063</v>
      </c>
      <c r="U52" s="197">
        <f>'IS 2023'!P35</f>
        <v>-4063</v>
      </c>
      <c r="V52" s="197">
        <f>'IS 2023'!Q35</f>
        <v>-4063</v>
      </c>
    </row>
    <row r="53" spans="2:22" x14ac:dyDescent="0.3">
      <c r="B53" t="s">
        <v>22</v>
      </c>
      <c r="E53" s="6">
        <f t="shared" si="1"/>
        <v>-1.3537782842367962E-2</v>
      </c>
      <c r="F53" s="6">
        <f>'Statements Summary 2024'!V54</f>
        <v>-1.1087433178498952E-2</v>
      </c>
      <c r="G53" s="6">
        <f>'Statements Summary 2025'!V54</f>
        <v>-0.10584877739412303</v>
      </c>
      <c r="H53" s="6">
        <f>'Statements Summary 2026'!V54</f>
        <v>-7.6949216215293187E-2</v>
      </c>
      <c r="I53" s="6">
        <f>'Statements Summary 2027'!V54</f>
        <v>-6.863187072602385E-2</v>
      </c>
      <c r="K53" s="6">
        <f>K52/K44</f>
        <v>-1.4510714285714287E-2</v>
      </c>
      <c r="L53" s="6">
        <f t="shared" ref="L53:V53" si="8">L52/L44</f>
        <v>-1.5017279296261388E-2</v>
      </c>
      <c r="M53" s="6">
        <f t="shared" si="8"/>
        <v>-1.4167753453891162E-2</v>
      </c>
      <c r="N53" s="6">
        <f t="shared" si="8"/>
        <v>-1.3767654314294234E-2</v>
      </c>
      <c r="O53" s="6">
        <f t="shared" si="8"/>
        <v>-1.2679242927803524E-2</v>
      </c>
      <c r="P53" s="6">
        <f t="shared" si="8"/>
        <v>-1.1641333467042964E-2</v>
      </c>
      <c r="Q53" s="6">
        <f t="shared" si="8"/>
        <v>-1.1349225414667121E-2</v>
      </c>
      <c r="R53" s="6">
        <f t="shared" si="8"/>
        <v>-1.1260431072470838E-2</v>
      </c>
      <c r="S53" s="6">
        <f t="shared" si="8"/>
        <v>-1.1604493278076562E-2</v>
      </c>
      <c r="T53" s="6">
        <f t="shared" si="8"/>
        <v>-1.2311561595685045E-2</v>
      </c>
      <c r="U53" s="6">
        <f t="shared" si="8"/>
        <v>-1.2980374491631284E-2</v>
      </c>
      <c r="V53" s="6">
        <f t="shared" si="8"/>
        <v>-1.3537782842367962E-2</v>
      </c>
    </row>
    <row r="54" spans="2:22" x14ac:dyDescent="0.3">
      <c r="B54" t="s">
        <v>24</v>
      </c>
      <c r="E54" s="197">
        <f t="shared" si="1"/>
        <v>-8250</v>
      </c>
      <c r="F54" s="197">
        <f>'Statements Summary 2024'!V55</f>
        <v>-8250</v>
      </c>
      <c r="G54" s="197">
        <f>'Statements Summary 2025'!V55</f>
        <v>-8250</v>
      </c>
      <c r="H54" s="197">
        <f>'Statements Summary 2026'!V55</f>
        <v>-8250</v>
      </c>
      <c r="I54" s="197">
        <f>'Statements Summary 2027'!V55</f>
        <v>-8250</v>
      </c>
      <c r="K54" s="197">
        <f>'IS 2023'!F54</f>
        <v>-8250</v>
      </c>
      <c r="L54" s="197">
        <f>'IS 2023'!G54</f>
        <v>-8250</v>
      </c>
      <c r="M54" s="197">
        <f>'IS 2023'!H54</f>
        <v>-8250</v>
      </c>
      <c r="N54" s="197">
        <f>'IS 2023'!I54</f>
        <v>-8250</v>
      </c>
      <c r="O54" s="197">
        <f>'IS 2023'!J54</f>
        <v>-8250</v>
      </c>
      <c r="P54" s="197">
        <f>'IS 2023'!K54</f>
        <v>-8250</v>
      </c>
      <c r="Q54" s="197">
        <f>'IS 2023'!L54</f>
        <v>-8250</v>
      </c>
      <c r="R54" s="197">
        <f>'IS 2023'!M54</f>
        <v>-8250</v>
      </c>
      <c r="S54" s="197">
        <f>'IS 2023'!N54</f>
        <v>-8250</v>
      </c>
      <c r="T54" s="197">
        <f>'IS 2023'!O54</f>
        <v>-8250</v>
      </c>
      <c r="U54" s="197">
        <f>'IS 2023'!P54</f>
        <v>-8250</v>
      </c>
      <c r="V54" s="197">
        <f>'IS 2023'!Q54</f>
        <v>-8250</v>
      </c>
    </row>
    <row r="55" spans="2:22" x14ac:dyDescent="0.3">
      <c r="B55" t="s">
        <v>22</v>
      </c>
      <c r="E55" s="6">
        <f t="shared" si="1"/>
        <v>-2.748872962085545E-2</v>
      </c>
      <c r="F55" s="6">
        <f>'Statements Summary 2024'!V56</f>
        <v>-2.2513247285901147E-2</v>
      </c>
      <c r="G55" s="6">
        <f>'Statements Summary 2025'!V56</f>
        <v>-1.9378479317877527E-2</v>
      </c>
      <c r="H55" s="6">
        <f>'Statements Summary 2026'!V56</f>
        <v>-1.4087633619070387E-2</v>
      </c>
      <c r="I55" s="6">
        <f>'Statements Summary 2027'!V56</f>
        <v>-1.2564918746858771E-2</v>
      </c>
      <c r="K55" s="6">
        <f>K54/K44</f>
        <v>-2.9464285714285714E-2</v>
      </c>
      <c r="L55" s="6">
        <f t="shared" ref="L55:V55" si="9">L54/L44</f>
        <v>-3.0492875755391696E-2</v>
      </c>
      <c r="M55" s="6">
        <f t="shared" si="9"/>
        <v>-2.8767897119025866E-2</v>
      </c>
      <c r="N55" s="6">
        <f t="shared" si="9"/>
        <v>-2.7955488085879259E-2</v>
      </c>
      <c r="O55" s="6">
        <f t="shared" si="9"/>
        <v>-2.5745447736741093E-2</v>
      </c>
      <c r="P55" s="6">
        <f t="shared" si="9"/>
        <v>-2.3637952523530507E-2</v>
      </c>
      <c r="Q55" s="6">
        <f t="shared" si="9"/>
        <v>-2.3044821479449605E-2</v>
      </c>
      <c r="R55" s="6">
        <f t="shared" si="9"/>
        <v>-2.2864522852051296E-2</v>
      </c>
      <c r="S55" s="6">
        <f t="shared" si="9"/>
        <v>-2.3563147808056024E-2</v>
      </c>
      <c r="T55" s="6">
        <f t="shared" si="9"/>
        <v>-2.499886368801418E-2</v>
      </c>
      <c r="U55" s="6">
        <f t="shared" si="9"/>
        <v>-2.6356901195165663E-2</v>
      </c>
      <c r="V55" s="6">
        <f t="shared" si="9"/>
        <v>-2.748872962085545E-2</v>
      </c>
    </row>
    <row r="56" spans="2:22" x14ac:dyDescent="0.3">
      <c r="B56" s="14" t="s">
        <v>6</v>
      </c>
      <c r="C56" s="14"/>
      <c r="D56" s="14"/>
      <c r="E56" s="201">
        <f t="shared" si="1"/>
        <v>279198</v>
      </c>
      <c r="F56" s="201">
        <f>'Statements Summary 2024'!V57</f>
        <v>345525.91200000001</v>
      </c>
      <c r="G56" s="201">
        <f>'Statements Summary 2025'!V57</f>
        <v>423805</v>
      </c>
      <c r="H56" s="201">
        <f>'Statements Summary 2026'!V57</f>
        <v>527347</v>
      </c>
      <c r="I56" s="201">
        <f>'Statements Summary 2027'!V57</f>
        <v>592417</v>
      </c>
      <c r="K56" s="201">
        <f>'IS 2023'!F55</f>
        <v>259075</v>
      </c>
      <c r="L56" s="201">
        <f>'IS 2023'!G55</f>
        <v>249630</v>
      </c>
      <c r="M56" s="201">
        <f>'IS 2023'!H55</f>
        <v>265853</v>
      </c>
      <c r="N56" s="201">
        <f>'IS 2023'!I55</f>
        <v>274187</v>
      </c>
      <c r="O56" s="201">
        <f>'IS 2023'!J55</f>
        <v>299520</v>
      </c>
      <c r="P56" s="201">
        <f>'IS 2023'!K55</f>
        <v>328090</v>
      </c>
      <c r="Q56" s="201">
        <f>'IS 2023'!L55</f>
        <v>337073</v>
      </c>
      <c r="R56" s="201">
        <f>'IS 2023'!M55</f>
        <v>339896</v>
      </c>
      <c r="S56" s="201">
        <f>'IS 2023'!N55</f>
        <v>329198</v>
      </c>
      <c r="T56" s="201">
        <f>'IS 2023'!O55</f>
        <v>309090</v>
      </c>
      <c r="U56" s="201">
        <f>'IS 2023'!P55</f>
        <v>292086</v>
      </c>
      <c r="V56" s="201">
        <f>'IS 2023'!Q55</f>
        <v>279198</v>
      </c>
    </row>
    <row r="57" spans="2:22" x14ac:dyDescent="0.3">
      <c r="B57" t="s">
        <v>15</v>
      </c>
      <c r="E57" s="6">
        <f t="shared" si="1"/>
        <v>0.93027858577983025</v>
      </c>
      <c r="F57" s="6">
        <f>'Statements Summary 2024'!V58</f>
        <v>0.94289821824757802</v>
      </c>
      <c r="G57" s="6">
        <f>'Statements Summary 2025'!V58</f>
        <v>0.99547835482582858</v>
      </c>
      <c r="H57" s="6">
        <f>'Statements Summary 2026'!V58</f>
        <v>0.90049349407465595</v>
      </c>
      <c r="I57" s="6">
        <f>'Statements Summary 2027'!V58</f>
        <v>0.90226320839488872</v>
      </c>
      <c r="K57" s="6">
        <f>K56/K44</f>
        <v>0.9252678571428572</v>
      </c>
      <c r="L57" s="6">
        <f t="shared" ref="L57:V57" si="10">L56/L44</f>
        <v>0.92265897876587011</v>
      </c>
      <c r="M57" s="6">
        <f t="shared" si="10"/>
        <v>0.92703415185265259</v>
      </c>
      <c r="N57" s="6">
        <f t="shared" si="10"/>
        <v>0.92909471658217901</v>
      </c>
      <c r="O57" s="6">
        <f t="shared" si="10"/>
        <v>0.93470018255862941</v>
      </c>
      <c r="P57" s="6">
        <f t="shared" si="10"/>
        <v>0.94004555678122714</v>
      </c>
      <c r="Q57" s="6">
        <f t="shared" si="10"/>
        <v>0.94154995279303233</v>
      </c>
      <c r="R57" s="6">
        <f t="shared" si="10"/>
        <v>0.94200725567525168</v>
      </c>
      <c r="S57" s="6">
        <f t="shared" si="10"/>
        <v>0.94023528874138518</v>
      </c>
      <c r="T57" s="6">
        <f t="shared" si="10"/>
        <v>0.93659379119130948</v>
      </c>
      <c r="U57" s="6">
        <f t="shared" si="10"/>
        <v>0.9331493142413525</v>
      </c>
      <c r="V57" s="6">
        <f t="shared" si="10"/>
        <v>0.93027858577983025</v>
      </c>
    </row>
    <row r="58" spans="2:22" x14ac:dyDescent="0.3">
      <c r="B58" t="s">
        <v>7</v>
      </c>
      <c r="E58" s="197">
        <f t="shared" si="1"/>
        <v>-1711</v>
      </c>
      <c r="F58" s="197">
        <f>'Statements Summary 2024'!V59</f>
        <v>-1850</v>
      </c>
      <c r="G58" s="197">
        <f>'Statements Summary 2025'!V59</f>
        <v>-1911</v>
      </c>
      <c r="H58" s="197">
        <f>'Statements Summary 2026'!V59</f>
        <v>-1756</v>
      </c>
      <c r="I58" s="197">
        <f>'Statements Summary 2027'!V59</f>
        <v>-1800</v>
      </c>
      <c r="K58" s="5">
        <f>'IS 2023'!F56</f>
        <v>-1711</v>
      </c>
      <c r="L58" s="5">
        <f>'IS 2023'!G56</f>
        <v>-1711</v>
      </c>
      <c r="M58" s="5">
        <f>'IS 2023'!H56</f>
        <v>-1711</v>
      </c>
      <c r="N58" s="5">
        <f>'IS 2023'!I56</f>
        <v>-1711</v>
      </c>
      <c r="O58" s="5">
        <f>'IS 2023'!J56</f>
        <v>-1711</v>
      </c>
      <c r="P58" s="5">
        <f>'IS 2023'!K56</f>
        <v>-1711</v>
      </c>
      <c r="Q58" s="5">
        <f>'IS 2023'!L56</f>
        <v>-1711</v>
      </c>
      <c r="R58" s="5">
        <f>'IS 2023'!M56</f>
        <v>-1711</v>
      </c>
      <c r="S58" s="5">
        <f>'IS 2023'!N56</f>
        <v>-1711</v>
      </c>
      <c r="T58" s="5">
        <f>'IS 2023'!O56</f>
        <v>-1711</v>
      </c>
      <c r="U58" s="5">
        <f>'IS 2023'!P56</f>
        <v>-1711</v>
      </c>
      <c r="V58" s="5">
        <f>'IS 2023'!Q56</f>
        <v>-1711</v>
      </c>
    </row>
    <row r="59" spans="2:22" x14ac:dyDescent="0.3">
      <c r="B59" t="s">
        <v>8</v>
      </c>
      <c r="E59" s="197">
        <f t="shared" si="1"/>
        <v>277487</v>
      </c>
      <c r="F59" s="197">
        <f>'Statements Summary 2024'!V60</f>
        <v>343675.91200000001</v>
      </c>
      <c r="G59" s="197">
        <f>'Statements Summary 2025'!V60</f>
        <v>425716</v>
      </c>
      <c r="H59" s="197">
        <f>'Statements Summary 2026'!V60</f>
        <v>525591</v>
      </c>
      <c r="I59" s="197">
        <f>'Statements Summary 2027'!V60</f>
        <v>590617</v>
      </c>
      <c r="K59" s="197">
        <f>'IS 2023'!F57</f>
        <v>257364</v>
      </c>
      <c r="L59" s="197">
        <f>'IS 2023'!G57</f>
        <v>247919</v>
      </c>
      <c r="M59" s="197">
        <f>'IS 2023'!H57</f>
        <v>264142</v>
      </c>
      <c r="N59" s="197">
        <f>'IS 2023'!I57</f>
        <v>272476</v>
      </c>
      <c r="O59" s="197">
        <f>'IS 2023'!J57</f>
        <v>297809</v>
      </c>
      <c r="P59" s="197">
        <f>'IS 2023'!K57</f>
        <v>326379</v>
      </c>
      <c r="Q59" s="197">
        <f>'IS 2023'!L57</f>
        <v>335362</v>
      </c>
      <c r="R59" s="197">
        <f>'IS 2023'!M57</f>
        <v>338185</v>
      </c>
      <c r="S59" s="197">
        <f>'IS 2023'!N57</f>
        <v>327487</v>
      </c>
      <c r="T59" s="197">
        <f>'IS 2023'!O57</f>
        <v>307379</v>
      </c>
      <c r="U59" s="197">
        <f>'IS 2023'!P57</f>
        <v>290375</v>
      </c>
      <c r="V59" s="197">
        <f>'IS 2023'!Q57</f>
        <v>277487</v>
      </c>
    </row>
    <row r="60" spans="2:22" x14ac:dyDescent="0.3">
      <c r="B60" t="s">
        <v>9</v>
      </c>
      <c r="E60" s="197">
        <f t="shared" si="1"/>
        <v>-73000.400000000009</v>
      </c>
      <c r="F60" s="197">
        <f>'Statements Summary 2024'!V61</f>
        <v>-32637.200000000001</v>
      </c>
      <c r="G60" s="197">
        <f>'Statements Summary 2025'!V61</f>
        <v>0</v>
      </c>
      <c r="H60" s="197">
        <f>'Statements Summary 2026'!V61</f>
        <v>0</v>
      </c>
      <c r="I60" s="197">
        <f>'Statements Summary 2027'!V61</f>
        <v>0</v>
      </c>
      <c r="K60" s="206">
        <f>'IS 2023'!F58</f>
        <v>-110000</v>
      </c>
      <c r="L60" s="206">
        <f>'IS 2023'!G58</f>
        <v>-106636.40000000001</v>
      </c>
      <c r="M60" s="206">
        <f>'IS 2023'!H58</f>
        <v>-103272.8</v>
      </c>
      <c r="N60" s="206">
        <f>'IS 2023'!I58</f>
        <v>-99909.200000000012</v>
      </c>
      <c r="O60" s="206">
        <f>'IS 2023'!J58</f>
        <v>-96545.600000000006</v>
      </c>
      <c r="P60" s="206">
        <f>'IS 2023'!K58</f>
        <v>-93182</v>
      </c>
      <c r="Q60" s="206">
        <f>'IS 2023'!L58</f>
        <v>-89818.400000000009</v>
      </c>
      <c r="R60" s="206">
        <f>'IS 2023'!M58</f>
        <v>-86454.8</v>
      </c>
      <c r="S60" s="206">
        <f>'IS 2023'!N58</f>
        <v>-83091.200000000012</v>
      </c>
      <c r="T60" s="206">
        <f>'IS 2023'!O58</f>
        <v>-79727.600000000006</v>
      </c>
      <c r="U60" s="206">
        <f>'IS 2023'!P58</f>
        <v>-76364</v>
      </c>
      <c r="V60" s="206">
        <f>'IS 2023'!Q58</f>
        <v>-73000.400000000009</v>
      </c>
    </row>
    <row r="61" spans="2:22" x14ac:dyDescent="0.3">
      <c r="B61" t="s">
        <v>10</v>
      </c>
      <c r="E61" s="197">
        <f t="shared" si="1"/>
        <v>279198</v>
      </c>
      <c r="F61" s="197">
        <f>'Statements Summary 2024'!V62</f>
        <v>345525.91200000001</v>
      </c>
      <c r="G61" s="197">
        <f>'Statements Summary 2025'!V62</f>
        <v>423805</v>
      </c>
      <c r="H61" s="197">
        <f>'Statements Summary 2026'!V62</f>
        <v>527347</v>
      </c>
      <c r="I61" s="197">
        <f>'Statements Summary 2027'!V62</f>
        <v>592417</v>
      </c>
      <c r="K61" s="197">
        <f>'IS 2023'!F59</f>
        <v>259075</v>
      </c>
      <c r="L61" s="197">
        <f>'IS 2023'!G59</f>
        <v>249630</v>
      </c>
      <c r="M61" s="197">
        <f>'IS 2023'!H59</f>
        <v>265853</v>
      </c>
      <c r="N61" s="197">
        <f>'IS 2023'!I59</f>
        <v>274187</v>
      </c>
      <c r="O61" s="197">
        <f>'IS 2023'!J59</f>
        <v>299520</v>
      </c>
      <c r="P61" s="197">
        <f>'IS 2023'!K59</f>
        <v>328090</v>
      </c>
      <c r="Q61" s="197">
        <f>'IS 2023'!L59</f>
        <v>337073</v>
      </c>
      <c r="R61" s="197">
        <f>'IS 2023'!M59</f>
        <v>339896</v>
      </c>
      <c r="S61" s="197">
        <f>'IS 2023'!N59</f>
        <v>329198</v>
      </c>
      <c r="T61" s="197">
        <f>'IS 2023'!O59</f>
        <v>309090</v>
      </c>
      <c r="U61" s="197">
        <f>'IS 2023'!P59</f>
        <v>292086</v>
      </c>
      <c r="V61" s="197">
        <f>'IS 2023'!Q59</f>
        <v>279198</v>
      </c>
    </row>
    <row r="62" spans="2:22" x14ac:dyDescent="0.3">
      <c r="B62" t="s">
        <v>11</v>
      </c>
      <c r="E62" s="197">
        <f t="shared" si="1"/>
        <v>-55839.600000000006</v>
      </c>
      <c r="F62" s="197">
        <f>'Statements Summary 2024'!V63</f>
        <v>-69105.182400000005</v>
      </c>
      <c r="G62" s="197">
        <f>'Statements Summary 2025'!V63</f>
        <v>-84761</v>
      </c>
      <c r="H62" s="197">
        <f>'Statements Summary 2026'!V63</f>
        <v>-105469.40000000001</v>
      </c>
      <c r="I62" s="197">
        <f>'Statements Summary 2027'!V63</f>
        <v>-105469.40000000001</v>
      </c>
      <c r="K62" s="197">
        <f>'IS 2023'!F60</f>
        <v>-51815</v>
      </c>
      <c r="L62" s="197">
        <f>'IS 2023'!G60</f>
        <v>-49926</v>
      </c>
      <c r="M62" s="197">
        <f>'IS 2023'!H60</f>
        <v>-53170.600000000006</v>
      </c>
      <c r="N62" s="197">
        <f>'IS 2023'!I60</f>
        <v>-54837.4</v>
      </c>
      <c r="O62" s="197">
        <f>'IS 2023'!J60</f>
        <v>-59904</v>
      </c>
      <c r="P62" s="197">
        <f>'IS 2023'!K60</f>
        <v>-65618</v>
      </c>
      <c r="Q62" s="197">
        <f>'IS 2023'!L60</f>
        <v>-67414.600000000006</v>
      </c>
      <c r="R62" s="197">
        <f>'IS 2023'!M60</f>
        <v>-67979.199999999997</v>
      </c>
      <c r="S62" s="197">
        <f>'IS 2023'!N60</f>
        <v>-65839.600000000006</v>
      </c>
      <c r="T62" s="197">
        <f>'IS 2023'!O60</f>
        <v>-61818</v>
      </c>
      <c r="U62" s="197">
        <f>'IS 2023'!P60</f>
        <v>-58417.200000000004</v>
      </c>
      <c r="V62" s="197">
        <f>'IS 2023'!Q60</f>
        <v>-55839.600000000006</v>
      </c>
    </row>
    <row r="63" spans="2:22" x14ac:dyDescent="0.3">
      <c r="B63" s="14" t="s">
        <v>12</v>
      </c>
      <c r="C63" s="14"/>
      <c r="D63" s="14"/>
      <c r="E63" s="201">
        <f t="shared" si="1"/>
        <v>223358.4</v>
      </c>
      <c r="F63" s="201">
        <f>'Statements Summary 2024'!V64</f>
        <v>276420.72960000002</v>
      </c>
      <c r="G63" s="201">
        <f>'Statements Summary 2025'!V64</f>
        <v>339044</v>
      </c>
      <c r="H63" s="201">
        <f>'Statements Summary 2026'!V64</f>
        <v>421877.6</v>
      </c>
      <c r="I63" s="201">
        <f>'Statements Summary 2027'!V64</f>
        <v>473933.6</v>
      </c>
      <c r="K63" s="201">
        <f>'IS 2023'!F61</f>
        <v>207260</v>
      </c>
      <c r="L63" s="201">
        <f>'IS 2023'!G61</f>
        <v>199704</v>
      </c>
      <c r="M63" s="201">
        <f>'IS 2023'!H61</f>
        <v>212682.4</v>
      </c>
      <c r="N63" s="201">
        <f>'IS 2023'!I61</f>
        <v>219349.6</v>
      </c>
      <c r="O63" s="201">
        <f>'IS 2023'!J61</f>
        <v>239616</v>
      </c>
      <c r="P63" s="201">
        <f>'IS 2023'!K61</f>
        <v>262472</v>
      </c>
      <c r="Q63" s="201">
        <f>'IS 2023'!L61</f>
        <v>269658.40000000002</v>
      </c>
      <c r="R63" s="201">
        <f>'IS 2023'!M61</f>
        <v>271916.79999999999</v>
      </c>
      <c r="S63" s="201">
        <f>'IS 2023'!N61</f>
        <v>263358.40000000002</v>
      </c>
      <c r="T63" s="201">
        <f>'IS 2023'!O61</f>
        <v>247272</v>
      </c>
      <c r="U63" s="201">
        <f>'IS 2023'!P61</f>
        <v>233668.8</v>
      </c>
      <c r="V63" s="201">
        <f>'IS 2023'!Q61</f>
        <v>223358.4</v>
      </c>
    </row>
    <row r="64" spans="2:22" x14ac:dyDescent="0.3">
      <c r="B64" t="s">
        <v>13</v>
      </c>
      <c r="E64" s="6">
        <f t="shared" si="1"/>
        <v>0.74422286862386422</v>
      </c>
      <c r="F64" s="6">
        <f>'Statements Summary 2024'!V65</f>
        <v>0.7543185745980624</v>
      </c>
      <c r="G64" s="6">
        <f>'Statements Summary 2025'!V65</f>
        <v>0.79638268386066291</v>
      </c>
      <c r="H64" s="6">
        <f>'Statements Summary 2026'!V65</f>
        <v>0.72039479525972472</v>
      </c>
      <c r="I64" s="6">
        <f>'Statements Summary 2027'!V65</f>
        <v>0.72181056671591093</v>
      </c>
      <c r="K64" s="6">
        <f>K63/K44</f>
        <v>0.74021428571428571</v>
      </c>
      <c r="L64" s="6">
        <f t="shared" ref="L64:V64" si="11">L63/L44</f>
        <v>0.73812718301269609</v>
      </c>
      <c r="M64" s="6">
        <f t="shared" si="11"/>
        <v>0.74162732148212207</v>
      </c>
      <c r="N64" s="6">
        <f t="shared" si="11"/>
        <v>0.74327577326574323</v>
      </c>
      <c r="O64" s="6">
        <f t="shared" si="11"/>
        <v>0.74776014604690355</v>
      </c>
      <c r="P64" s="6">
        <f t="shared" si="11"/>
        <v>0.75203644542498171</v>
      </c>
      <c r="Q64" s="6">
        <f t="shared" si="11"/>
        <v>0.75323996223442591</v>
      </c>
      <c r="R64" s="6">
        <f t="shared" si="11"/>
        <v>0.75360580454020132</v>
      </c>
      <c r="S64" s="6">
        <f t="shared" si="11"/>
        <v>0.75218823099310816</v>
      </c>
      <c r="T64" s="6">
        <f t="shared" si="11"/>
        <v>0.74927503295304754</v>
      </c>
      <c r="U64" s="6">
        <f t="shared" si="11"/>
        <v>0.74651945139308196</v>
      </c>
      <c r="V64" s="6">
        <f t="shared" si="11"/>
        <v>0.74422286862386422</v>
      </c>
    </row>
    <row r="66" spans="2:22" x14ac:dyDescent="0.3">
      <c r="B66" s="172" t="s">
        <v>225</v>
      </c>
      <c r="C66" s="145"/>
      <c r="D66" s="145"/>
      <c r="E66" s="145"/>
      <c r="F66" s="145"/>
      <c r="G66" s="145"/>
      <c r="H66" s="145"/>
      <c r="I66" s="145"/>
      <c r="K66" s="334" t="s">
        <v>196</v>
      </c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34"/>
    </row>
    <row r="83" spans="2:22" x14ac:dyDescent="0.3">
      <c r="B83" s="172" t="s">
        <v>226</v>
      </c>
      <c r="C83" s="172"/>
      <c r="D83" s="172"/>
      <c r="E83" s="172"/>
      <c r="F83" s="145"/>
      <c r="G83" s="145"/>
      <c r="H83" s="145"/>
      <c r="I83" s="145"/>
      <c r="J83" s="145"/>
      <c r="K83" s="334" t="s">
        <v>91</v>
      </c>
      <c r="L83" s="334"/>
      <c r="M83" s="334"/>
      <c r="N83" s="334"/>
      <c r="O83" s="334"/>
      <c r="P83" s="334"/>
      <c r="Q83" s="334"/>
      <c r="R83" s="334"/>
      <c r="S83" s="334"/>
      <c r="T83" s="334"/>
      <c r="U83" s="334"/>
      <c r="V83" s="334"/>
    </row>
    <row r="85" spans="2:22" x14ac:dyDescent="0.3">
      <c r="B85" s="185" t="s">
        <v>20</v>
      </c>
      <c r="C85" s="185"/>
      <c r="D85" s="185"/>
      <c r="E85" s="186">
        <v>2023</v>
      </c>
      <c r="F85" s="186">
        <v>2024</v>
      </c>
      <c r="G85" s="186">
        <v>2025</v>
      </c>
      <c r="H85" s="186">
        <v>2026</v>
      </c>
      <c r="I85" s="186">
        <v>2027</v>
      </c>
      <c r="J85" s="185"/>
      <c r="K85" s="186" t="s">
        <v>25</v>
      </c>
      <c r="L85" s="186" t="s">
        <v>26</v>
      </c>
      <c r="M85" s="186" t="s">
        <v>27</v>
      </c>
      <c r="N85" s="186" t="s">
        <v>28</v>
      </c>
      <c r="O85" s="186" t="s">
        <v>29</v>
      </c>
      <c r="P85" s="186" t="s">
        <v>30</v>
      </c>
      <c r="Q85" s="186" t="s">
        <v>31</v>
      </c>
      <c r="R85" s="186" t="s">
        <v>32</v>
      </c>
      <c r="S85" s="186" t="s">
        <v>33</v>
      </c>
      <c r="T85" s="186" t="s">
        <v>34</v>
      </c>
      <c r="U85" s="186" t="s">
        <v>35</v>
      </c>
      <c r="V85" s="186" t="s">
        <v>36</v>
      </c>
    </row>
    <row r="86" spans="2:22" x14ac:dyDescent="0.3">
      <c r="B86" t="s">
        <v>48</v>
      </c>
      <c r="E86" s="197">
        <f t="shared" ref="E86:E97" si="12">V86</f>
        <v>1810916.4</v>
      </c>
      <c r="F86" s="197">
        <f>'Statements Summary 2024'!V88</f>
        <v>4465791.5807999996</v>
      </c>
      <c r="G86" s="197">
        <f>'Statements Summary 2025'!V88</f>
        <v>8073112.3807999995</v>
      </c>
      <c r="H86" s="197">
        <f>'Statements Summary 2026'!V88</f>
        <v>13545694.380800003</v>
      </c>
      <c r="I86" s="197">
        <f>'Statements Summary 2027'!V88</f>
        <v>19710636.380800001</v>
      </c>
      <c r="K86" s="197">
        <f>'BS 2023'!F14</f>
        <v>117560</v>
      </c>
      <c r="L86" s="197">
        <f>'BS 2023'!G14</f>
        <v>214109.59999999998</v>
      </c>
      <c r="M86" s="197">
        <f>'BS 2023'!H14</f>
        <v>327001.19999999995</v>
      </c>
      <c r="N86" s="197">
        <f>'BS 2023'!I14</f>
        <v>449923.6</v>
      </c>
      <c r="O86" s="197">
        <f>'BS 2023'!J14</f>
        <v>596476</v>
      </c>
      <c r="P86" s="197">
        <f>'BS 2023'!K14</f>
        <v>769248</v>
      </c>
      <c r="Q86" s="197">
        <f>'BS 2023'!L14</f>
        <v>952570</v>
      </c>
      <c r="R86" s="197">
        <f>'BS 2023'!M14</f>
        <v>1141514</v>
      </c>
      <c r="S86" s="197">
        <f>'BS 2023'!N14</f>
        <v>1325263.2</v>
      </c>
      <c r="T86" s="197">
        <f>'BS 2023'!O14</f>
        <v>1496289.5999999999</v>
      </c>
      <c r="U86" s="197">
        <f>'BS 2023'!P14</f>
        <v>1657076.4</v>
      </c>
      <c r="V86" s="197">
        <f>'BS 2023'!Q14</f>
        <v>1810916.4</v>
      </c>
    </row>
    <row r="87" spans="2:22" x14ac:dyDescent="0.3">
      <c r="B87" t="s">
        <v>49</v>
      </c>
      <c r="E87" s="197">
        <f t="shared" si="12"/>
        <v>470532</v>
      </c>
      <c r="F87" s="197">
        <f>'Statements Summary 2024'!V89</f>
        <v>488332</v>
      </c>
      <c r="G87" s="197">
        <f>'Statements Summary 2025'!V89</f>
        <v>509481</v>
      </c>
      <c r="H87" s="197">
        <f>'Statements Summary 2026'!V89</f>
        <v>531018</v>
      </c>
      <c r="I87" s="197">
        <f>'Statements Summary 2027'!V89</f>
        <v>552400</v>
      </c>
      <c r="K87" s="197">
        <f>'BS 2023'!F19</f>
        <v>451711</v>
      </c>
      <c r="L87" s="197">
        <f>'BS 2023'!G19</f>
        <v>453422</v>
      </c>
      <c r="M87" s="197">
        <f>'BS 2023'!H19</f>
        <v>455133</v>
      </c>
      <c r="N87" s="197">
        <f>'BS 2023'!I19</f>
        <v>456844</v>
      </c>
      <c r="O87" s="197">
        <f>'BS 2023'!J19</f>
        <v>458555</v>
      </c>
      <c r="P87" s="197">
        <f>'BS 2023'!K19</f>
        <v>460266</v>
      </c>
      <c r="Q87" s="197">
        <f>'BS 2023'!L19</f>
        <v>461977</v>
      </c>
      <c r="R87" s="197">
        <f>'BS 2023'!M19</f>
        <v>463688</v>
      </c>
      <c r="S87" s="197">
        <f>'BS 2023'!N19</f>
        <v>465399</v>
      </c>
      <c r="T87" s="197">
        <f>'BS 2023'!O19</f>
        <v>467110</v>
      </c>
      <c r="U87" s="197">
        <f>'BS 2023'!P19</f>
        <v>468821</v>
      </c>
      <c r="V87" s="197">
        <f>'BS 2023'!Q19</f>
        <v>470532</v>
      </c>
    </row>
    <row r="88" spans="2:22" x14ac:dyDescent="0.3">
      <c r="B88" t="s">
        <v>50</v>
      </c>
      <c r="E88" s="197">
        <f t="shared" si="12"/>
        <v>2281448.4</v>
      </c>
      <c r="F88" s="197">
        <f>'Statements Summary 2024'!V90</f>
        <v>4954123.5807999996</v>
      </c>
      <c r="G88" s="197">
        <f>'Statements Summary 2025'!V90</f>
        <v>8582593.3807999995</v>
      </c>
      <c r="H88" s="197">
        <f>'Statements Summary 2026'!V90</f>
        <v>14076712.380800003</v>
      </c>
      <c r="I88" s="197">
        <f>'Statements Summary 2027'!V90</f>
        <v>20263036.380800001</v>
      </c>
      <c r="K88" s="197">
        <f>'BS 2023'!F20</f>
        <v>569271</v>
      </c>
      <c r="L88" s="197">
        <f>'BS 2023'!G20</f>
        <v>667531.6</v>
      </c>
      <c r="M88" s="197">
        <f>'BS 2023'!H20</f>
        <v>782134.2</v>
      </c>
      <c r="N88" s="197">
        <f>'BS 2023'!I20</f>
        <v>906767.6</v>
      </c>
      <c r="O88" s="197">
        <f>'BS 2023'!J20</f>
        <v>1055031</v>
      </c>
      <c r="P88" s="197">
        <f>'BS 2023'!K20</f>
        <v>1229514</v>
      </c>
      <c r="Q88" s="197">
        <f>'BS 2023'!L20</f>
        <v>1414547</v>
      </c>
      <c r="R88" s="197">
        <f>'BS 2023'!M20</f>
        <v>1605202</v>
      </c>
      <c r="S88" s="197">
        <f>'BS 2023'!N20</f>
        <v>1790662.2</v>
      </c>
      <c r="T88" s="197">
        <f>'BS 2023'!O20</f>
        <v>1963399.5999999999</v>
      </c>
      <c r="U88" s="197">
        <f>'BS 2023'!P20</f>
        <v>2125897.4</v>
      </c>
      <c r="V88" s="197">
        <f>'BS 2023'!Q20</f>
        <v>2281448.4</v>
      </c>
    </row>
    <row r="89" spans="2:22" x14ac:dyDescent="0.3">
      <c r="B89" t="s">
        <v>51</v>
      </c>
      <c r="E89" s="197">
        <f t="shared" si="12"/>
        <v>-55839.600000000006</v>
      </c>
      <c r="F89" s="197">
        <f>'Statements Summary 2024'!V91</f>
        <v>-69105.182400000005</v>
      </c>
      <c r="G89" s="197">
        <f>'Statements Summary 2025'!V91</f>
        <v>-84761</v>
      </c>
      <c r="H89" s="197">
        <f>'Statements Summary 2026'!V91</f>
        <v>-105469.40000000001</v>
      </c>
      <c r="I89" s="197">
        <f>'Statements Summary 2027'!V91</f>
        <v>-118483.40000000001</v>
      </c>
      <c r="K89" s="197"/>
      <c r="L89" s="197">
        <f>'BS 2023'!G25</f>
        <v>-49926</v>
      </c>
      <c r="M89" s="197">
        <f>'BS 2023'!H25</f>
        <v>-53170.600000000006</v>
      </c>
      <c r="N89" s="197">
        <f>'BS 2023'!I25</f>
        <v>-54837.4</v>
      </c>
      <c r="O89" s="197">
        <f>'BS 2023'!J25</f>
        <v>-59904</v>
      </c>
      <c r="P89" s="197">
        <f>'BS 2023'!K25</f>
        <v>-65618</v>
      </c>
      <c r="Q89" s="197">
        <f>'BS 2023'!L25</f>
        <v>-67414.600000000006</v>
      </c>
      <c r="R89" s="197">
        <f>'BS 2023'!M25</f>
        <v>-67979.199999999997</v>
      </c>
      <c r="S89" s="197">
        <f>'BS 2023'!N25</f>
        <v>-65839.600000000006</v>
      </c>
      <c r="T89" s="197">
        <f>'BS 2023'!O25</f>
        <v>-61818</v>
      </c>
      <c r="U89" s="197">
        <f>'BS 2023'!P25</f>
        <v>-58417.200000000004</v>
      </c>
      <c r="V89" s="197">
        <f>'BS 2023'!Q25</f>
        <v>-55839.600000000006</v>
      </c>
    </row>
    <row r="90" spans="2:22" x14ac:dyDescent="0.3">
      <c r="B90" t="s">
        <v>195</v>
      </c>
      <c r="E90" s="197">
        <f t="shared" si="12"/>
        <v>-365002</v>
      </c>
      <c r="F90" s="197">
        <f>'Statements Summary 2024'!V92</f>
        <v>-163186</v>
      </c>
      <c r="G90" s="197">
        <f>'Statements Summary 2025'!V92</f>
        <v>0</v>
      </c>
      <c r="H90" s="197">
        <f>'Statements Summary 2026'!V92</f>
        <v>0</v>
      </c>
      <c r="I90" s="197">
        <f>'Statements Summary 2027'!V92</f>
        <v>0</v>
      </c>
      <c r="K90" s="197">
        <f>'BS 2023'!F27</f>
        <v>-550000</v>
      </c>
      <c r="L90" s="197">
        <f>'BS 2023'!G27</f>
        <v>-533182</v>
      </c>
      <c r="M90" s="197">
        <f>'BS 2023'!H27</f>
        <v>-516364</v>
      </c>
      <c r="N90" s="197">
        <f>'BS 2023'!I27</f>
        <v>-499546</v>
      </c>
      <c r="O90" s="197">
        <f>'BS 2023'!J27</f>
        <v>-482728</v>
      </c>
      <c r="P90" s="197">
        <f>'BS 2023'!K27</f>
        <v>-465910</v>
      </c>
      <c r="Q90" s="197">
        <f>'BS 2023'!L27</f>
        <v>-449092</v>
      </c>
      <c r="R90" s="197">
        <f>'BS 2023'!M27</f>
        <v>-432274</v>
      </c>
      <c r="S90" s="197">
        <f>'BS 2023'!N27</f>
        <v>-415456</v>
      </c>
      <c r="T90" s="197">
        <f>'BS 2023'!O27</f>
        <v>-398638</v>
      </c>
      <c r="U90" s="197">
        <f>'BS 2023'!P27</f>
        <v>-381820</v>
      </c>
      <c r="V90" s="197">
        <f>'BS 2023'!Q27</f>
        <v>-365002</v>
      </c>
    </row>
    <row r="91" spans="2:22" x14ac:dyDescent="0.3">
      <c r="B91" t="s">
        <v>53</v>
      </c>
      <c r="E91" s="197">
        <f t="shared" si="12"/>
        <v>-420841.6</v>
      </c>
      <c r="F91" s="197">
        <f>'Statements Summary 2024'!V93</f>
        <v>-232291.18239999999</v>
      </c>
      <c r="G91" s="197">
        <f>'Statements Summary 2025'!V93</f>
        <v>-84761</v>
      </c>
      <c r="H91" s="197">
        <f>'Statements Summary 2026'!V93</f>
        <v>-105469.40000000001</v>
      </c>
      <c r="I91" s="197">
        <f>'Statements Summary 2027'!V93</f>
        <v>-118483.40000000001</v>
      </c>
      <c r="K91" s="197">
        <f>'BS 2023'!F32</f>
        <v>-601815</v>
      </c>
      <c r="L91" s="197">
        <f>'BS 2023'!G32</f>
        <v>-583108</v>
      </c>
      <c r="M91" s="197">
        <f>'BS 2023'!H32</f>
        <v>-569534.6</v>
      </c>
      <c r="N91" s="197">
        <f>'BS 2023'!I32</f>
        <v>-554383.4</v>
      </c>
      <c r="O91" s="197">
        <f>'BS 2023'!J32</f>
        <v>-542632</v>
      </c>
      <c r="P91" s="197">
        <f>'BS 2023'!K32</f>
        <v>-531528</v>
      </c>
      <c r="Q91" s="197">
        <f>'BS 2023'!L32</f>
        <v>-516506.6</v>
      </c>
      <c r="R91" s="197">
        <f>'BS 2023'!M32</f>
        <v>-500253.2</v>
      </c>
      <c r="S91" s="197">
        <f>'BS 2023'!N32</f>
        <v>-481295.6</v>
      </c>
      <c r="T91" s="197">
        <f>'BS 2023'!O32</f>
        <v>-460456</v>
      </c>
      <c r="U91" s="197">
        <f>'BS 2023'!P32</f>
        <v>-440237.2</v>
      </c>
      <c r="V91" s="197">
        <f>'BS 2023'!Q32</f>
        <v>-420841.6</v>
      </c>
    </row>
    <row r="92" spans="2:22" x14ac:dyDescent="0.3">
      <c r="B92" t="s">
        <v>54</v>
      </c>
      <c r="E92" s="197">
        <f t="shared" si="12"/>
        <v>1860606.7999999998</v>
      </c>
      <c r="F92" s="197">
        <f>'Statements Summary 2024'!V94</f>
        <v>4721832.3983999994</v>
      </c>
      <c r="G92" s="197">
        <f>'Statements Summary 2025'!V94</f>
        <v>8497832.3807999995</v>
      </c>
      <c r="H92" s="197">
        <f>'Statements Summary 2026'!V94</f>
        <v>13971242.980800003</v>
      </c>
      <c r="I92" s="197">
        <f>'Statements Summary 2027'!V94</f>
        <v>20144552.980800003</v>
      </c>
      <c r="K92" s="197">
        <f>'BS 2023'!F33</f>
        <v>-32544</v>
      </c>
      <c r="L92" s="197">
        <f>'BS 2023'!G33</f>
        <v>84423.599999999977</v>
      </c>
      <c r="M92" s="197">
        <f>'BS 2023'!H33</f>
        <v>212599.59999999998</v>
      </c>
      <c r="N92" s="197">
        <f>'BS 2023'!I33</f>
        <v>352384.19999999995</v>
      </c>
      <c r="O92" s="197">
        <f>'BS 2023'!J33</f>
        <v>512399</v>
      </c>
      <c r="P92" s="197">
        <f>'BS 2023'!K33</f>
        <v>697986</v>
      </c>
      <c r="Q92" s="197">
        <f>'BS 2023'!L33</f>
        <v>898040.4</v>
      </c>
      <c r="R92" s="197">
        <f>'BS 2023'!M33</f>
        <v>1104948.8</v>
      </c>
      <c r="S92" s="197">
        <f>'BS 2023'!N33</f>
        <v>1309366.6000000001</v>
      </c>
      <c r="T92" s="197">
        <f>'BS 2023'!O33</f>
        <v>1502943.5999999999</v>
      </c>
      <c r="U92" s="197">
        <f>'BS 2023'!P33</f>
        <v>1685660.2</v>
      </c>
      <c r="V92" s="197">
        <f>'BS 2023'!Q33</f>
        <v>1860606.7999999998</v>
      </c>
    </row>
    <row r="93" spans="2:22" x14ac:dyDescent="0.3">
      <c r="B93" t="s">
        <v>55</v>
      </c>
      <c r="E93" s="197">
        <f t="shared" si="12"/>
        <v>1810916.4</v>
      </c>
      <c r="F93" s="197">
        <f>'Statements Summary 2024'!V95</f>
        <v>4465791.5807999996</v>
      </c>
      <c r="G93" s="197">
        <f>'Statements Summary 2025'!V95</f>
        <v>8073112.3807999995</v>
      </c>
      <c r="H93" s="197">
        <f>'Statements Summary 2026'!V95</f>
        <v>13545694.380800003</v>
      </c>
      <c r="I93" s="197">
        <f>'Statements Summary 2027'!V95</f>
        <v>19710636.380800001</v>
      </c>
      <c r="K93" s="197">
        <f>'BS 2023'!F14</f>
        <v>117560</v>
      </c>
      <c r="L93" s="197">
        <f>'BS 2023'!G14</f>
        <v>214109.59999999998</v>
      </c>
      <c r="M93" s="197">
        <f>'BS 2023'!H14</f>
        <v>327001.19999999995</v>
      </c>
      <c r="N93" s="197">
        <f>'BS 2023'!I14</f>
        <v>449923.6</v>
      </c>
      <c r="O93" s="197">
        <f>'BS 2023'!J14</f>
        <v>596476</v>
      </c>
      <c r="P93" s="197">
        <f>'BS 2023'!K14</f>
        <v>769248</v>
      </c>
      <c r="Q93" s="197">
        <f>'BS 2023'!L14</f>
        <v>952570</v>
      </c>
      <c r="R93" s="197">
        <f>'BS 2023'!M14</f>
        <v>1141514</v>
      </c>
      <c r="S93" s="197">
        <f>'BS 2023'!N14</f>
        <v>1325263.2</v>
      </c>
      <c r="T93" s="197">
        <f>'BS 2023'!O14</f>
        <v>1496289.5999999999</v>
      </c>
      <c r="U93" s="197">
        <f>'BS 2023'!P14</f>
        <v>1657076.4</v>
      </c>
      <c r="V93" s="197">
        <f>'BS 2023'!Q14</f>
        <v>1810916.4</v>
      </c>
    </row>
    <row r="94" spans="2:22" x14ac:dyDescent="0.3">
      <c r="B94" t="s">
        <v>56</v>
      </c>
      <c r="E94" s="197" t="str">
        <f t="shared" si="12"/>
        <v>-</v>
      </c>
      <c r="F94" s="197" t="str">
        <f>'Statements Summary 2024'!V96</f>
        <v>-</v>
      </c>
      <c r="G94" s="197" t="str">
        <f>'Statements Summary 2025'!V96</f>
        <v>-</v>
      </c>
      <c r="H94" s="197" t="str">
        <f>'Statements Summary 2026'!V96</f>
        <v>-</v>
      </c>
      <c r="I94" s="197" t="str">
        <f>'Statements Summary 2027'!V96</f>
        <v>-</v>
      </c>
      <c r="K94" s="197" t="s">
        <v>189</v>
      </c>
      <c r="L94" s="197" t="s">
        <v>189</v>
      </c>
      <c r="M94" s="197" t="s">
        <v>189</v>
      </c>
      <c r="N94" s="197" t="s">
        <v>189</v>
      </c>
      <c r="O94" s="197" t="s">
        <v>189</v>
      </c>
      <c r="P94" s="197" t="s">
        <v>189</v>
      </c>
      <c r="Q94" s="197" t="s">
        <v>189</v>
      </c>
      <c r="R94" s="197" t="s">
        <v>189</v>
      </c>
      <c r="S94" s="197" t="s">
        <v>189</v>
      </c>
      <c r="T94" s="197" t="s">
        <v>189</v>
      </c>
      <c r="U94" s="197" t="s">
        <v>189</v>
      </c>
      <c r="V94" s="197" t="s">
        <v>189</v>
      </c>
    </row>
    <row r="95" spans="2:22" x14ac:dyDescent="0.3">
      <c r="B95" t="s">
        <v>57</v>
      </c>
      <c r="E95" s="197">
        <f t="shared" si="12"/>
        <v>0</v>
      </c>
      <c r="F95" s="197">
        <f>'Statements Summary 2024'!V97</f>
        <v>0</v>
      </c>
      <c r="G95" s="197">
        <f>'Statements Summary 2025'!V97</f>
        <v>0</v>
      </c>
      <c r="H95" s="197">
        <f>'Statements Summary 2026'!V97</f>
        <v>0</v>
      </c>
      <c r="I95" s="197">
        <f>'Statements Summary 2027'!V97</f>
        <v>0</v>
      </c>
      <c r="K95" s="197" t="s">
        <v>189</v>
      </c>
      <c r="L95" s="197" t="s">
        <v>189</v>
      </c>
      <c r="M95" s="197" t="s">
        <v>189</v>
      </c>
      <c r="N95" s="197" t="s">
        <v>189</v>
      </c>
      <c r="O95" s="197" t="s">
        <v>189</v>
      </c>
      <c r="P95" s="197" t="s">
        <v>189</v>
      </c>
      <c r="Q95" s="197" t="s">
        <v>189</v>
      </c>
      <c r="R95" s="197" t="s">
        <v>189</v>
      </c>
      <c r="S95" s="197" t="s">
        <v>189</v>
      </c>
      <c r="T95" s="197" t="s">
        <v>189</v>
      </c>
      <c r="U95" s="197" t="s">
        <v>189</v>
      </c>
      <c r="V95" s="197"/>
    </row>
    <row r="96" spans="2:22" x14ac:dyDescent="0.3">
      <c r="B96" t="s">
        <v>58</v>
      </c>
      <c r="E96" s="197">
        <f t="shared" si="12"/>
        <v>1860606.7999999998</v>
      </c>
      <c r="F96" s="197">
        <f>'Statements Summary 2024'!V98</f>
        <v>4721832.3983999994</v>
      </c>
      <c r="G96" s="197">
        <f>'Statements Summary 2025'!V98</f>
        <v>8497832.3807999995</v>
      </c>
      <c r="H96" s="197">
        <f>'Statements Summary 2026'!V98</f>
        <v>13971242.980800003</v>
      </c>
      <c r="I96" s="197">
        <f>'Statements Summary 2027'!V98</f>
        <v>20144552.980800003</v>
      </c>
      <c r="K96" s="197">
        <f>K92</f>
        <v>-32544</v>
      </c>
      <c r="L96" s="197">
        <f t="shared" ref="L96:V96" si="13">L92</f>
        <v>84423.599999999977</v>
      </c>
      <c r="M96" s="197">
        <f t="shared" si="13"/>
        <v>212599.59999999998</v>
      </c>
      <c r="N96" s="197">
        <f t="shared" si="13"/>
        <v>352384.19999999995</v>
      </c>
      <c r="O96" s="197">
        <f t="shared" si="13"/>
        <v>512399</v>
      </c>
      <c r="P96" s="197">
        <f t="shared" si="13"/>
        <v>697986</v>
      </c>
      <c r="Q96" s="197">
        <f t="shared" si="13"/>
        <v>898040.4</v>
      </c>
      <c r="R96" s="197">
        <f t="shared" si="13"/>
        <v>1104948.8</v>
      </c>
      <c r="S96" s="197">
        <f t="shared" si="13"/>
        <v>1309366.6000000001</v>
      </c>
      <c r="T96" s="197">
        <f t="shared" si="13"/>
        <v>1502943.5999999999</v>
      </c>
      <c r="U96" s="197">
        <f t="shared" si="13"/>
        <v>1685660.2</v>
      </c>
      <c r="V96" s="197">
        <f t="shared" si="13"/>
        <v>1860606.7999999998</v>
      </c>
    </row>
    <row r="97" spans="2:22" x14ac:dyDescent="0.3">
      <c r="B97" t="s">
        <v>59</v>
      </c>
      <c r="E97" s="197">
        <f t="shared" si="12"/>
        <v>1860606.7999999998</v>
      </c>
      <c r="F97" s="197">
        <f>'Statements Summary 2024'!V99</f>
        <v>4721832.3983999994</v>
      </c>
      <c r="G97" s="197">
        <f>'Statements Summary 2025'!V99</f>
        <v>8497832.3807999995</v>
      </c>
      <c r="H97" s="197">
        <f>'Statements Summary 2026'!V99</f>
        <v>13971242.980800003</v>
      </c>
      <c r="I97" s="197">
        <f>'Statements Summary 2027'!V99</f>
        <v>20144552.980800003</v>
      </c>
      <c r="K97" s="197">
        <f>K96</f>
        <v>-32544</v>
      </c>
      <c r="L97" s="197">
        <f t="shared" ref="L97:V97" si="14">L96</f>
        <v>84423.599999999977</v>
      </c>
      <c r="M97" s="197">
        <f t="shared" si="14"/>
        <v>212599.59999999998</v>
      </c>
      <c r="N97" s="197">
        <f t="shared" si="14"/>
        <v>352384.19999999995</v>
      </c>
      <c r="O97" s="197">
        <f t="shared" si="14"/>
        <v>512399</v>
      </c>
      <c r="P97" s="197">
        <f t="shared" si="14"/>
        <v>697986</v>
      </c>
      <c r="Q97" s="197">
        <f t="shared" si="14"/>
        <v>898040.4</v>
      </c>
      <c r="R97" s="197">
        <f t="shared" si="14"/>
        <v>1104948.8</v>
      </c>
      <c r="S97" s="197">
        <f t="shared" si="14"/>
        <v>1309366.6000000001</v>
      </c>
      <c r="T97" s="197">
        <f t="shared" si="14"/>
        <v>1502943.5999999999</v>
      </c>
      <c r="U97" s="197">
        <f t="shared" si="14"/>
        <v>1685660.2</v>
      </c>
      <c r="V97" s="197">
        <f t="shared" si="14"/>
        <v>1860606.7999999998</v>
      </c>
    </row>
    <row r="99" spans="2:22" x14ac:dyDescent="0.3">
      <c r="B99" s="172" t="s">
        <v>226</v>
      </c>
      <c r="C99" s="145"/>
      <c r="D99" s="145"/>
      <c r="E99" s="145"/>
      <c r="F99" s="145"/>
      <c r="G99" s="145"/>
      <c r="H99" s="145"/>
      <c r="I99" s="145"/>
      <c r="K99" s="334" t="s">
        <v>91</v>
      </c>
      <c r="L99" s="334"/>
      <c r="M99" s="334"/>
      <c r="N99" s="334"/>
      <c r="O99" s="334"/>
      <c r="P99" s="334"/>
      <c r="Q99" s="334"/>
      <c r="R99" s="334"/>
      <c r="S99" s="334"/>
      <c r="T99" s="334"/>
      <c r="U99" s="334"/>
      <c r="V99" s="334"/>
    </row>
  </sheetData>
  <mergeCells count="6">
    <mergeCell ref="K99:V99"/>
    <mergeCell ref="K83:V83"/>
    <mergeCell ref="K2:V2"/>
    <mergeCell ref="K19:V19"/>
    <mergeCell ref="K41:V41"/>
    <mergeCell ref="K66:V66"/>
  </mergeCells>
  <phoneticPr fontId="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42E2-200B-4C2D-9772-0DA0AEA51B6A}">
  <sheetPr codeName="Sheet24"/>
  <dimension ref="A1:AP80"/>
  <sheetViews>
    <sheetView showGridLines="0" workbookViewId="0">
      <selection activeCell="R12" sqref="R12:T12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27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10.44140625" customWidth="1"/>
    <col min="21" max="21" width="9.88671875" bestFit="1" customWidth="1"/>
  </cols>
  <sheetData>
    <row r="1" spans="1:42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42" ht="18" x14ac:dyDescent="0.35">
      <c r="A2" s="9"/>
      <c r="B2" s="132" t="s">
        <v>140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42" x14ac:dyDescent="0.3">
      <c r="A3" s="9"/>
      <c r="B3" s="9" t="s">
        <v>141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42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42" x14ac:dyDescent="0.3">
      <c r="A5" s="141"/>
      <c r="B5" s="144" t="s">
        <v>170</v>
      </c>
      <c r="C5" s="141"/>
      <c r="D5" s="141"/>
      <c r="E5" s="141"/>
      <c r="F5" s="194">
        <v>2024</v>
      </c>
      <c r="G5" s="194">
        <v>2024</v>
      </c>
      <c r="H5" s="194">
        <v>2024</v>
      </c>
      <c r="I5" s="194">
        <v>2024</v>
      </c>
      <c r="J5" s="194">
        <v>2024</v>
      </c>
      <c r="K5" s="194">
        <v>2024</v>
      </c>
      <c r="L5" s="194">
        <v>2024</v>
      </c>
      <c r="M5" s="194">
        <v>2024</v>
      </c>
      <c r="N5" s="194">
        <v>2024</v>
      </c>
      <c r="O5" s="194">
        <v>2024</v>
      </c>
      <c r="P5" s="194">
        <v>2024</v>
      </c>
      <c r="Q5" s="194">
        <v>2024</v>
      </c>
      <c r="R5" s="194">
        <v>2025</v>
      </c>
      <c r="S5" s="194">
        <v>2025</v>
      </c>
      <c r="T5" s="194">
        <v>2025</v>
      </c>
      <c r="U5" s="145" t="s">
        <v>72</v>
      </c>
    </row>
    <row r="6" spans="1:42" ht="15" thickBot="1" x14ac:dyDescent="0.35">
      <c r="A6" s="143"/>
      <c r="B6" s="151" t="s">
        <v>64</v>
      </c>
      <c r="C6" s="143"/>
      <c r="D6" s="143"/>
      <c r="E6" s="143"/>
      <c r="F6" s="193" t="s">
        <v>25</v>
      </c>
      <c r="G6" s="193" t="s">
        <v>26</v>
      </c>
      <c r="H6" s="193" t="s">
        <v>27</v>
      </c>
      <c r="I6" s="193" t="s">
        <v>28</v>
      </c>
      <c r="J6" s="193" t="s">
        <v>29</v>
      </c>
      <c r="K6" s="193" t="s">
        <v>30</v>
      </c>
      <c r="L6" s="193" t="s">
        <v>31</v>
      </c>
      <c r="M6" s="193" t="s">
        <v>32</v>
      </c>
      <c r="N6" s="193" t="s">
        <v>33</v>
      </c>
      <c r="O6" s="193" t="s">
        <v>34</v>
      </c>
      <c r="P6" s="193" t="s">
        <v>35</v>
      </c>
      <c r="Q6" s="193" t="s">
        <v>36</v>
      </c>
      <c r="R6" s="193" t="s">
        <v>25</v>
      </c>
      <c r="S6" s="193" t="s">
        <v>26</v>
      </c>
      <c r="T6" s="193" t="s">
        <v>27</v>
      </c>
      <c r="U6" s="157"/>
    </row>
    <row r="7" spans="1:42" s="126" customForma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2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9"/>
      <c r="B8" s="9"/>
      <c r="C8" s="135" t="s">
        <v>281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42" x14ac:dyDescent="0.3">
      <c r="A9" s="9"/>
      <c r="B9" s="9"/>
      <c r="C9" s="135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42" x14ac:dyDescent="0.3">
      <c r="A10" s="9"/>
      <c r="B10" s="9"/>
      <c r="C10" s="135" t="s">
        <v>2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42" ht="10.199999999999999" customHeight="1" x14ac:dyDescent="0.3">
      <c r="A11" s="9"/>
      <c r="B11" s="9"/>
      <c r="C11" s="13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42" x14ac:dyDescent="0.3">
      <c r="A12" s="9"/>
      <c r="B12" s="9"/>
      <c r="C12" s="136" t="s">
        <v>305</v>
      </c>
      <c r="D12" s="9"/>
      <c r="E12" s="9"/>
      <c r="F12" s="208">
        <v>338078.59200000006</v>
      </c>
      <c r="G12" s="208">
        <v>342857.08799999993</v>
      </c>
      <c r="H12" s="208">
        <v>347635.58399999997</v>
      </c>
      <c r="I12" s="208">
        <v>352414.07999999996</v>
      </c>
      <c r="J12" s="208">
        <v>350024.83200000005</v>
      </c>
      <c r="K12" s="208">
        <v>353011.39199999993</v>
      </c>
      <c r="L12" s="208">
        <v>363165.69600000005</v>
      </c>
      <c r="M12" s="208">
        <v>358984.51199999993</v>
      </c>
      <c r="N12" s="208">
        <v>372722.68800000002</v>
      </c>
      <c r="O12" s="208">
        <v>374215.96799999999</v>
      </c>
      <c r="P12" s="208">
        <v>364957.63199999998</v>
      </c>
      <c r="Q12" s="208">
        <v>366450.91200000001</v>
      </c>
      <c r="R12" s="149">
        <f>'IS 2025'!F12</f>
        <v>373290</v>
      </c>
      <c r="S12" s="149">
        <f>'IS 2025'!G12</f>
        <v>377775</v>
      </c>
      <c r="T12" s="149">
        <f>'IS 2025'!H12</f>
        <v>353280</v>
      </c>
      <c r="U12" s="9"/>
    </row>
    <row r="13" spans="1:42" x14ac:dyDescent="0.3">
      <c r="A13" s="141"/>
      <c r="B13" s="141"/>
      <c r="C13" s="144" t="s">
        <v>115</v>
      </c>
      <c r="D13" s="141"/>
      <c r="E13" s="141"/>
      <c r="F13" s="142">
        <f t="shared" ref="F13:T13" si="0">SUM(F12:F12)</f>
        <v>338078.59200000006</v>
      </c>
      <c r="G13" s="142">
        <f t="shared" si="0"/>
        <v>342857.08799999993</v>
      </c>
      <c r="H13" s="142">
        <f t="shared" si="0"/>
        <v>347635.58399999997</v>
      </c>
      <c r="I13" s="142">
        <f t="shared" si="0"/>
        <v>352414.07999999996</v>
      </c>
      <c r="J13" s="142">
        <f t="shared" si="0"/>
        <v>350024.83200000005</v>
      </c>
      <c r="K13" s="142">
        <f t="shared" si="0"/>
        <v>353011.39199999993</v>
      </c>
      <c r="L13" s="142">
        <f t="shared" si="0"/>
        <v>363165.69600000005</v>
      </c>
      <c r="M13" s="142">
        <f t="shared" si="0"/>
        <v>358984.51199999993</v>
      </c>
      <c r="N13" s="142">
        <f t="shared" si="0"/>
        <v>372722.68800000002</v>
      </c>
      <c r="O13" s="142">
        <f t="shared" si="0"/>
        <v>374215.96799999999</v>
      </c>
      <c r="P13" s="142">
        <f t="shared" si="0"/>
        <v>364957.63199999998</v>
      </c>
      <c r="Q13" s="142">
        <f t="shared" si="0"/>
        <v>366450.91200000001</v>
      </c>
      <c r="R13" s="142">
        <f t="shared" si="0"/>
        <v>373290</v>
      </c>
      <c r="S13" s="142">
        <f t="shared" si="0"/>
        <v>377775</v>
      </c>
      <c r="T13" s="142">
        <f t="shared" si="0"/>
        <v>353280</v>
      </c>
      <c r="U13" s="153">
        <f>SUM(F13:Q13)</f>
        <v>4284518.9759999998</v>
      </c>
    </row>
    <row r="14" spans="1:42" x14ac:dyDescent="0.3">
      <c r="A14" s="143"/>
      <c r="B14" s="143"/>
      <c r="C14" s="151" t="s">
        <v>116</v>
      </c>
      <c r="D14" s="143"/>
      <c r="E14" s="143"/>
      <c r="F14" s="152">
        <f t="shared" ref="F14:H14" si="1">SUM(F15:F20)</f>
        <v>-10390</v>
      </c>
      <c r="G14" s="152">
        <f t="shared" si="1"/>
        <v>-10390</v>
      </c>
      <c r="H14" s="152">
        <f t="shared" si="1"/>
        <v>-10390</v>
      </c>
      <c r="I14" s="152">
        <f t="shared" ref="I14:T14" si="2">SUM(I15:I20)</f>
        <v>-10390</v>
      </c>
      <c r="J14" s="152">
        <f t="shared" si="2"/>
        <v>-10390</v>
      </c>
      <c r="K14" s="152">
        <f t="shared" si="2"/>
        <v>-10390</v>
      </c>
      <c r="L14" s="152">
        <f t="shared" si="2"/>
        <v>-10390</v>
      </c>
      <c r="M14" s="152">
        <f t="shared" si="2"/>
        <v>-10390</v>
      </c>
      <c r="N14" s="152">
        <f t="shared" si="2"/>
        <v>-10390</v>
      </c>
      <c r="O14" s="152">
        <f t="shared" si="2"/>
        <v>-10390</v>
      </c>
      <c r="P14" s="152">
        <f t="shared" si="2"/>
        <v>-10390</v>
      </c>
      <c r="Q14" s="152">
        <f t="shared" si="2"/>
        <v>-10390</v>
      </c>
      <c r="R14" s="152">
        <f t="shared" si="2"/>
        <v>-10390</v>
      </c>
      <c r="S14" s="152">
        <f t="shared" si="2"/>
        <v>-10390</v>
      </c>
      <c r="T14" s="152">
        <f t="shared" si="2"/>
        <v>-10390</v>
      </c>
      <c r="U14" s="147">
        <f>SUM(F14:Q14)</f>
        <v>-124680</v>
      </c>
    </row>
    <row r="15" spans="1:42" x14ac:dyDescent="0.3">
      <c r="A15" s="9"/>
      <c r="B15" s="9"/>
      <c r="C15" s="136" t="s">
        <v>200</v>
      </c>
      <c r="D15" s="9"/>
      <c r="E15" s="9"/>
      <c r="F15" s="133">
        <v>-9500</v>
      </c>
      <c r="G15" s="133">
        <v>-9500</v>
      </c>
      <c r="H15" s="133">
        <v>-9500</v>
      </c>
      <c r="I15" s="133">
        <v>-9500</v>
      </c>
      <c r="J15" s="133">
        <v>-9500</v>
      </c>
      <c r="K15" s="133">
        <v>-9500</v>
      </c>
      <c r="L15" s="133">
        <v>-9500</v>
      </c>
      <c r="M15" s="133">
        <v>-9500</v>
      </c>
      <c r="N15" s="133">
        <v>-9500</v>
      </c>
      <c r="O15" s="133">
        <v>-9500</v>
      </c>
      <c r="P15" s="133">
        <v>-9500</v>
      </c>
      <c r="Q15" s="133">
        <v>-9500</v>
      </c>
      <c r="R15" s="133">
        <v>-9500</v>
      </c>
      <c r="S15" s="133">
        <v>-9500</v>
      </c>
      <c r="T15" s="133">
        <v>-9500</v>
      </c>
      <c r="U15" s="149">
        <f t="shared" ref="U15:U21" si="3">SUM(F15:Q15)</f>
        <v>-114000</v>
      </c>
    </row>
    <row r="16" spans="1:42" x14ac:dyDescent="0.3">
      <c r="A16" s="9"/>
      <c r="B16" s="9"/>
      <c r="C16" s="136" t="s">
        <v>288</v>
      </c>
      <c r="D16" s="9"/>
      <c r="E16" s="9"/>
      <c r="F16" s="134">
        <v>-700</v>
      </c>
      <c r="G16" s="134">
        <v>-700</v>
      </c>
      <c r="H16" s="134">
        <v>-700</v>
      </c>
      <c r="I16" s="134">
        <v>-700</v>
      </c>
      <c r="J16" s="134">
        <v>-700</v>
      </c>
      <c r="K16" s="134">
        <v>-700</v>
      </c>
      <c r="L16" s="134">
        <v>-700</v>
      </c>
      <c r="M16" s="134">
        <v>-700</v>
      </c>
      <c r="N16" s="134">
        <v>-700</v>
      </c>
      <c r="O16" s="134">
        <v>-700</v>
      </c>
      <c r="P16" s="134">
        <v>-700</v>
      </c>
      <c r="Q16" s="134">
        <v>-700</v>
      </c>
      <c r="R16" s="134">
        <v>-700</v>
      </c>
      <c r="S16" s="134">
        <v>-700</v>
      </c>
      <c r="T16" s="134">
        <v>-700</v>
      </c>
      <c r="U16" s="149">
        <f t="shared" si="3"/>
        <v>-8400</v>
      </c>
    </row>
    <row r="17" spans="1:21" x14ac:dyDescent="0.3">
      <c r="A17" s="9"/>
      <c r="B17" s="9"/>
      <c r="C17" s="136" t="s">
        <v>290</v>
      </c>
      <c r="D17" s="9"/>
      <c r="E17" s="9"/>
      <c r="F17" s="134">
        <v>-125</v>
      </c>
      <c r="G17" s="134">
        <v>-125</v>
      </c>
      <c r="H17" s="134">
        <v>-125</v>
      </c>
      <c r="I17" s="134">
        <v>-125</v>
      </c>
      <c r="J17" s="134">
        <v>-125</v>
      </c>
      <c r="K17" s="134">
        <v>-125</v>
      </c>
      <c r="L17" s="134">
        <v>-125</v>
      </c>
      <c r="M17" s="134">
        <v>-125</v>
      </c>
      <c r="N17" s="134">
        <v>-125</v>
      </c>
      <c r="O17" s="134">
        <v>-125</v>
      </c>
      <c r="P17" s="134">
        <v>-125</v>
      </c>
      <c r="Q17" s="134">
        <v>-125</v>
      </c>
      <c r="R17" s="134">
        <v>-125</v>
      </c>
      <c r="S17" s="134">
        <v>-125</v>
      </c>
      <c r="T17" s="134">
        <v>-125</v>
      </c>
      <c r="U17" s="149">
        <f t="shared" si="3"/>
        <v>-1500</v>
      </c>
    </row>
    <row r="18" spans="1:21" x14ac:dyDescent="0.3">
      <c r="A18" s="9"/>
      <c r="B18" s="9"/>
      <c r="C18" s="136" t="s">
        <v>291</v>
      </c>
      <c r="D18" s="9"/>
      <c r="E18" s="9"/>
      <c r="F18" s="134">
        <v>-65</v>
      </c>
      <c r="G18" s="134">
        <v>-65</v>
      </c>
      <c r="H18" s="134">
        <v>-65</v>
      </c>
      <c r="I18" s="134">
        <v>-65</v>
      </c>
      <c r="J18" s="134">
        <v>-65</v>
      </c>
      <c r="K18" s="134">
        <v>-65</v>
      </c>
      <c r="L18" s="134">
        <v>-65</v>
      </c>
      <c r="M18" s="134">
        <v>-65</v>
      </c>
      <c r="N18" s="134">
        <v>-65</v>
      </c>
      <c r="O18" s="134">
        <v>-65</v>
      </c>
      <c r="P18" s="134">
        <v>-65</v>
      </c>
      <c r="Q18" s="134">
        <v>-65</v>
      </c>
      <c r="R18" s="134">
        <v>-65</v>
      </c>
      <c r="S18" s="134">
        <v>-65</v>
      </c>
      <c r="T18" s="134">
        <v>-65</v>
      </c>
      <c r="U18" s="149">
        <f t="shared" si="3"/>
        <v>-780</v>
      </c>
    </row>
    <row r="19" spans="1:21" x14ac:dyDescent="0.3">
      <c r="A19" s="9"/>
      <c r="B19" s="9"/>
      <c r="C19" s="136" t="s">
        <v>204</v>
      </c>
      <c r="D19" s="9"/>
      <c r="E19" s="9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49">
        <f t="shared" si="3"/>
        <v>0</v>
      </c>
    </row>
    <row r="20" spans="1:21" x14ac:dyDescent="0.3">
      <c r="A20" s="9"/>
      <c r="B20" s="9"/>
      <c r="C20" s="136" t="s">
        <v>205</v>
      </c>
      <c r="D20" s="9"/>
      <c r="E20" s="9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49">
        <f t="shared" si="3"/>
        <v>0</v>
      </c>
    </row>
    <row r="21" spans="1:21" x14ac:dyDescent="0.3">
      <c r="A21" s="9"/>
      <c r="B21" s="9"/>
      <c r="C21" s="136" t="s">
        <v>206</v>
      </c>
      <c r="D21" s="9"/>
      <c r="E21" s="9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49">
        <f t="shared" si="3"/>
        <v>0</v>
      </c>
    </row>
    <row r="22" spans="1:21" x14ac:dyDescent="0.3">
      <c r="A22" s="9"/>
      <c r="B22" s="9"/>
      <c r="C22" s="134"/>
      <c r="D22" s="9"/>
      <c r="E22" s="9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1"/>
    </row>
    <row r="23" spans="1:21" x14ac:dyDescent="0.3">
      <c r="A23" s="154"/>
      <c r="B23" s="154"/>
      <c r="C23" s="155" t="s">
        <v>4</v>
      </c>
      <c r="D23" s="154"/>
      <c r="E23" s="154"/>
      <c r="F23" s="156">
        <f>SUM(F13+F14)</f>
        <v>327688.59200000006</v>
      </c>
      <c r="G23" s="156">
        <f t="shared" ref="G23:T23" si="4">SUM(G13+G14)</f>
        <v>332467.08799999993</v>
      </c>
      <c r="H23" s="156">
        <f t="shared" si="4"/>
        <v>337245.58399999997</v>
      </c>
      <c r="I23" s="156">
        <f t="shared" si="4"/>
        <v>342024.07999999996</v>
      </c>
      <c r="J23" s="156">
        <f t="shared" si="4"/>
        <v>339634.83200000005</v>
      </c>
      <c r="K23" s="156">
        <f t="shared" si="4"/>
        <v>342621.39199999993</v>
      </c>
      <c r="L23" s="156">
        <f t="shared" si="4"/>
        <v>352775.69600000005</v>
      </c>
      <c r="M23" s="156">
        <f t="shared" si="4"/>
        <v>348594.51199999993</v>
      </c>
      <c r="N23" s="156">
        <f t="shared" si="4"/>
        <v>362332.68800000002</v>
      </c>
      <c r="O23" s="156">
        <f t="shared" si="4"/>
        <v>363825.96799999999</v>
      </c>
      <c r="P23" s="156">
        <f t="shared" si="4"/>
        <v>354567.63199999998</v>
      </c>
      <c r="Q23" s="156">
        <f t="shared" si="4"/>
        <v>356060.91200000001</v>
      </c>
      <c r="R23" s="156">
        <f t="shared" si="4"/>
        <v>362900</v>
      </c>
      <c r="S23" s="156">
        <f t="shared" si="4"/>
        <v>367385</v>
      </c>
      <c r="T23" s="156">
        <f t="shared" si="4"/>
        <v>342890</v>
      </c>
      <c r="U23" s="292">
        <f t="shared" ref="U23:U62" si="5">SUM(F23:Q23)</f>
        <v>4159838.9760000003</v>
      </c>
    </row>
    <row r="24" spans="1:21" x14ac:dyDescent="0.3">
      <c r="A24" s="9"/>
      <c r="B24" s="9"/>
      <c r="C24" s="134"/>
      <c r="D24" s="9"/>
      <c r="E24" s="9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1"/>
    </row>
    <row r="25" spans="1:21" x14ac:dyDescent="0.3">
      <c r="A25" s="9"/>
      <c r="B25" s="9"/>
      <c r="C25" s="135" t="s">
        <v>5</v>
      </c>
      <c r="D25" s="9"/>
      <c r="E25" s="9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1"/>
    </row>
    <row r="26" spans="1:21" x14ac:dyDescent="0.3">
      <c r="A26" s="9"/>
      <c r="B26" s="9"/>
      <c r="C26" s="136" t="s">
        <v>292</v>
      </c>
      <c r="D26" s="9"/>
      <c r="E26" s="9"/>
      <c r="F26" s="149">
        <v>-975</v>
      </c>
      <c r="G26" s="149">
        <v>-975</v>
      </c>
      <c r="H26" s="149">
        <v>-975</v>
      </c>
      <c r="I26" s="149">
        <v>-975</v>
      </c>
      <c r="J26" s="149">
        <v>-975</v>
      </c>
      <c r="K26" s="149">
        <v>-975</v>
      </c>
      <c r="L26" s="149">
        <v>-975</v>
      </c>
      <c r="M26" s="149">
        <v>-975</v>
      </c>
      <c r="N26" s="149">
        <v>-975</v>
      </c>
      <c r="O26" s="149">
        <v>-975</v>
      </c>
      <c r="P26" s="149">
        <v>-975</v>
      </c>
      <c r="Q26" s="149">
        <v>-975</v>
      </c>
      <c r="R26" s="149">
        <v>-975</v>
      </c>
      <c r="S26" s="149">
        <v>-975</v>
      </c>
      <c r="T26" s="149">
        <v>-975</v>
      </c>
      <c r="U26" s="149">
        <f t="shared" si="5"/>
        <v>-11700</v>
      </c>
    </row>
    <row r="27" spans="1:21" x14ac:dyDescent="0.3">
      <c r="A27" s="9"/>
      <c r="B27" s="9"/>
      <c r="C27" s="136" t="s">
        <v>293</v>
      </c>
      <c r="D27" s="9"/>
      <c r="E27" s="9"/>
      <c r="F27" s="149">
        <v>-300</v>
      </c>
      <c r="G27" s="149">
        <v>-300</v>
      </c>
      <c r="H27" s="149">
        <v>-300</v>
      </c>
      <c r="I27" s="149">
        <v>-300</v>
      </c>
      <c r="J27" s="149">
        <v>-300</v>
      </c>
      <c r="K27" s="149">
        <v>-300</v>
      </c>
      <c r="L27" s="149">
        <v>-300</v>
      </c>
      <c r="M27" s="149">
        <v>-300</v>
      </c>
      <c r="N27" s="149">
        <v>-300</v>
      </c>
      <c r="O27" s="149">
        <v>-300</v>
      </c>
      <c r="P27" s="149">
        <v>-300</v>
      </c>
      <c r="Q27" s="149">
        <v>-300</v>
      </c>
      <c r="R27" s="149">
        <v>-300</v>
      </c>
      <c r="S27" s="149">
        <v>-300</v>
      </c>
      <c r="T27" s="149">
        <v>-300</v>
      </c>
      <c r="U27" s="149">
        <f t="shared" si="5"/>
        <v>-3600</v>
      </c>
    </row>
    <row r="28" spans="1:21" x14ac:dyDescent="0.3">
      <c r="A28" s="9"/>
      <c r="B28" s="9"/>
      <c r="C28" s="136" t="s">
        <v>294</v>
      </c>
      <c r="D28" s="9"/>
      <c r="E28" s="9"/>
      <c r="F28" s="149">
        <v>-300</v>
      </c>
      <c r="G28" s="149">
        <v>-300</v>
      </c>
      <c r="H28" s="149">
        <v>-300</v>
      </c>
      <c r="I28" s="149">
        <v>-300</v>
      </c>
      <c r="J28" s="149">
        <v>-300</v>
      </c>
      <c r="K28" s="149">
        <v>-300</v>
      </c>
      <c r="L28" s="149">
        <v>-300</v>
      </c>
      <c r="M28" s="149">
        <v>-300</v>
      </c>
      <c r="N28" s="149">
        <v>-300</v>
      </c>
      <c r="O28" s="149">
        <v>-300</v>
      </c>
      <c r="P28" s="149">
        <v>-300</v>
      </c>
      <c r="Q28" s="149">
        <v>-300</v>
      </c>
      <c r="R28" s="149">
        <v>-300</v>
      </c>
      <c r="S28" s="149">
        <v>-300</v>
      </c>
      <c r="T28" s="149">
        <v>-300</v>
      </c>
      <c r="U28" s="149">
        <f t="shared" si="5"/>
        <v>-3600</v>
      </c>
    </row>
    <row r="29" spans="1:21" x14ac:dyDescent="0.3">
      <c r="A29" s="9"/>
      <c r="B29" s="9"/>
      <c r="C29" s="136" t="s">
        <v>295</v>
      </c>
      <c r="D29" s="9"/>
      <c r="E29" s="9"/>
      <c r="F29" s="331">
        <v>-710</v>
      </c>
      <c r="G29" s="331">
        <v>-710</v>
      </c>
      <c r="H29" s="331">
        <v>-710</v>
      </c>
      <c r="I29" s="331">
        <v>-710</v>
      </c>
      <c r="J29" s="331">
        <v>-710</v>
      </c>
      <c r="K29" s="331">
        <v>-710</v>
      </c>
      <c r="L29" s="331">
        <v>-710</v>
      </c>
      <c r="M29" s="331">
        <v>-710</v>
      </c>
      <c r="N29" s="331">
        <v>-710</v>
      </c>
      <c r="O29" s="331">
        <v>-710</v>
      </c>
      <c r="P29" s="331">
        <v>-710</v>
      </c>
      <c r="Q29" s="331">
        <v>-710</v>
      </c>
      <c r="R29" s="331">
        <v>-710</v>
      </c>
      <c r="S29" s="331">
        <v>-710</v>
      </c>
      <c r="T29" s="331">
        <v>-710</v>
      </c>
      <c r="U29" s="149">
        <f t="shared" si="5"/>
        <v>-8520</v>
      </c>
    </row>
    <row r="30" spans="1:21" x14ac:dyDescent="0.3">
      <c r="A30" s="9"/>
      <c r="B30" s="9"/>
      <c r="C30" s="136" t="s">
        <v>120</v>
      </c>
      <c r="D30" s="9"/>
      <c r="E30" s="9"/>
      <c r="F30" s="150" t="s">
        <v>142</v>
      </c>
      <c r="G30" s="150" t="s">
        <v>142</v>
      </c>
      <c r="H30" s="150" t="s">
        <v>142</v>
      </c>
      <c r="I30" s="150" t="s">
        <v>142</v>
      </c>
      <c r="J30" s="150" t="s">
        <v>142</v>
      </c>
      <c r="K30" s="150" t="s">
        <v>142</v>
      </c>
      <c r="L30" s="150" t="s">
        <v>142</v>
      </c>
      <c r="M30" s="150" t="s">
        <v>142</v>
      </c>
      <c r="N30" s="150" t="s">
        <v>142</v>
      </c>
      <c r="O30" s="150" t="s">
        <v>142</v>
      </c>
      <c r="P30" s="150" t="s">
        <v>142</v>
      </c>
      <c r="Q30" s="150" t="s">
        <v>142</v>
      </c>
      <c r="R30" s="150" t="s">
        <v>142</v>
      </c>
      <c r="S30" s="150" t="s">
        <v>142</v>
      </c>
      <c r="T30" s="150" t="s">
        <v>142</v>
      </c>
      <c r="U30" s="131"/>
    </row>
    <row r="31" spans="1:21" x14ac:dyDescent="0.3">
      <c r="A31" s="9"/>
      <c r="B31" s="9"/>
      <c r="C31" s="136" t="s">
        <v>121</v>
      </c>
      <c r="D31" s="9"/>
      <c r="E31" s="9"/>
      <c r="F31" s="291" t="s">
        <v>142</v>
      </c>
      <c r="G31" s="291" t="s">
        <v>142</v>
      </c>
      <c r="H31" s="291" t="s">
        <v>142</v>
      </c>
      <c r="I31" s="291" t="s">
        <v>142</v>
      </c>
      <c r="J31" s="291" t="s">
        <v>142</v>
      </c>
      <c r="K31" s="291" t="s">
        <v>142</v>
      </c>
      <c r="L31" s="291" t="s">
        <v>142</v>
      </c>
      <c r="M31" s="291" t="s">
        <v>142</v>
      </c>
      <c r="N31" s="291" t="s">
        <v>142</v>
      </c>
      <c r="O31" s="291" t="s">
        <v>142</v>
      </c>
      <c r="P31" s="291" t="s">
        <v>142</v>
      </c>
      <c r="Q31" s="291" t="s">
        <v>142</v>
      </c>
      <c r="R31" s="291" t="s">
        <v>142</v>
      </c>
      <c r="S31" s="291" t="s">
        <v>142</v>
      </c>
      <c r="T31" s="291" t="s">
        <v>142</v>
      </c>
      <c r="U31" s="131"/>
    </row>
    <row r="32" spans="1:21" x14ac:dyDescent="0.3">
      <c r="A32" s="9"/>
      <c r="B32" s="9"/>
      <c r="C32" s="136" t="s">
        <v>122</v>
      </c>
      <c r="D32" s="9"/>
      <c r="E32" s="9"/>
      <c r="F32" s="291" t="s">
        <v>142</v>
      </c>
      <c r="G32" s="291" t="s">
        <v>142</v>
      </c>
      <c r="H32" s="291" t="s">
        <v>142</v>
      </c>
      <c r="I32" s="291" t="s">
        <v>142</v>
      </c>
      <c r="J32" s="291" t="s">
        <v>142</v>
      </c>
      <c r="K32" s="291" t="s">
        <v>142</v>
      </c>
      <c r="L32" s="291" t="s">
        <v>142</v>
      </c>
      <c r="M32" s="291" t="s">
        <v>142</v>
      </c>
      <c r="N32" s="291" t="s">
        <v>142</v>
      </c>
      <c r="O32" s="291" t="s">
        <v>142</v>
      </c>
      <c r="P32" s="291" t="s">
        <v>142</v>
      </c>
      <c r="Q32" s="291" t="s">
        <v>142</v>
      </c>
      <c r="R32" s="291" t="s">
        <v>142</v>
      </c>
      <c r="S32" s="291" t="s">
        <v>142</v>
      </c>
      <c r="T32" s="291" t="s">
        <v>142</v>
      </c>
      <c r="U32" s="131"/>
    </row>
    <row r="33" spans="1:21" x14ac:dyDescent="0.3">
      <c r="A33" s="9"/>
      <c r="B33" s="9"/>
      <c r="C33" s="136" t="s">
        <v>123</v>
      </c>
      <c r="D33" s="9"/>
      <c r="E33" s="9"/>
      <c r="F33" s="291" t="s">
        <v>142</v>
      </c>
      <c r="G33" s="291" t="s">
        <v>142</v>
      </c>
      <c r="H33" s="291" t="s">
        <v>142</v>
      </c>
      <c r="I33" s="291" t="s">
        <v>142</v>
      </c>
      <c r="J33" s="291" t="s">
        <v>142</v>
      </c>
      <c r="K33" s="291" t="s">
        <v>142</v>
      </c>
      <c r="L33" s="291" t="s">
        <v>142</v>
      </c>
      <c r="M33" s="291" t="s">
        <v>142</v>
      </c>
      <c r="N33" s="291" t="s">
        <v>142</v>
      </c>
      <c r="O33" s="291" t="s">
        <v>142</v>
      </c>
      <c r="P33" s="291" t="s">
        <v>142</v>
      </c>
      <c r="Q33" s="291" t="s">
        <v>142</v>
      </c>
      <c r="R33" s="291" t="s">
        <v>142</v>
      </c>
      <c r="S33" s="291" t="s">
        <v>142</v>
      </c>
      <c r="T33" s="291" t="s">
        <v>142</v>
      </c>
      <c r="U33" s="131"/>
    </row>
    <row r="34" spans="1:21" x14ac:dyDescent="0.3">
      <c r="A34" s="9"/>
      <c r="B34" s="9"/>
      <c r="C34" s="136"/>
      <c r="D34" s="9"/>
      <c r="E34" s="9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31"/>
    </row>
    <row r="35" spans="1:21" x14ac:dyDescent="0.3">
      <c r="A35" s="145"/>
      <c r="B35" s="145"/>
      <c r="C35" s="172" t="s">
        <v>124</v>
      </c>
      <c r="D35" s="145"/>
      <c r="E35" s="145"/>
      <c r="F35" s="153">
        <f>SUM(F26:F33)</f>
        <v>-2285</v>
      </c>
      <c r="G35" s="153">
        <f t="shared" ref="G35:T35" si="6">SUM(G26:G33)</f>
        <v>-2285</v>
      </c>
      <c r="H35" s="153">
        <f t="shared" si="6"/>
        <v>-2285</v>
      </c>
      <c r="I35" s="153">
        <f t="shared" si="6"/>
        <v>-2285</v>
      </c>
      <c r="J35" s="153">
        <f t="shared" si="6"/>
        <v>-2285</v>
      </c>
      <c r="K35" s="153">
        <f t="shared" si="6"/>
        <v>-2285</v>
      </c>
      <c r="L35" s="153">
        <f t="shared" si="6"/>
        <v>-2285</v>
      </c>
      <c r="M35" s="153">
        <f t="shared" si="6"/>
        <v>-2285</v>
      </c>
      <c r="N35" s="153">
        <f t="shared" si="6"/>
        <v>-2285</v>
      </c>
      <c r="O35" s="153">
        <f t="shared" si="6"/>
        <v>-2285</v>
      </c>
      <c r="P35" s="153">
        <f t="shared" si="6"/>
        <v>-2285</v>
      </c>
      <c r="Q35" s="153">
        <f t="shared" si="6"/>
        <v>-2285</v>
      </c>
      <c r="R35" s="153">
        <f t="shared" si="6"/>
        <v>-2285</v>
      </c>
      <c r="S35" s="153">
        <f t="shared" si="6"/>
        <v>-2285</v>
      </c>
      <c r="T35" s="153">
        <f t="shared" si="6"/>
        <v>-2285</v>
      </c>
      <c r="U35" s="153">
        <f t="shared" si="5"/>
        <v>-27420</v>
      </c>
    </row>
    <row r="36" spans="1:21" x14ac:dyDescent="0.3">
      <c r="A36" s="146"/>
      <c r="B36" s="146"/>
      <c r="C36" s="183" t="s">
        <v>125</v>
      </c>
      <c r="D36" s="146"/>
      <c r="E36" s="146"/>
      <c r="F36" s="147">
        <v>-4063</v>
      </c>
      <c r="G36" s="147">
        <v>-4063</v>
      </c>
      <c r="H36" s="147">
        <v>-4063</v>
      </c>
      <c r="I36" s="147">
        <v>-4063</v>
      </c>
      <c r="J36" s="147">
        <v>-4063</v>
      </c>
      <c r="K36" s="147">
        <v>-4063</v>
      </c>
      <c r="L36" s="147">
        <v>-4063</v>
      </c>
      <c r="M36" s="147">
        <v>-4063</v>
      </c>
      <c r="N36" s="147">
        <v>-4063</v>
      </c>
      <c r="O36" s="147">
        <v>-4063</v>
      </c>
      <c r="P36" s="147">
        <v>-4063</v>
      </c>
      <c r="Q36" s="147">
        <v>-4063</v>
      </c>
      <c r="R36" s="147">
        <v>-4063</v>
      </c>
      <c r="S36" s="147">
        <v>-4063</v>
      </c>
      <c r="T36" s="147">
        <v>-4063</v>
      </c>
      <c r="U36" s="147">
        <f t="shared" si="5"/>
        <v>-48756</v>
      </c>
    </row>
    <row r="37" spans="1:21" x14ac:dyDescent="0.3">
      <c r="A37" s="9"/>
      <c r="B37" s="9"/>
      <c r="C37" s="134"/>
      <c r="D37" s="9"/>
      <c r="E37" s="9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1"/>
    </row>
    <row r="38" spans="1:21" x14ac:dyDescent="0.3">
      <c r="A38" s="9"/>
      <c r="B38" s="9"/>
      <c r="C38" s="135" t="s">
        <v>24</v>
      </c>
      <c r="D38" s="9"/>
      <c r="E38" s="9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1"/>
    </row>
    <row r="39" spans="1:21" x14ac:dyDescent="0.3">
      <c r="A39" s="9"/>
      <c r="B39" s="9"/>
      <c r="C39" s="134" t="s">
        <v>73</v>
      </c>
      <c r="D39" s="9"/>
      <c r="E39" s="9"/>
      <c r="F39" s="149">
        <v>-1750</v>
      </c>
      <c r="G39" s="149">
        <v>-1750</v>
      </c>
      <c r="H39" s="149">
        <v>-1750</v>
      </c>
      <c r="I39" s="149">
        <v>-1750</v>
      </c>
      <c r="J39" s="149">
        <v>-1750</v>
      </c>
      <c r="K39" s="149">
        <v>-1750</v>
      </c>
      <c r="L39" s="149">
        <v>-1750</v>
      </c>
      <c r="M39" s="149">
        <v>-1750</v>
      </c>
      <c r="N39" s="149">
        <v>-1750</v>
      </c>
      <c r="O39" s="149">
        <v>-1750</v>
      </c>
      <c r="P39" s="149">
        <v>-1750</v>
      </c>
      <c r="Q39" s="149">
        <v>-1750</v>
      </c>
      <c r="R39" s="149">
        <v>-1750</v>
      </c>
      <c r="S39" s="149">
        <v>-1750</v>
      </c>
      <c r="T39" s="149">
        <v>-1750</v>
      </c>
      <c r="U39" s="149">
        <f t="shared" si="5"/>
        <v>-21000</v>
      </c>
    </row>
    <row r="40" spans="1:21" x14ac:dyDescent="0.3">
      <c r="A40" s="9"/>
      <c r="B40" s="9"/>
      <c r="C40" s="134" t="s">
        <v>261</v>
      </c>
      <c r="D40" s="9"/>
      <c r="E40" s="9"/>
      <c r="F40" s="149">
        <v>-2550</v>
      </c>
      <c r="G40" s="149">
        <v>-2550</v>
      </c>
      <c r="H40" s="149">
        <v>-2550</v>
      </c>
      <c r="I40" s="149">
        <v>-2550</v>
      </c>
      <c r="J40" s="149">
        <v>-2550</v>
      </c>
      <c r="K40" s="149">
        <v>-2550</v>
      </c>
      <c r="L40" s="149">
        <v>-2550</v>
      </c>
      <c r="M40" s="149">
        <v>-2550</v>
      </c>
      <c r="N40" s="149">
        <v>-2550</v>
      </c>
      <c r="O40" s="149">
        <v>-2550</v>
      </c>
      <c r="P40" s="149">
        <v>-2550</v>
      </c>
      <c r="Q40" s="149">
        <v>-2550</v>
      </c>
      <c r="R40" s="149">
        <v>-2550</v>
      </c>
      <c r="S40" s="149">
        <v>-2550</v>
      </c>
      <c r="T40" s="149">
        <v>-2550</v>
      </c>
      <c r="U40" s="149">
        <f t="shared" si="5"/>
        <v>-30600</v>
      </c>
    </row>
    <row r="41" spans="1:21" x14ac:dyDescent="0.3">
      <c r="A41" s="9"/>
      <c r="B41" s="9"/>
      <c r="C41" s="134" t="s">
        <v>284</v>
      </c>
      <c r="D41" s="9"/>
      <c r="E41" s="9"/>
      <c r="F41" s="149">
        <v>-700</v>
      </c>
      <c r="G41" s="149">
        <v>-700</v>
      </c>
      <c r="H41" s="149">
        <v>-700</v>
      </c>
      <c r="I41" s="149">
        <v>-700</v>
      </c>
      <c r="J41" s="149">
        <v>-700</v>
      </c>
      <c r="K41" s="149">
        <v>-700</v>
      </c>
      <c r="L41" s="149">
        <v>-700</v>
      </c>
      <c r="M41" s="149">
        <v>-700</v>
      </c>
      <c r="N41" s="149">
        <v>-700</v>
      </c>
      <c r="O41" s="149">
        <v>-700</v>
      </c>
      <c r="P41" s="149">
        <v>-700</v>
      </c>
      <c r="Q41" s="149">
        <v>-700</v>
      </c>
      <c r="R41" s="149">
        <v>-700</v>
      </c>
      <c r="S41" s="149">
        <v>-700</v>
      </c>
      <c r="T41" s="149">
        <v>-700</v>
      </c>
      <c r="U41" s="149">
        <f t="shared" si="5"/>
        <v>-8400</v>
      </c>
    </row>
    <row r="42" spans="1:21" x14ac:dyDescent="0.3">
      <c r="A42" s="9"/>
      <c r="B42" s="9"/>
      <c r="C42" s="134" t="s">
        <v>223</v>
      </c>
      <c r="D42" s="9"/>
      <c r="E42" s="9"/>
      <c r="F42" s="149">
        <v>-1350</v>
      </c>
      <c r="G42" s="149">
        <v>-1350</v>
      </c>
      <c r="H42" s="149">
        <v>-1350</v>
      </c>
      <c r="I42" s="149">
        <v>-1350</v>
      </c>
      <c r="J42" s="149">
        <v>-1350</v>
      </c>
      <c r="K42" s="149">
        <v>-1350</v>
      </c>
      <c r="L42" s="149">
        <v>-1350</v>
      </c>
      <c r="M42" s="149">
        <v>-1350</v>
      </c>
      <c r="N42" s="149">
        <v>-1350</v>
      </c>
      <c r="O42" s="149">
        <v>-1350</v>
      </c>
      <c r="P42" s="149">
        <v>-1350</v>
      </c>
      <c r="Q42" s="149">
        <v>-1350</v>
      </c>
      <c r="R42" s="149">
        <v>-1350</v>
      </c>
      <c r="S42" s="149">
        <v>-1350</v>
      </c>
      <c r="T42" s="149">
        <v>-1350</v>
      </c>
      <c r="U42" s="149">
        <f t="shared" si="5"/>
        <v>-16200</v>
      </c>
    </row>
    <row r="43" spans="1:21" x14ac:dyDescent="0.3">
      <c r="A43" s="9"/>
      <c r="B43" s="9"/>
      <c r="C43" s="134" t="s">
        <v>262</v>
      </c>
      <c r="D43" s="9"/>
      <c r="E43" s="9"/>
      <c r="F43" s="149">
        <v>-1900</v>
      </c>
      <c r="G43" s="149">
        <v>-1900</v>
      </c>
      <c r="H43" s="149">
        <v>-1900</v>
      </c>
      <c r="I43" s="149">
        <v>-1900</v>
      </c>
      <c r="J43" s="149">
        <v>-1900</v>
      </c>
      <c r="K43" s="149">
        <v>-1900</v>
      </c>
      <c r="L43" s="149">
        <v>-1900</v>
      </c>
      <c r="M43" s="149">
        <v>-1900</v>
      </c>
      <c r="N43" s="149">
        <v>-1900</v>
      </c>
      <c r="O43" s="149">
        <v>-1900</v>
      </c>
      <c r="P43" s="149">
        <v>-1900</v>
      </c>
      <c r="Q43" s="149">
        <v>-1900</v>
      </c>
      <c r="R43" s="149">
        <v>-1900</v>
      </c>
      <c r="S43" s="149">
        <v>-1900</v>
      </c>
      <c r="T43" s="149">
        <v>-1900</v>
      </c>
      <c r="U43" s="149">
        <f t="shared" si="5"/>
        <v>-22800</v>
      </c>
    </row>
    <row r="44" spans="1:21" x14ac:dyDescent="0.3">
      <c r="A44" s="9"/>
      <c r="B44" s="9"/>
      <c r="C44" s="134" t="s">
        <v>127</v>
      </c>
      <c r="D44" s="9"/>
      <c r="E44" s="9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1"/>
    </row>
    <row r="45" spans="1:21" x14ac:dyDescent="0.3">
      <c r="A45" s="9"/>
      <c r="B45" s="9"/>
      <c r="C45" s="136" t="s">
        <v>128</v>
      </c>
      <c r="D45" s="9"/>
      <c r="E45" s="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1"/>
    </row>
    <row r="46" spans="1:21" x14ac:dyDescent="0.3">
      <c r="A46" s="9"/>
      <c r="B46" s="9"/>
      <c r="C46" s="136" t="s">
        <v>129</v>
      </c>
      <c r="D46" s="9"/>
      <c r="E46" s="9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1"/>
    </row>
    <row r="47" spans="1:21" x14ac:dyDescent="0.3">
      <c r="A47" s="9"/>
      <c r="B47" s="9"/>
      <c r="C47" s="136" t="s">
        <v>130</v>
      </c>
      <c r="D47" s="9"/>
      <c r="E47" s="9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1"/>
    </row>
    <row r="48" spans="1:21" x14ac:dyDescent="0.3">
      <c r="A48" s="9"/>
      <c r="B48" s="9"/>
      <c r="C48" s="136" t="s">
        <v>131</v>
      </c>
      <c r="D48" s="9"/>
      <c r="E48" s="9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1"/>
    </row>
    <row r="49" spans="1:21" x14ac:dyDescent="0.3">
      <c r="A49" s="9"/>
      <c r="B49" s="9"/>
      <c r="C49" s="136" t="s">
        <v>132</v>
      </c>
      <c r="D49" s="9"/>
      <c r="E49" s="9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1"/>
    </row>
    <row r="50" spans="1:21" x14ac:dyDescent="0.3">
      <c r="A50" s="9"/>
      <c r="B50" s="9"/>
      <c r="C50" s="136" t="s">
        <v>133</v>
      </c>
      <c r="D50" s="9"/>
      <c r="E50" s="9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1"/>
    </row>
    <row r="51" spans="1:21" x14ac:dyDescent="0.3">
      <c r="A51" s="9"/>
      <c r="B51" s="9"/>
      <c r="C51" s="136" t="s">
        <v>134</v>
      </c>
      <c r="D51" s="9"/>
      <c r="E51" s="9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1"/>
    </row>
    <row r="52" spans="1:21" x14ac:dyDescent="0.3">
      <c r="A52" s="9"/>
      <c r="B52" s="9"/>
      <c r="C52" s="136" t="s">
        <v>135</v>
      </c>
      <c r="D52" s="9"/>
      <c r="E52" s="9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1"/>
    </row>
    <row r="53" spans="1:21" x14ac:dyDescent="0.3">
      <c r="A53" s="9"/>
      <c r="B53" s="9"/>
      <c r="C53" s="136" t="s">
        <v>136</v>
      </c>
      <c r="D53" s="9"/>
      <c r="E53" s="9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1"/>
    </row>
    <row r="54" spans="1:21" x14ac:dyDescent="0.3">
      <c r="A54" s="9"/>
      <c r="B54" s="9"/>
      <c r="C54" s="136"/>
      <c r="D54" s="9"/>
      <c r="E54" s="9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1"/>
    </row>
    <row r="55" spans="1:21" s="110" customFormat="1" ht="14.4" customHeight="1" x14ac:dyDescent="0.3">
      <c r="A55" s="159"/>
      <c r="B55" s="159"/>
      <c r="C55" s="160" t="s">
        <v>137</v>
      </c>
      <c r="D55" s="159"/>
      <c r="E55" s="159"/>
      <c r="F55" s="161">
        <f>SUM(F39:F53)</f>
        <v>-8250</v>
      </c>
      <c r="G55" s="161">
        <f>SUM(G39:G53)</f>
        <v>-8250</v>
      </c>
      <c r="H55" s="161">
        <f t="shared" ref="H55:T55" si="7">SUM(H39:H53)</f>
        <v>-8250</v>
      </c>
      <c r="I55" s="161">
        <f t="shared" si="7"/>
        <v>-8250</v>
      </c>
      <c r="J55" s="161">
        <f t="shared" si="7"/>
        <v>-8250</v>
      </c>
      <c r="K55" s="161">
        <f t="shared" si="7"/>
        <v>-8250</v>
      </c>
      <c r="L55" s="161">
        <f t="shared" si="7"/>
        <v>-8250</v>
      </c>
      <c r="M55" s="161">
        <f t="shared" si="7"/>
        <v>-8250</v>
      </c>
      <c r="N55" s="161">
        <f t="shared" si="7"/>
        <v>-8250</v>
      </c>
      <c r="O55" s="161">
        <f t="shared" si="7"/>
        <v>-8250</v>
      </c>
      <c r="P55" s="161">
        <f t="shared" si="7"/>
        <v>-8250</v>
      </c>
      <c r="Q55" s="161">
        <f t="shared" si="7"/>
        <v>-8250</v>
      </c>
      <c r="R55" s="161">
        <f t="shared" si="7"/>
        <v>-8250</v>
      </c>
      <c r="S55" s="161">
        <f t="shared" si="7"/>
        <v>-8250</v>
      </c>
      <c r="T55" s="161">
        <f t="shared" si="7"/>
        <v>-8250</v>
      </c>
      <c r="U55" s="153">
        <f t="shared" si="5"/>
        <v>-99000</v>
      </c>
    </row>
    <row r="56" spans="1:21" s="110" customFormat="1" ht="14.4" customHeight="1" x14ac:dyDescent="0.3">
      <c r="A56" s="162"/>
      <c r="B56" s="162"/>
      <c r="C56" s="163" t="s">
        <v>6</v>
      </c>
      <c r="D56" s="162"/>
      <c r="E56" s="162"/>
      <c r="F56" s="164">
        <f>F13+F14+F35+F55</f>
        <v>317153.59200000006</v>
      </c>
      <c r="G56" s="164">
        <f t="shared" ref="G56:T56" si="8">G13+G14+G35+G55</f>
        <v>321932.08799999993</v>
      </c>
      <c r="H56" s="164">
        <f t="shared" si="8"/>
        <v>326710.58399999997</v>
      </c>
      <c r="I56" s="164">
        <f t="shared" si="8"/>
        <v>331489.07999999996</v>
      </c>
      <c r="J56" s="164">
        <f t="shared" si="8"/>
        <v>329099.83200000005</v>
      </c>
      <c r="K56" s="164">
        <f t="shared" si="8"/>
        <v>332086.39199999993</v>
      </c>
      <c r="L56" s="164">
        <f t="shared" si="8"/>
        <v>342240.69600000005</v>
      </c>
      <c r="M56" s="164">
        <f t="shared" si="8"/>
        <v>338059.51199999993</v>
      </c>
      <c r="N56" s="164">
        <f t="shared" si="8"/>
        <v>351797.68800000002</v>
      </c>
      <c r="O56" s="164">
        <f t="shared" si="8"/>
        <v>353290.96799999999</v>
      </c>
      <c r="P56" s="164">
        <f t="shared" si="8"/>
        <v>344032.63199999998</v>
      </c>
      <c r="Q56" s="164">
        <f t="shared" si="8"/>
        <v>345525.91200000001</v>
      </c>
      <c r="R56" s="164">
        <f t="shared" si="8"/>
        <v>352365</v>
      </c>
      <c r="S56" s="164">
        <f t="shared" si="8"/>
        <v>356850</v>
      </c>
      <c r="T56" s="164">
        <f t="shared" si="8"/>
        <v>332355</v>
      </c>
      <c r="U56" s="147">
        <f t="shared" si="5"/>
        <v>4033418.9760000003</v>
      </c>
    </row>
    <row r="57" spans="1:21" s="110" customFormat="1" ht="14.4" customHeight="1" x14ac:dyDescent="0.3">
      <c r="A57" s="108"/>
      <c r="B57" s="108"/>
      <c r="C57" s="137" t="s">
        <v>138</v>
      </c>
      <c r="D57" s="108"/>
      <c r="E57" s="108"/>
      <c r="F57" s="332">
        <v>-1450</v>
      </c>
      <c r="G57" s="332">
        <v>-1450</v>
      </c>
      <c r="H57" s="332">
        <v>-1450</v>
      </c>
      <c r="I57" s="332">
        <v>-1450</v>
      </c>
      <c r="J57" s="332">
        <v>-1450</v>
      </c>
      <c r="K57" s="332">
        <v>-1450</v>
      </c>
      <c r="L57" s="332">
        <v>-1450</v>
      </c>
      <c r="M57" s="332">
        <v>-1450</v>
      </c>
      <c r="N57" s="332">
        <v>-1450</v>
      </c>
      <c r="O57" s="332">
        <v>-1450</v>
      </c>
      <c r="P57" s="332">
        <v>-1450</v>
      </c>
      <c r="Q57" s="332">
        <v>-1850</v>
      </c>
      <c r="R57" s="332">
        <v>-1850</v>
      </c>
      <c r="S57" s="332">
        <v>-1850</v>
      </c>
      <c r="T57" s="332">
        <v>-1850</v>
      </c>
      <c r="U57" s="333">
        <f t="shared" si="5"/>
        <v>-17800</v>
      </c>
    </row>
    <row r="58" spans="1:21" s="110" customFormat="1" ht="25.05" customHeight="1" x14ac:dyDescent="0.3">
      <c r="A58" s="108"/>
      <c r="B58" s="108"/>
      <c r="C58" s="137" t="s">
        <v>8</v>
      </c>
      <c r="D58" s="108"/>
      <c r="E58" s="108"/>
      <c r="F58" s="333">
        <f>F56+F57</f>
        <v>315703.59200000006</v>
      </c>
      <c r="G58" s="333">
        <f t="shared" ref="G58:T58" si="9">G56+G57</f>
        <v>320482.08799999993</v>
      </c>
      <c r="H58" s="333">
        <f t="shared" si="9"/>
        <v>325260.58399999997</v>
      </c>
      <c r="I58" s="333">
        <f t="shared" si="9"/>
        <v>330039.07999999996</v>
      </c>
      <c r="J58" s="333">
        <f t="shared" si="9"/>
        <v>327649.83200000005</v>
      </c>
      <c r="K58" s="333">
        <f t="shared" si="9"/>
        <v>330636.39199999993</v>
      </c>
      <c r="L58" s="333">
        <f t="shared" si="9"/>
        <v>340790.69600000005</v>
      </c>
      <c r="M58" s="333">
        <f t="shared" si="9"/>
        <v>336609.51199999993</v>
      </c>
      <c r="N58" s="333">
        <f t="shared" si="9"/>
        <v>350347.68800000002</v>
      </c>
      <c r="O58" s="333">
        <f t="shared" si="9"/>
        <v>351840.96799999999</v>
      </c>
      <c r="P58" s="333">
        <f t="shared" si="9"/>
        <v>342582.63199999998</v>
      </c>
      <c r="Q58" s="333">
        <f t="shared" si="9"/>
        <v>343675.91200000001</v>
      </c>
      <c r="R58" s="333">
        <f t="shared" si="9"/>
        <v>350515</v>
      </c>
      <c r="S58" s="333">
        <f t="shared" si="9"/>
        <v>355000</v>
      </c>
      <c r="T58" s="333">
        <f t="shared" si="9"/>
        <v>330505</v>
      </c>
      <c r="U58" s="333">
        <f t="shared" si="5"/>
        <v>4015618.9760000003</v>
      </c>
    </row>
    <row r="59" spans="1:21" s="110" customFormat="1" ht="25.05" customHeight="1" x14ac:dyDescent="0.3">
      <c r="A59" s="108"/>
      <c r="B59" s="108"/>
      <c r="C59" s="138" t="s">
        <v>139</v>
      </c>
      <c r="D59" s="139"/>
      <c r="E59" s="108"/>
      <c r="F59" s="333">
        <f>('BS 2024'!F27*0.2)</f>
        <v>-69636.800000000003</v>
      </c>
      <c r="G59" s="333">
        <f>('BS 2024'!G27*0.2)</f>
        <v>-66273.2</v>
      </c>
      <c r="H59" s="333">
        <f>('BS 2024'!H27*0.2)</f>
        <v>-62909.600000000006</v>
      </c>
      <c r="I59" s="333">
        <f>('BS 2024'!I27*0.2)</f>
        <v>-59546</v>
      </c>
      <c r="J59" s="333">
        <f>('BS 2024'!J27*0.2)</f>
        <v>-56182.400000000001</v>
      </c>
      <c r="K59" s="333">
        <f>('BS 2024'!K27*0.2)</f>
        <v>-52818.8</v>
      </c>
      <c r="L59" s="333">
        <f>('BS 2024'!L27*0.2)</f>
        <v>-49455.200000000004</v>
      </c>
      <c r="M59" s="333">
        <f>('BS 2024'!M27*0.2)</f>
        <v>-46091.600000000006</v>
      </c>
      <c r="N59" s="333">
        <f>('BS 2024'!N27*0.2)</f>
        <v>-42728</v>
      </c>
      <c r="O59" s="333">
        <f>('BS 2024'!O27*0.2)</f>
        <v>-39364.400000000001</v>
      </c>
      <c r="P59" s="333">
        <f>('BS 2024'!P27*0.2)</f>
        <v>-36000.800000000003</v>
      </c>
      <c r="Q59" s="333">
        <f>('BS 2024'!Q27*0.2)</f>
        <v>-32637.200000000001</v>
      </c>
      <c r="R59" s="333">
        <f>('BS 2024'!R27*0.2)</f>
        <v>-28216.800000000003</v>
      </c>
      <c r="S59" s="333">
        <f>('BS 2024'!S27*0.2)</f>
        <v>-23796.400000000001</v>
      </c>
      <c r="T59" s="333">
        <f>('BS 2024'!T27*0.2)</f>
        <v>-19376</v>
      </c>
      <c r="U59" s="333">
        <f t="shared" si="5"/>
        <v>-613644</v>
      </c>
    </row>
    <row r="60" spans="1:21" s="110" customFormat="1" ht="25.05" customHeight="1" x14ac:dyDescent="0.3">
      <c r="A60" s="108"/>
      <c r="B60" s="108"/>
      <c r="C60" s="137" t="s">
        <v>10</v>
      </c>
      <c r="D60" s="108"/>
      <c r="E60" s="108"/>
      <c r="F60" s="333">
        <f>F56</f>
        <v>317153.59200000006</v>
      </c>
      <c r="G60" s="333">
        <f t="shared" ref="G60:T60" si="10">G56</f>
        <v>321932.08799999993</v>
      </c>
      <c r="H60" s="333">
        <f t="shared" si="10"/>
        <v>326710.58399999997</v>
      </c>
      <c r="I60" s="333">
        <f t="shared" si="10"/>
        <v>331489.07999999996</v>
      </c>
      <c r="J60" s="333">
        <f t="shared" si="10"/>
        <v>329099.83200000005</v>
      </c>
      <c r="K60" s="333">
        <f t="shared" si="10"/>
        <v>332086.39199999993</v>
      </c>
      <c r="L60" s="333">
        <f t="shared" si="10"/>
        <v>342240.69600000005</v>
      </c>
      <c r="M60" s="333">
        <f t="shared" si="10"/>
        <v>338059.51199999993</v>
      </c>
      <c r="N60" s="333">
        <f t="shared" si="10"/>
        <v>351797.68800000002</v>
      </c>
      <c r="O60" s="333">
        <f t="shared" si="10"/>
        <v>353290.96799999999</v>
      </c>
      <c r="P60" s="333">
        <f t="shared" si="10"/>
        <v>344032.63199999998</v>
      </c>
      <c r="Q60" s="333">
        <f t="shared" si="10"/>
        <v>345525.91200000001</v>
      </c>
      <c r="R60" s="333">
        <f t="shared" si="10"/>
        <v>352365</v>
      </c>
      <c r="S60" s="333">
        <f t="shared" si="10"/>
        <v>356850</v>
      </c>
      <c r="T60" s="333">
        <f t="shared" si="10"/>
        <v>332355</v>
      </c>
      <c r="U60" s="333">
        <f t="shared" si="5"/>
        <v>4033418.9760000003</v>
      </c>
    </row>
    <row r="61" spans="1:21" s="110" customFormat="1" ht="25.05" customHeight="1" x14ac:dyDescent="0.3">
      <c r="A61" s="108"/>
      <c r="B61" s="108"/>
      <c r="C61" s="138" t="s">
        <v>11</v>
      </c>
      <c r="D61" s="108"/>
      <c r="E61" s="108"/>
      <c r="F61" s="333">
        <f>(F60*0.2)*-1</f>
        <v>-63430.718400000012</v>
      </c>
      <c r="G61" s="333">
        <f t="shared" ref="G61:T61" si="11">(G60*0.2)*-1</f>
        <v>-64386.417599999986</v>
      </c>
      <c r="H61" s="333">
        <f t="shared" si="11"/>
        <v>-65342.116799999996</v>
      </c>
      <c r="I61" s="333">
        <f t="shared" si="11"/>
        <v>-66297.815999999992</v>
      </c>
      <c r="J61" s="333">
        <f t="shared" si="11"/>
        <v>-65819.966400000019</v>
      </c>
      <c r="K61" s="333">
        <f t="shared" si="11"/>
        <v>-66417.278399999996</v>
      </c>
      <c r="L61" s="333">
        <f t="shared" si="11"/>
        <v>-68448.13920000002</v>
      </c>
      <c r="M61" s="333">
        <f t="shared" si="11"/>
        <v>-67611.902399999992</v>
      </c>
      <c r="N61" s="333">
        <f t="shared" si="11"/>
        <v>-70359.537600000011</v>
      </c>
      <c r="O61" s="333">
        <f t="shared" si="11"/>
        <v>-70658.193599999999</v>
      </c>
      <c r="P61" s="333">
        <f t="shared" si="11"/>
        <v>-68806.526400000002</v>
      </c>
      <c r="Q61" s="333">
        <f t="shared" si="11"/>
        <v>-69105.182400000005</v>
      </c>
      <c r="R61" s="333">
        <f t="shared" si="11"/>
        <v>-70473</v>
      </c>
      <c r="S61" s="333">
        <f t="shared" si="11"/>
        <v>-71370</v>
      </c>
      <c r="T61" s="333">
        <f t="shared" si="11"/>
        <v>-66471</v>
      </c>
      <c r="U61" s="333">
        <f t="shared" si="5"/>
        <v>-806683.79520000005</v>
      </c>
    </row>
    <row r="62" spans="1:21" s="110" customFormat="1" ht="14.4" customHeight="1" x14ac:dyDescent="0.3">
      <c r="A62" s="165"/>
      <c r="B62" s="165"/>
      <c r="C62" s="166" t="s">
        <v>12</v>
      </c>
      <c r="D62" s="165"/>
      <c r="E62" s="165"/>
      <c r="F62" s="294">
        <f>F60+F61</f>
        <v>253722.87360000005</v>
      </c>
      <c r="G62" s="294">
        <f t="shared" ref="G62:T62" si="12">G60+G61</f>
        <v>257545.67039999994</v>
      </c>
      <c r="H62" s="294">
        <f t="shared" si="12"/>
        <v>261368.46719999998</v>
      </c>
      <c r="I62" s="294">
        <f t="shared" si="12"/>
        <v>265191.26399999997</v>
      </c>
      <c r="J62" s="294">
        <f t="shared" si="12"/>
        <v>263279.86560000002</v>
      </c>
      <c r="K62" s="294">
        <f t="shared" si="12"/>
        <v>265669.11359999992</v>
      </c>
      <c r="L62" s="294">
        <f t="shared" si="12"/>
        <v>273792.55680000002</v>
      </c>
      <c r="M62" s="294">
        <f t="shared" si="12"/>
        <v>270447.60959999997</v>
      </c>
      <c r="N62" s="294">
        <f t="shared" si="12"/>
        <v>281438.15040000004</v>
      </c>
      <c r="O62" s="294">
        <f t="shared" si="12"/>
        <v>282632.77439999999</v>
      </c>
      <c r="P62" s="294">
        <f t="shared" si="12"/>
        <v>275226.10560000001</v>
      </c>
      <c r="Q62" s="294">
        <f t="shared" si="12"/>
        <v>276420.72960000002</v>
      </c>
      <c r="R62" s="294">
        <f t="shared" si="12"/>
        <v>281892</v>
      </c>
      <c r="S62" s="294">
        <f t="shared" si="12"/>
        <v>285480</v>
      </c>
      <c r="T62" s="294">
        <f t="shared" si="12"/>
        <v>265884</v>
      </c>
      <c r="U62" s="295">
        <f t="shared" si="5"/>
        <v>3226735.1808000002</v>
      </c>
    </row>
    <row r="63" spans="1:21" x14ac:dyDescent="0.3">
      <c r="F63"/>
    </row>
    <row r="64" spans="1:21" x14ac:dyDescent="0.3">
      <c r="F64"/>
    </row>
    <row r="65" spans="6:6" x14ac:dyDescent="0.3">
      <c r="F65"/>
    </row>
    <row r="66" spans="6:6" x14ac:dyDescent="0.3">
      <c r="F66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</sheetData>
  <phoneticPr fontId="7" type="noConversion"/>
  <pageMargins left="0.7" right="0.7" top="0.75" bottom="0.75" header="0.3" footer="0.3"/>
  <ignoredErrors>
    <ignoredError sqref="U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05BE-4402-4643-B0BD-9FE38298D4FD}">
  <sheetPr codeName="Sheet28"/>
  <dimension ref="A2:W57"/>
  <sheetViews>
    <sheetView showGridLines="0" topLeftCell="A7" workbookViewId="0">
      <selection activeCell="A15" sqref="A12:XFD15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6640625" customWidth="1"/>
    <col min="17" max="17" width="9.88671875" bestFit="1" customWidth="1"/>
    <col min="18" max="18" width="9.88671875" customWidth="1"/>
    <col min="19" max="19" width="9.5546875" customWidth="1"/>
    <col min="22" max="22" width="10.6640625" bestFit="1" customWidth="1"/>
    <col min="23" max="23" width="10.21875" bestFit="1" customWidth="1"/>
  </cols>
  <sheetData>
    <row r="2" spans="1:22" ht="18" x14ac:dyDescent="0.35">
      <c r="A2" s="130" t="s">
        <v>143</v>
      </c>
      <c r="C2" s="129"/>
      <c r="D2" s="9"/>
    </row>
    <row r="3" spans="1:22" x14ac:dyDescent="0.3">
      <c r="A3" s="128" t="s">
        <v>144</v>
      </c>
      <c r="C3" s="14"/>
    </row>
    <row r="4" spans="1:22" x14ac:dyDescent="0.3">
      <c r="A4" s="128"/>
      <c r="C4" s="14"/>
    </row>
    <row r="6" spans="1:22" x14ac:dyDescent="0.3">
      <c r="B6" s="14" t="s">
        <v>191</v>
      </c>
    </row>
    <row r="7" spans="1:22" x14ac:dyDescent="0.3">
      <c r="A7" s="140"/>
      <c r="B7" s="172" t="s">
        <v>64</v>
      </c>
      <c r="C7" s="145"/>
      <c r="D7" s="145"/>
      <c r="E7" s="145"/>
      <c r="F7" s="145"/>
      <c r="G7" s="173">
        <v>45292</v>
      </c>
      <c r="H7" s="173">
        <v>45323</v>
      </c>
      <c r="I7" s="173">
        <v>45352</v>
      </c>
      <c r="J7" s="173">
        <v>45383</v>
      </c>
      <c r="K7" s="173">
        <v>45413</v>
      </c>
      <c r="L7" s="173">
        <v>45444</v>
      </c>
      <c r="M7" s="173">
        <v>45474</v>
      </c>
      <c r="N7" s="173">
        <v>45505</v>
      </c>
      <c r="O7" s="173">
        <v>45536</v>
      </c>
      <c r="P7" s="173">
        <v>45566</v>
      </c>
      <c r="Q7" s="173">
        <v>45597</v>
      </c>
      <c r="R7" s="173">
        <v>45627</v>
      </c>
      <c r="S7" s="173">
        <v>45658</v>
      </c>
      <c r="T7" s="173">
        <v>45689</v>
      </c>
      <c r="U7" s="173">
        <v>45717</v>
      </c>
      <c r="V7" s="174" t="s">
        <v>72</v>
      </c>
    </row>
    <row r="9" spans="1:22" x14ac:dyDescent="0.3">
      <c r="B9" s="14" t="s">
        <v>143</v>
      </c>
    </row>
    <row r="10" spans="1:22" x14ac:dyDescent="0.3">
      <c r="A10" s="145"/>
      <c r="B10" s="172" t="s">
        <v>146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</row>
    <row r="11" spans="1:22" x14ac:dyDescent="0.3">
      <c r="B11" s="307" t="s">
        <v>37</v>
      </c>
      <c r="C11" s="308"/>
      <c r="D11" s="308"/>
      <c r="E11" s="308"/>
      <c r="F11" s="308"/>
      <c r="G11" s="309">
        <f t="shared" ref="G11:R11" si="0">SUM(G12:G14)</f>
        <v>338078.59200000006</v>
      </c>
      <c r="H11" s="309">
        <f t="shared" si="0"/>
        <v>342857.08799999993</v>
      </c>
      <c r="I11" s="309">
        <f t="shared" si="0"/>
        <v>347635.58399999997</v>
      </c>
      <c r="J11" s="309">
        <f t="shared" si="0"/>
        <v>352414.07999999996</v>
      </c>
      <c r="K11" s="309">
        <f t="shared" si="0"/>
        <v>350024.83200000005</v>
      </c>
      <c r="L11" s="309">
        <f t="shared" si="0"/>
        <v>353011.39199999993</v>
      </c>
      <c r="M11" s="309">
        <f t="shared" si="0"/>
        <v>363165.69600000005</v>
      </c>
      <c r="N11" s="309">
        <f t="shared" si="0"/>
        <v>358984.51199999993</v>
      </c>
      <c r="O11" s="309">
        <f t="shared" si="0"/>
        <v>372722.68800000002</v>
      </c>
      <c r="P11" s="309">
        <f t="shared" si="0"/>
        <v>374215.96799999999</v>
      </c>
      <c r="Q11" s="309">
        <f t="shared" si="0"/>
        <v>364957.63199999998</v>
      </c>
      <c r="R11" s="309">
        <f t="shared" si="0"/>
        <v>366450.91200000001</v>
      </c>
      <c r="S11" s="208">
        <f>'CF 2025'!G11</f>
        <v>373290</v>
      </c>
      <c r="T11" s="208">
        <f>'CF 2025'!H11</f>
        <v>377775</v>
      </c>
      <c r="U11" s="208">
        <f>'CF 2025'!I11</f>
        <v>353280</v>
      </c>
      <c r="V11" s="208">
        <f>SUM(G11:R11)</f>
        <v>4284518.9759999998</v>
      </c>
    </row>
    <row r="12" spans="1:22" x14ac:dyDescent="0.3">
      <c r="B12" s="136" t="s">
        <v>305</v>
      </c>
      <c r="C12" s="308"/>
      <c r="D12" s="308"/>
      <c r="E12" s="308"/>
      <c r="F12" s="308"/>
      <c r="G12" s="309">
        <f>'IS 2024'!F12</f>
        <v>338078.59200000006</v>
      </c>
      <c r="H12" s="309">
        <f>'IS 2024'!G12</f>
        <v>342857.08799999993</v>
      </c>
      <c r="I12" s="309">
        <f>'IS 2024'!H12</f>
        <v>347635.58399999997</v>
      </c>
      <c r="J12" s="309">
        <f>'IS 2024'!I12</f>
        <v>352414.07999999996</v>
      </c>
      <c r="K12" s="309">
        <f>'IS 2024'!J12</f>
        <v>350024.83200000005</v>
      </c>
      <c r="L12" s="309">
        <f>'IS 2024'!K12</f>
        <v>353011.39199999993</v>
      </c>
      <c r="M12" s="309">
        <f>'IS 2024'!L12</f>
        <v>363165.69600000005</v>
      </c>
      <c r="N12" s="309">
        <f>'IS 2024'!M12</f>
        <v>358984.51199999993</v>
      </c>
      <c r="O12" s="309">
        <f>'IS 2024'!N12</f>
        <v>372722.68800000002</v>
      </c>
      <c r="P12" s="309">
        <f>'IS 2024'!O12</f>
        <v>374215.96799999999</v>
      </c>
      <c r="Q12" s="309">
        <f>'IS 2024'!P12</f>
        <v>364957.63199999998</v>
      </c>
      <c r="R12" s="309">
        <f>'IS 2024'!Q12</f>
        <v>366450.91200000001</v>
      </c>
      <c r="S12" s="208">
        <f>'CF 2025'!G12</f>
        <v>373290</v>
      </c>
      <c r="T12" s="208">
        <f>'CF 2025'!H12</f>
        <v>377775</v>
      </c>
      <c r="U12" s="208">
        <f>'CF 2025'!I12</f>
        <v>353280</v>
      </c>
      <c r="V12" s="308"/>
    </row>
    <row r="13" spans="1:22" x14ac:dyDescent="0.3">
      <c r="B13" s="311" t="s">
        <v>121</v>
      </c>
      <c r="C13" s="308"/>
      <c r="D13" s="308"/>
      <c r="E13" s="308"/>
      <c r="F13" s="308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208"/>
      <c r="T13" s="208"/>
      <c r="U13" s="208"/>
      <c r="V13" s="308"/>
    </row>
    <row r="14" spans="1:22" x14ac:dyDescent="0.3">
      <c r="B14" s="311" t="s">
        <v>122</v>
      </c>
      <c r="C14" s="308"/>
      <c r="D14" s="308"/>
      <c r="E14" s="308"/>
      <c r="F14" s="308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208"/>
      <c r="T14" s="208"/>
      <c r="U14" s="208"/>
      <c r="V14" s="308"/>
    </row>
    <row r="15" spans="1:22" x14ac:dyDescent="0.3">
      <c r="B15" s="307" t="s">
        <v>38</v>
      </c>
      <c r="C15" s="308"/>
      <c r="D15" s="308"/>
      <c r="E15" s="308"/>
      <c r="F15" s="308"/>
      <c r="G15" s="309">
        <f>'CF 2023'!S14</f>
        <v>-625</v>
      </c>
      <c r="H15" s="309">
        <f>'CF 2023'!T14</f>
        <v>-625</v>
      </c>
      <c r="I15" s="309">
        <f>'CF 2023'!U14</f>
        <v>-625</v>
      </c>
      <c r="J15" s="309">
        <v>-625</v>
      </c>
      <c r="K15" s="309">
        <v>-625</v>
      </c>
      <c r="L15" s="309">
        <v>-625</v>
      </c>
      <c r="M15" s="309">
        <v>-625</v>
      </c>
      <c r="N15" s="309">
        <v>-625</v>
      </c>
      <c r="O15" s="309">
        <v>-625</v>
      </c>
      <c r="P15" s="309">
        <v>-625</v>
      </c>
      <c r="Q15" s="309">
        <v>-625</v>
      </c>
      <c r="R15" s="309">
        <v>-625</v>
      </c>
      <c r="S15" s="309">
        <v>-625</v>
      </c>
      <c r="T15" s="309">
        <v>-625</v>
      </c>
      <c r="U15" s="309">
        <v>-625</v>
      </c>
      <c r="V15" s="208">
        <f>SUM(G15:R15)</f>
        <v>-7500</v>
      </c>
    </row>
    <row r="16" spans="1:22" x14ac:dyDescent="0.3">
      <c r="B16" s="307" t="s">
        <v>147</v>
      </c>
      <c r="C16" s="308"/>
      <c r="D16" s="308"/>
      <c r="E16" s="308"/>
      <c r="F16" s="308"/>
      <c r="G16" s="309">
        <f>'IS 2024'!F59</f>
        <v>-69636.800000000003</v>
      </c>
      <c r="H16" s="309">
        <f>'IS 2024'!G59</f>
        <v>-66273.2</v>
      </c>
      <c r="I16" s="309">
        <f>'IS 2024'!H59</f>
        <v>-62909.600000000006</v>
      </c>
      <c r="J16" s="309">
        <f>'IS 2024'!I59</f>
        <v>-59546</v>
      </c>
      <c r="K16" s="309">
        <f>'IS 2024'!J59</f>
        <v>-56182.400000000001</v>
      </c>
      <c r="L16" s="309">
        <f>'IS 2024'!K59</f>
        <v>-52818.8</v>
      </c>
      <c r="M16" s="309">
        <f>'IS 2024'!L59</f>
        <v>-49455.200000000004</v>
      </c>
      <c r="N16" s="309">
        <f>'IS 2024'!M59</f>
        <v>-46091.600000000006</v>
      </c>
      <c r="O16" s="309">
        <f>'IS 2024'!N59</f>
        <v>-42728</v>
      </c>
      <c r="P16" s="309">
        <f>'IS 2024'!O59</f>
        <v>-39364.400000000001</v>
      </c>
      <c r="Q16" s="309">
        <f>'IS 2024'!P59</f>
        <v>-36000.800000000003</v>
      </c>
      <c r="R16" s="309">
        <f>'IS 2024'!Q59</f>
        <v>-32637.200000000001</v>
      </c>
      <c r="S16" s="309">
        <f>'IS 2024'!R59</f>
        <v>-28216.800000000003</v>
      </c>
      <c r="T16" s="309">
        <f>'IS 2024'!S59</f>
        <v>-23796.400000000001</v>
      </c>
      <c r="U16" s="309">
        <f>'IS 2024'!T59</f>
        <v>-19376</v>
      </c>
      <c r="V16" s="308"/>
    </row>
    <row r="17" spans="1:23" x14ac:dyDescent="0.3">
      <c r="B17" s="307" t="s">
        <v>148</v>
      </c>
      <c r="C17" s="308"/>
      <c r="D17" s="308"/>
      <c r="E17" s="308"/>
      <c r="F17" s="308"/>
      <c r="G17" s="309">
        <f>'IS 2024'!F61</f>
        <v>-63430.718400000012</v>
      </c>
      <c r="H17" s="309">
        <f>'IS 2024'!G61</f>
        <v>-64386.417599999986</v>
      </c>
      <c r="I17" s="309">
        <f>'IS 2024'!H61</f>
        <v>-65342.116799999996</v>
      </c>
      <c r="J17" s="309">
        <f>'IS 2024'!I61</f>
        <v>-66297.815999999992</v>
      </c>
      <c r="K17" s="309">
        <f>'IS 2024'!J61</f>
        <v>-65819.966400000019</v>
      </c>
      <c r="L17" s="309">
        <f>'IS 2024'!K61</f>
        <v>-66417.278399999996</v>
      </c>
      <c r="M17" s="309">
        <f>'IS 2024'!L61</f>
        <v>-68448.13920000002</v>
      </c>
      <c r="N17" s="309">
        <f>'IS 2024'!M61</f>
        <v>-67611.902399999992</v>
      </c>
      <c r="O17" s="309">
        <f>'IS 2024'!N61</f>
        <v>-70359.537600000011</v>
      </c>
      <c r="P17" s="309">
        <f>'IS 2024'!O61</f>
        <v>-70658.193599999999</v>
      </c>
      <c r="Q17" s="309">
        <f>'IS 2024'!P61</f>
        <v>-68806.526400000002</v>
      </c>
      <c r="R17" s="309">
        <f>'IS 2024'!Q61</f>
        <v>-69105.182400000005</v>
      </c>
      <c r="S17" s="309">
        <f>'IS 2024'!R61</f>
        <v>-70473</v>
      </c>
      <c r="T17" s="309">
        <f>'IS 2024'!S61</f>
        <v>-71370</v>
      </c>
      <c r="U17" s="309">
        <f>'IS 2024'!T61</f>
        <v>-66471</v>
      </c>
      <c r="V17" s="308"/>
    </row>
    <row r="18" spans="1:23" x14ac:dyDescent="0.3">
      <c r="A18" s="145"/>
      <c r="B18" s="175" t="s">
        <v>149</v>
      </c>
      <c r="C18" s="145"/>
      <c r="D18" s="145"/>
      <c r="E18" s="145"/>
      <c r="F18" s="145"/>
      <c r="G18" s="203">
        <f t="shared" ref="G18:U18" si="1">G11</f>
        <v>338078.59200000006</v>
      </c>
      <c r="H18" s="203">
        <f t="shared" si="1"/>
        <v>342857.08799999993</v>
      </c>
      <c r="I18" s="203">
        <f t="shared" si="1"/>
        <v>347635.58399999997</v>
      </c>
      <c r="J18" s="203">
        <f t="shared" si="1"/>
        <v>352414.07999999996</v>
      </c>
      <c r="K18" s="203">
        <f t="shared" si="1"/>
        <v>350024.83200000005</v>
      </c>
      <c r="L18" s="203">
        <f t="shared" si="1"/>
        <v>353011.39199999993</v>
      </c>
      <c r="M18" s="203">
        <f t="shared" si="1"/>
        <v>363165.69600000005</v>
      </c>
      <c r="N18" s="203">
        <f t="shared" si="1"/>
        <v>358984.51199999993</v>
      </c>
      <c r="O18" s="203">
        <f t="shared" si="1"/>
        <v>372722.68800000002</v>
      </c>
      <c r="P18" s="203">
        <f t="shared" si="1"/>
        <v>374215.96799999999</v>
      </c>
      <c r="Q18" s="203">
        <f t="shared" si="1"/>
        <v>364957.63199999998</v>
      </c>
      <c r="R18" s="203">
        <f t="shared" si="1"/>
        <v>366450.91200000001</v>
      </c>
      <c r="S18" s="153">
        <f t="shared" si="1"/>
        <v>373290</v>
      </c>
      <c r="T18" s="153">
        <f t="shared" si="1"/>
        <v>377775</v>
      </c>
      <c r="U18" s="153">
        <f t="shared" si="1"/>
        <v>353280</v>
      </c>
      <c r="V18" s="153">
        <f>SUM(G18:R18)</f>
        <v>4284518.9759999998</v>
      </c>
    </row>
    <row r="19" spans="1:23" x14ac:dyDescent="0.3">
      <c r="A19" s="146"/>
      <c r="B19" s="196" t="s">
        <v>150</v>
      </c>
      <c r="C19" s="146"/>
      <c r="D19" s="146"/>
      <c r="E19" s="146"/>
      <c r="F19" s="146"/>
      <c r="G19" s="204">
        <f t="shared" ref="G19:J19" si="2">SUM(G15:G17)</f>
        <v>-133692.5184</v>
      </c>
      <c r="H19" s="204">
        <f t="shared" si="2"/>
        <v>-131284.6176</v>
      </c>
      <c r="I19" s="204">
        <f t="shared" si="2"/>
        <v>-128876.71679999999</v>
      </c>
      <c r="J19" s="204">
        <f t="shared" si="2"/>
        <v>-126468.81599999999</v>
      </c>
      <c r="K19" s="204">
        <f t="shared" ref="K19:R19" si="3">SUM(K15:K17)</f>
        <v>-122627.36640000003</v>
      </c>
      <c r="L19" s="204">
        <f t="shared" si="3"/>
        <v>-119861.0784</v>
      </c>
      <c r="M19" s="204">
        <f t="shared" si="3"/>
        <v>-118528.33920000002</v>
      </c>
      <c r="N19" s="204">
        <f t="shared" si="3"/>
        <v>-114328.5024</v>
      </c>
      <c r="O19" s="204">
        <f t="shared" si="3"/>
        <v>-113712.53760000001</v>
      </c>
      <c r="P19" s="204">
        <f t="shared" si="3"/>
        <v>-110647.59359999999</v>
      </c>
      <c r="Q19" s="204">
        <f t="shared" si="3"/>
        <v>-105432.32640000001</v>
      </c>
      <c r="R19" s="204">
        <f t="shared" si="3"/>
        <v>-102367.3824</v>
      </c>
      <c r="S19" s="147">
        <f t="shared" ref="S19:U19" si="4">SUM(S15:S17)</f>
        <v>-99314.8</v>
      </c>
      <c r="T19" s="147">
        <f t="shared" si="4"/>
        <v>-95791.4</v>
      </c>
      <c r="U19" s="147">
        <f t="shared" si="4"/>
        <v>-86472</v>
      </c>
      <c r="V19" s="147">
        <f>SUM(G19:R19)</f>
        <v>-1427827.7952000001</v>
      </c>
    </row>
    <row r="20" spans="1:23" x14ac:dyDescent="0.3">
      <c r="B20" s="148" t="s">
        <v>151</v>
      </c>
      <c r="C20" s="148"/>
      <c r="D20" s="148"/>
      <c r="E20" s="148"/>
      <c r="F20" s="148"/>
      <c r="G20" s="312">
        <f>'CF 2023'!S19</f>
        <v>204386.07360000006</v>
      </c>
      <c r="H20" s="312">
        <f>'CF 2023'!T19</f>
        <v>211572.47039999993</v>
      </c>
      <c r="I20" s="312">
        <f>'CF 2023'!U19</f>
        <v>218758.86719999998</v>
      </c>
      <c r="J20" s="312">
        <f t="shared" ref="J20" si="5">SUM(J18:J19)</f>
        <v>225945.26399999997</v>
      </c>
      <c r="K20" s="312">
        <f t="shared" ref="K20:R20" si="6">SUM(K18:K19)</f>
        <v>227397.46560000003</v>
      </c>
      <c r="L20" s="312">
        <f t="shared" si="6"/>
        <v>233150.31359999994</v>
      </c>
      <c r="M20" s="312">
        <f t="shared" si="6"/>
        <v>244637.35680000004</v>
      </c>
      <c r="N20" s="312">
        <f t="shared" si="6"/>
        <v>244656.00959999993</v>
      </c>
      <c r="O20" s="312">
        <f t="shared" si="6"/>
        <v>259010.15040000001</v>
      </c>
      <c r="P20" s="312">
        <f t="shared" si="6"/>
        <v>263568.37439999997</v>
      </c>
      <c r="Q20" s="312">
        <f t="shared" si="6"/>
        <v>259525.30559999996</v>
      </c>
      <c r="R20" s="312">
        <f t="shared" si="6"/>
        <v>264083.52960000001</v>
      </c>
      <c r="S20" s="149">
        <f>'CF 2025'!G20</f>
        <v>270175.2</v>
      </c>
      <c r="T20" s="149">
        <f>'CF 2025'!H20</f>
        <v>278183.59999999998</v>
      </c>
      <c r="U20" s="149">
        <f>'CF 2025'!I20</f>
        <v>263008</v>
      </c>
      <c r="V20" s="149">
        <f>SUM(G20:R20)</f>
        <v>2856691.1807999997</v>
      </c>
    </row>
    <row r="21" spans="1:23" x14ac:dyDescent="0.3">
      <c r="B21" s="148" t="s">
        <v>193</v>
      </c>
      <c r="C21" s="148"/>
      <c r="D21" s="148"/>
      <c r="E21" s="148"/>
      <c r="F21" s="148"/>
      <c r="G21" s="312">
        <f>'CF 2023'!S20</f>
        <v>202936.07360000006</v>
      </c>
      <c r="H21" s="312">
        <f>'CF 2023'!T20</f>
        <v>210122.47039999993</v>
      </c>
      <c r="I21" s="312">
        <f>'CF 2023'!U20</f>
        <v>217308.86719999998</v>
      </c>
      <c r="J21" s="312">
        <f>'IS 2023'!I56+J20</f>
        <v>224234.26399999997</v>
      </c>
      <c r="K21" s="312">
        <f>'IS 2023'!J56+K20</f>
        <v>225686.46560000003</v>
      </c>
      <c r="L21" s="312">
        <f>'IS 2023'!K56+L20</f>
        <v>231439.31359999994</v>
      </c>
      <c r="M21" s="312">
        <f>'IS 2023'!L56+M20</f>
        <v>242926.35680000004</v>
      </c>
      <c r="N21" s="312">
        <f>'IS 2023'!M56+N20</f>
        <v>242945.00959999993</v>
      </c>
      <c r="O21" s="312">
        <f>'IS 2023'!N56+O20</f>
        <v>257299.15040000001</v>
      </c>
      <c r="P21" s="312">
        <f>'IS 2023'!O56+P20</f>
        <v>261857.37439999997</v>
      </c>
      <c r="Q21" s="312">
        <f>'IS 2023'!P56+Q20</f>
        <v>257814.30559999996</v>
      </c>
      <c r="R21" s="312">
        <f>'IS 2023'!Q56+R20</f>
        <v>262372.52960000001</v>
      </c>
      <c r="S21" s="149">
        <f>'CF 2025'!G21</f>
        <v>268325.2</v>
      </c>
      <c r="T21" s="149">
        <f>'CF 2025'!H21</f>
        <v>-279633.59999999998</v>
      </c>
      <c r="U21" s="149">
        <f>'CF 2025'!I21</f>
        <v>261558</v>
      </c>
      <c r="V21" s="149"/>
    </row>
    <row r="22" spans="1:23" x14ac:dyDescent="0.3">
      <c r="B22" s="313" t="s">
        <v>152</v>
      </c>
      <c r="C22" s="148"/>
      <c r="D22" s="148"/>
      <c r="E22" s="148"/>
      <c r="F22" s="148"/>
      <c r="G22" s="312">
        <f>'CF 2023'!S21</f>
        <v>0</v>
      </c>
      <c r="H22" s="312">
        <f>'CF 2023'!T21</f>
        <v>0</v>
      </c>
      <c r="I22" s="312">
        <f>'CF 2023'!U21</f>
        <v>0</v>
      </c>
      <c r="J22" s="314"/>
      <c r="K22" s="314"/>
      <c r="L22" s="314"/>
      <c r="M22" s="314"/>
      <c r="N22" s="314"/>
      <c r="O22" s="314"/>
      <c r="P22" s="314"/>
      <c r="Q22" s="314"/>
      <c r="R22" s="314"/>
      <c r="S22" s="149">
        <f>'CF 2025'!G22</f>
        <v>0</v>
      </c>
      <c r="T22" s="149">
        <f>'CF 2025'!H22</f>
        <v>0</v>
      </c>
      <c r="U22" s="149">
        <f>'CF 2025'!I22</f>
        <v>0</v>
      </c>
      <c r="V22" s="308"/>
    </row>
    <row r="23" spans="1:23" x14ac:dyDescent="0.3">
      <c r="B23" s="315" t="s">
        <v>153</v>
      </c>
      <c r="C23" s="148"/>
      <c r="D23" s="148"/>
      <c r="E23" s="148"/>
      <c r="F23" s="148"/>
      <c r="G23" s="312">
        <f>'CF 2023'!S22</f>
        <v>0</v>
      </c>
      <c r="H23" s="312">
        <f>'CF 2023'!T22</f>
        <v>0</v>
      </c>
      <c r="I23" s="312">
        <f>'CF 2023'!U22</f>
        <v>0</v>
      </c>
      <c r="J23" s="314"/>
      <c r="K23" s="314"/>
      <c r="L23" s="314"/>
      <c r="M23" s="314"/>
      <c r="N23" s="314"/>
      <c r="O23" s="314"/>
      <c r="P23" s="314"/>
      <c r="Q23" s="314"/>
      <c r="R23" s="314"/>
      <c r="S23" s="149">
        <f>'CF 2025'!G23</f>
        <v>0</v>
      </c>
      <c r="T23" s="149">
        <f>'CF 2025'!H23</f>
        <v>0</v>
      </c>
      <c r="U23" s="149">
        <f>'CF 2025'!I23</f>
        <v>0</v>
      </c>
      <c r="V23" s="308"/>
    </row>
    <row r="24" spans="1:23" x14ac:dyDescent="0.3">
      <c r="B24" s="316" t="s">
        <v>117</v>
      </c>
      <c r="C24" s="148"/>
      <c r="D24" s="148"/>
      <c r="E24" s="148"/>
      <c r="F24" s="148"/>
      <c r="G24" s="312">
        <f>'CF 2023'!S23</f>
        <v>0</v>
      </c>
      <c r="H24" s="312">
        <f>'CF 2023'!T23</f>
        <v>0</v>
      </c>
      <c r="I24" s="312">
        <f>'CF 2023'!U23</f>
        <v>0</v>
      </c>
      <c r="J24" s="314"/>
      <c r="K24" s="314"/>
      <c r="L24" s="314"/>
      <c r="M24" s="314"/>
      <c r="N24" s="314"/>
      <c r="O24" s="314"/>
      <c r="P24" s="314"/>
      <c r="Q24" s="314"/>
      <c r="R24" s="314"/>
      <c r="S24" s="324">
        <f>'CF 2025'!G24</f>
        <v>0</v>
      </c>
      <c r="T24" s="149">
        <f>'CF 2025'!H24</f>
        <v>0</v>
      </c>
      <c r="U24" s="149">
        <f>'CF 2025'!I24</f>
        <v>0</v>
      </c>
      <c r="V24" s="308"/>
    </row>
    <row r="25" spans="1:23" x14ac:dyDescent="0.3">
      <c r="B25" s="315" t="s">
        <v>154</v>
      </c>
      <c r="C25" s="148"/>
      <c r="D25" s="148"/>
      <c r="E25" s="148"/>
      <c r="F25" s="148"/>
      <c r="G25" s="312">
        <f>'CF 2023'!S24</f>
        <v>0</v>
      </c>
      <c r="H25" s="312">
        <f>'CF 2023'!T24</f>
        <v>0</v>
      </c>
      <c r="I25" s="312">
        <f>'CF 2023'!U24</f>
        <v>0</v>
      </c>
      <c r="J25" s="312">
        <f t="shared" ref="J25" si="7">SUM(J23:J24)</f>
        <v>0</v>
      </c>
      <c r="K25" s="312">
        <f t="shared" ref="K25:R25" si="8">SUM(K23:K24)</f>
        <v>0</v>
      </c>
      <c r="L25" s="312">
        <f t="shared" si="8"/>
        <v>0</v>
      </c>
      <c r="M25" s="312">
        <f t="shared" si="8"/>
        <v>0</v>
      </c>
      <c r="N25" s="312">
        <f t="shared" si="8"/>
        <v>0</v>
      </c>
      <c r="O25" s="312">
        <f t="shared" si="8"/>
        <v>0</v>
      </c>
      <c r="P25" s="312">
        <f t="shared" si="8"/>
        <v>0</v>
      </c>
      <c r="Q25" s="312">
        <f t="shared" si="8"/>
        <v>0</v>
      </c>
      <c r="R25" s="312">
        <f t="shared" si="8"/>
        <v>0</v>
      </c>
      <c r="S25" s="149">
        <f>'CF 2025'!G25</f>
        <v>0</v>
      </c>
      <c r="T25" s="149">
        <f>'CF 2025'!H25</f>
        <v>0</v>
      </c>
      <c r="U25" s="149">
        <f>'CF 2025'!I25</f>
        <v>0</v>
      </c>
      <c r="V25" s="308"/>
    </row>
    <row r="26" spans="1:23" x14ac:dyDescent="0.3">
      <c r="B26" s="317" t="s">
        <v>155</v>
      </c>
      <c r="C26" s="148"/>
      <c r="D26" s="148"/>
      <c r="E26" s="148"/>
      <c r="F26" s="148"/>
      <c r="G26" s="312">
        <f>'CF 2023'!S25</f>
        <v>0</v>
      </c>
      <c r="H26" s="312">
        <f>'CF 2023'!T25</f>
        <v>0</v>
      </c>
      <c r="I26" s="312">
        <f>'CF 2023'!U25</f>
        <v>0</v>
      </c>
      <c r="J26" s="314"/>
      <c r="K26" s="314"/>
      <c r="L26" s="314"/>
      <c r="M26" s="314"/>
      <c r="N26" s="314"/>
      <c r="O26" s="314"/>
      <c r="P26" s="314"/>
      <c r="Q26" s="314"/>
      <c r="R26" s="314"/>
      <c r="S26" s="149">
        <f>'CF 2025'!G26</f>
        <v>0</v>
      </c>
      <c r="T26" s="149">
        <f>'CF 2025'!H26</f>
        <v>0</v>
      </c>
      <c r="U26" s="149">
        <f>'CF 2025'!I26</f>
        <v>0</v>
      </c>
      <c r="V26" s="308"/>
    </row>
    <row r="27" spans="1:23" x14ac:dyDescent="0.3">
      <c r="B27" s="307" t="s">
        <v>156</v>
      </c>
      <c r="C27" s="308"/>
      <c r="D27" s="308"/>
      <c r="E27" s="308"/>
      <c r="F27" s="308"/>
      <c r="G27" s="309">
        <f>'CF 2023'!S26</f>
        <v>0</v>
      </c>
      <c r="H27" s="309">
        <f>'CF 2023'!T26</f>
        <v>0</v>
      </c>
      <c r="I27" s="309">
        <f>'CF 2023'!U26</f>
        <v>0</v>
      </c>
      <c r="J27" s="310"/>
      <c r="K27" s="310"/>
      <c r="L27" s="310"/>
      <c r="M27" s="310"/>
      <c r="N27" s="310"/>
      <c r="O27" s="310"/>
      <c r="P27" s="310"/>
      <c r="Q27" s="310"/>
      <c r="R27" s="310"/>
      <c r="S27" s="208">
        <f>'CF 2025'!G27</f>
        <v>0</v>
      </c>
      <c r="T27" s="208">
        <f>'CF 2025'!H27</f>
        <v>0</v>
      </c>
      <c r="U27" s="208">
        <f>'CF 2025'!I27</f>
        <v>0</v>
      </c>
      <c r="V27" s="308"/>
    </row>
    <row r="28" spans="1:23" x14ac:dyDescent="0.3">
      <c r="B28" s="311" t="s">
        <v>117</v>
      </c>
      <c r="C28" s="308"/>
      <c r="D28" s="308"/>
      <c r="E28" s="308"/>
      <c r="F28" s="308"/>
      <c r="G28" s="309">
        <f>'CF 2023'!S27</f>
        <v>0</v>
      </c>
      <c r="H28" s="309">
        <f>'CF 2023'!T27</f>
        <v>0</v>
      </c>
      <c r="I28" s="309">
        <f>'CF 2023'!U27</f>
        <v>0</v>
      </c>
      <c r="J28" s="310"/>
      <c r="K28" s="310"/>
      <c r="L28" s="310"/>
      <c r="M28" s="310"/>
      <c r="N28" s="310"/>
      <c r="O28" s="310"/>
      <c r="P28" s="310"/>
      <c r="Q28" s="310"/>
      <c r="R28" s="310"/>
      <c r="S28" s="208">
        <f>'CF 2025'!G28</f>
        <v>0</v>
      </c>
      <c r="T28" s="208">
        <f>'CF 2025'!H28</f>
        <v>0</v>
      </c>
      <c r="U28" s="208">
        <f>'CF 2025'!I28</f>
        <v>0</v>
      </c>
      <c r="V28" s="308"/>
    </row>
    <row r="29" spans="1:23" x14ac:dyDescent="0.3">
      <c r="B29" s="311" t="s">
        <v>118</v>
      </c>
      <c r="C29" s="308"/>
      <c r="D29" s="308"/>
      <c r="E29" s="308"/>
      <c r="F29" s="308"/>
      <c r="G29" s="309">
        <f>'CF 2023'!S28</f>
        <v>0</v>
      </c>
      <c r="H29" s="309">
        <f>'CF 2023'!T28</f>
        <v>0</v>
      </c>
      <c r="I29" s="309">
        <f>'CF 2023'!U28</f>
        <v>0</v>
      </c>
      <c r="J29" s="310"/>
      <c r="K29" s="310"/>
      <c r="L29" s="310"/>
      <c r="M29" s="310"/>
      <c r="N29" s="310"/>
      <c r="O29" s="310"/>
      <c r="P29" s="310"/>
      <c r="Q29" s="310"/>
      <c r="R29" s="310"/>
      <c r="S29" s="208">
        <f>'CF 2025'!G29</f>
        <v>0</v>
      </c>
      <c r="T29" s="208">
        <f>'CF 2025'!H29</f>
        <v>0</v>
      </c>
      <c r="U29" s="208">
        <f>'CF 2025'!I29</f>
        <v>0</v>
      </c>
      <c r="V29" s="308"/>
    </row>
    <row r="30" spans="1:23" x14ac:dyDescent="0.3">
      <c r="B30" s="311" t="s">
        <v>119</v>
      </c>
      <c r="C30" s="308"/>
      <c r="D30" s="308"/>
      <c r="E30" s="308"/>
      <c r="F30" s="308"/>
      <c r="G30" s="309">
        <f>'CF 2023'!S29</f>
        <v>0</v>
      </c>
      <c r="H30" s="309">
        <f>'CF 2023'!T29</f>
        <v>0</v>
      </c>
      <c r="I30" s="309">
        <f>'CF 2023'!U29</f>
        <v>0</v>
      </c>
      <c r="J30" s="310"/>
      <c r="K30" s="310"/>
      <c r="L30" s="310"/>
      <c r="M30" s="310"/>
      <c r="N30" s="310"/>
      <c r="O30" s="310"/>
      <c r="P30" s="310"/>
      <c r="Q30" s="310"/>
      <c r="R30" s="310"/>
      <c r="S30" s="208">
        <f>'CF 2025'!G30</f>
        <v>0</v>
      </c>
      <c r="T30" s="208">
        <f>'CF 2025'!H30</f>
        <v>0</v>
      </c>
      <c r="U30" s="208">
        <f>'CF 2025'!I30</f>
        <v>0</v>
      </c>
      <c r="V30" s="308"/>
    </row>
    <row r="31" spans="1:23" x14ac:dyDescent="0.3">
      <c r="B31" s="307" t="s">
        <v>157</v>
      </c>
      <c r="C31" s="308"/>
      <c r="D31" s="308"/>
      <c r="E31" s="308"/>
      <c r="F31" s="308"/>
      <c r="G31" s="309">
        <f>'CF 2023'!S30</f>
        <v>-16818</v>
      </c>
      <c r="H31" s="309">
        <f>'CF 2023'!T30</f>
        <v>-16818</v>
      </c>
      <c r="I31" s="309">
        <f>'CF 2023'!U30</f>
        <v>-16818</v>
      </c>
      <c r="J31" s="309">
        <v>-16818</v>
      </c>
      <c r="K31" s="309">
        <v>-16818</v>
      </c>
      <c r="L31" s="309">
        <v>-16818</v>
      </c>
      <c r="M31" s="309">
        <v>-16818</v>
      </c>
      <c r="N31" s="309">
        <v>-16818</v>
      </c>
      <c r="O31" s="309">
        <v>-16818</v>
      </c>
      <c r="P31" s="309">
        <v>-16818</v>
      </c>
      <c r="Q31" s="309">
        <v>-16818</v>
      </c>
      <c r="R31" s="309">
        <v>-16818</v>
      </c>
      <c r="S31" s="208">
        <f>'CF 2025'!G31</f>
        <v>-22102</v>
      </c>
      <c r="T31" s="208">
        <f>'CF 2025'!H31</f>
        <v>-22102</v>
      </c>
      <c r="U31" s="208">
        <f>'CF 2025'!I31</f>
        <v>-22102</v>
      </c>
      <c r="V31" s="208">
        <f>SUM(G31:R31)</f>
        <v>-201816</v>
      </c>
      <c r="W31" s="1">
        <f>SUM(G27:R31)</f>
        <v>-201816</v>
      </c>
    </row>
    <row r="32" spans="1:23" x14ac:dyDescent="0.3">
      <c r="B32" s="311" t="s">
        <v>117</v>
      </c>
      <c r="C32" s="308"/>
      <c r="D32" s="308"/>
      <c r="E32" s="308"/>
      <c r="F32" s="308"/>
      <c r="G32" s="309">
        <f>'CF 2023'!S31</f>
        <v>0</v>
      </c>
      <c r="H32" s="309">
        <f>'CF 2023'!T31</f>
        <v>0</v>
      </c>
      <c r="I32" s="309">
        <f>'CF 2023'!U31</f>
        <v>0</v>
      </c>
      <c r="J32" s="309"/>
      <c r="K32" s="309"/>
      <c r="L32" s="309"/>
      <c r="M32" s="309"/>
      <c r="N32" s="309"/>
      <c r="O32" s="309"/>
      <c r="P32" s="309"/>
      <c r="Q32" s="309"/>
      <c r="R32" s="309"/>
      <c r="S32" s="208">
        <f>'CF 2025'!G32</f>
        <v>0</v>
      </c>
      <c r="T32" s="208">
        <f>'CF 2025'!H32</f>
        <v>0</v>
      </c>
      <c r="U32" s="208">
        <f>'CF 2025'!I32</f>
        <v>0</v>
      </c>
      <c r="V32" s="308"/>
    </row>
    <row r="33" spans="1:22" x14ac:dyDescent="0.3">
      <c r="B33" s="307" t="s">
        <v>158</v>
      </c>
      <c r="C33" s="308"/>
      <c r="D33" s="308"/>
      <c r="E33" s="308"/>
      <c r="F33" s="308"/>
      <c r="G33" s="309">
        <f>'CF 2023'!S32</f>
        <v>0</v>
      </c>
      <c r="H33" s="309">
        <f>'CF 2023'!T32</f>
        <v>0</v>
      </c>
      <c r="I33" s="309">
        <f>'CF 2023'!U32</f>
        <v>0</v>
      </c>
      <c r="J33" s="310"/>
      <c r="K33" s="310"/>
      <c r="L33" s="310"/>
      <c r="M33" s="310"/>
      <c r="N33" s="310"/>
      <c r="O33" s="310"/>
      <c r="P33" s="310"/>
      <c r="Q33" s="310"/>
      <c r="R33" s="310"/>
      <c r="S33" s="208">
        <f>'CF 2025'!G33</f>
        <v>0</v>
      </c>
      <c r="T33" s="208">
        <f>'CF 2025'!H33</f>
        <v>0</v>
      </c>
      <c r="U33" s="208">
        <f>'CF 2025'!I33</f>
        <v>0</v>
      </c>
      <c r="V33" s="308"/>
    </row>
    <row r="34" spans="1:22" x14ac:dyDescent="0.3">
      <c r="B34" s="311" t="s">
        <v>117</v>
      </c>
      <c r="C34" s="308"/>
      <c r="D34" s="308"/>
      <c r="E34" s="308"/>
      <c r="F34" s="308"/>
      <c r="G34" s="309">
        <f>'CF 2023'!S33</f>
        <v>0</v>
      </c>
      <c r="H34" s="309">
        <f>'CF 2023'!T33</f>
        <v>0</v>
      </c>
      <c r="I34" s="309">
        <f>'CF 2023'!U33</f>
        <v>0</v>
      </c>
      <c r="J34" s="310"/>
      <c r="K34" s="310"/>
      <c r="L34" s="310"/>
      <c r="M34" s="310"/>
      <c r="N34" s="310"/>
      <c r="O34" s="310"/>
      <c r="P34" s="310"/>
      <c r="Q34" s="310"/>
      <c r="R34" s="310"/>
      <c r="S34" s="208">
        <f>'CF 2025'!G34</f>
        <v>0</v>
      </c>
      <c r="T34" s="208">
        <f>'CF 2025'!H34</f>
        <v>0</v>
      </c>
      <c r="U34" s="208">
        <f>'CF 2025'!I34</f>
        <v>0</v>
      </c>
      <c r="V34" s="308"/>
    </row>
    <row r="35" spans="1:22" x14ac:dyDescent="0.3">
      <c r="B35" s="307" t="s">
        <v>159</v>
      </c>
      <c r="C35" s="308"/>
      <c r="D35" s="308"/>
      <c r="E35" s="308"/>
      <c r="F35" s="308"/>
      <c r="G35" s="309">
        <f>'CF 2023'!S34</f>
        <v>0</v>
      </c>
      <c r="H35" s="309">
        <f>'CF 2023'!T34</f>
        <v>0</v>
      </c>
      <c r="I35" s="309">
        <f>'CF 2023'!U34</f>
        <v>0</v>
      </c>
      <c r="J35" s="310"/>
      <c r="K35" s="310"/>
      <c r="L35" s="310"/>
      <c r="M35" s="310"/>
      <c r="N35" s="310"/>
      <c r="O35" s="310"/>
      <c r="P35" s="310"/>
      <c r="Q35" s="310"/>
      <c r="R35" s="310"/>
      <c r="S35" s="208">
        <f>'CF 2025'!G35</f>
        <v>0</v>
      </c>
      <c r="T35" s="208">
        <f>'CF 2025'!H35</f>
        <v>0</v>
      </c>
      <c r="U35" s="208">
        <f>'CF 2025'!I35</f>
        <v>0</v>
      </c>
      <c r="V35" s="308"/>
    </row>
    <row r="36" spans="1:22" x14ac:dyDescent="0.3">
      <c r="B36" s="311" t="s">
        <v>117</v>
      </c>
      <c r="C36" s="308"/>
      <c r="D36" s="308"/>
      <c r="E36" s="308"/>
      <c r="F36" s="308"/>
      <c r="G36" s="309">
        <f>'CF 2023'!S35</f>
        <v>0</v>
      </c>
      <c r="H36" s="309">
        <f>'CF 2023'!T35</f>
        <v>0</v>
      </c>
      <c r="I36" s="309">
        <f>'CF 2023'!U35</f>
        <v>0</v>
      </c>
      <c r="J36" s="310"/>
      <c r="K36" s="310"/>
      <c r="L36" s="310"/>
      <c r="M36" s="310"/>
      <c r="N36" s="310"/>
      <c r="O36" s="310"/>
      <c r="P36" s="310"/>
      <c r="Q36" s="310"/>
      <c r="R36" s="310"/>
      <c r="S36" s="208">
        <f>'CF 2025'!G36</f>
        <v>0</v>
      </c>
      <c r="T36" s="208">
        <f>'CF 2025'!H36</f>
        <v>0</v>
      </c>
      <c r="U36" s="208">
        <f>'CF 2025'!I36</f>
        <v>0</v>
      </c>
      <c r="V36" s="308"/>
    </row>
    <row r="37" spans="1:22" x14ac:dyDescent="0.3">
      <c r="B37" s="307" t="s">
        <v>160</v>
      </c>
      <c r="C37" s="308"/>
      <c r="D37" s="308"/>
      <c r="E37" s="308"/>
      <c r="F37" s="308"/>
      <c r="G37" s="309">
        <f>'CF 2023'!S36</f>
        <v>0</v>
      </c>
      <c r="H37" s="309">
        <f>'CF 2023'!T36</f>
        <v>0</v>
      </c>
      <c r="I37" s="309">
        <f>'CF 2023'!U36</f>
        <v>0</v>
      </c>
      <c r="J37" s="310"/>
      <c r="K37" s="310"/>
      <c r="L37" s="310"/>
      <c r="M37" s="310"/>
      <c r="N37" s="310"/>
      <c r="O37" s="310"/>
      <c r="P37" s="310"/>
      <c r="Q37" s="310"/>
      <c r="R37" s="310"/>
      <c r="S37" s="208">
        <f>'CF 2025'!G37</f>
        <v>0</v>
      </c>
      <c r="T37" s="208">
        <f>'CF 2025'!H37</f>
        <v>0</v>
      </c>
      <c r="U37" s="208">
        <f>'CF 2025'!I37</f>
        <v>0</v>
      </c>
      <c r="V37" s="308"/>
    </row>
    <row r="38" spans="1:22" x14ac:dyDescent="0.3">
      <c r="B38" s="311" t="s">
        <v>117</v>
      </c>
      <c r="C38" s="308"/>
      <c r="D38" s="308"/>
      <c r="E38" s="308"/>
      <c r="F38" s="308"/>
      <c r="G38" s="309">
        <f>'CF 2023'!S37</f>
        <v>0</v>
      </c>
      <c r="H38" s="309">
        <f>'CF 2023'!T37</f>
        <v>0</v>
      </c>
      <c r="I38" s="309">
        <f>'CF 2023'!U37</f>
        <v>0</v>
      </c>
      <c r="J38" s="310"/>
      <c r="K38" s="310"/>
      <c r="L38" s="310"/>
      <c r="M38" s="310"/>
      <c r="N38" s="310"/>
      <c r="O38" s="310"/>
      <c r="P38" s="310"/>
      <c r="Q38" s="310"/>
      <c r="R38" s="310"/>
      <c r="S38" s="208">
        <f>'CF 2025'!G38</f>
        <v>0</v>
      </c>
      <c r="T38" s="208">
        <f>'CF 2025'!H38</f>
        <v>0</v>
      </c>
      <c r="U38" s="208">
        <f>'CF 2025'!I38</f>
        <v>0</v>
      </c>
      <c r="V38" s="308"/>
    </row>
    <row r="39" spans="1:22" x14ac:dyDescent="0.3">
      <c r="B39" s="307" t="s">
        <v>45</v>
      </c>
      <c r="C39" s="308"/>
      <c r="D39" s="308"/>
      <c r="E39" s="308"/>
      <c r="F39" s="308"/>
      <c r="G39" s="309">
        <f>'CF 2023'!S38</f>
        <v>0</v>
      </c>
      <c r="H39" s="309">
        <f>'CF 2023'!T38</f>
        <v>0</v>
      </c>
      <c r="I39" s="309">
        <f>'CF 2023'!U38</f>
        <v>0</v>
      </c>
      <c r="J39" s="310"/>
      <c r="K39" s="310"/>
      <c r="L39" s="310"/>
      <c r="M39" s="310"/>
      <c r="N39" s="310"/>
      <c r="O39" s="310"/>
      <c r="P39" s="310"/>
      <c r="Q39" s="310"/>
      <c r="R39" s="310"/>
      <c r="S39" s="208">
        <f>'CF 2025'!G39</f>
        <v>0</v>
      </c>
      <c r="T39" s="208">
        <f>'CF 2025'!H39</f>
        <v>0</v>
      </c>
      <c r="U39" s="208">
        <f>'CF 2025'!I39</f>
        <v>0</v>
      </c>
      <c r="V39" s="308"/>
    </row>
    <row r="40" spans="1:22" x14ac:dyDescent="0.3">
      <c r="B40" s="307" t="s">
        <v>161</v>
      </c>
      <c r="C40" s="308"/>
      <c r="D40" s="308"/>
      <c r="E40" s="308"/>
      <c r="F40" s="308"/>
      <c r="G40" s="309">
        <f>'CF 2023'!S39</f>
        <v>-16818</v>
      </c>
      <c r="H40" s="309">
        <f>'CF 2023'!T39</f>
        <v>-16818</v>
      </c>
      <c r="I40" s="309">
        <f>'CF 2023'!U39</f>
        <v>-16818</v>
      </c>
      <c r="J40" s="309">
        <f t="shared" ref="J40" si="9">SUM(J27:J39)</f>
        <v>-16818</v>
      </c>
      <c r="K40" s="309">
        <f t="shared" ref="K40:R40" si="10">SUM(K27:K39)</f>
        <v>-16818</v>
      </c>
      <c r="L40" s="309">
        <f t="shared" si="10"/>
        <v>-16818</v>
      </c>
      <c r="M40" s="309">
        <f t="shared" si="10"/>
        <v>-16818</v>
      </c>
      <c r="N40" s="309">
        <f t="shared" si="10"/>
        <v>-16818</v>
      </c>
      <c r="O40" s="309">
        <f t="shared" si="10"/>
        <v>-16818</v>
      </c>
      <c r="P40" s="309">
        <f t="shared" si="10"/>
        <v>-16818</v>
      </c>
      <c r="Q40" s="309">
        <f t="shared" si="10"/>
        <v>-16818</v>
      </c>
      <c r="R40" s="309">
        <f t="shared" si="10"/>
        <v>-16818</v>
      </c>
      <c r="S40" s="208">
        <f>'CF 2025'!G40</f>
        <v>-22102</v>
      </c>
      <c r="T40" s="208">
        <f>'CF 2025'!H40</f>
        <v>-22102</v>
      </c>
      <c r="U40" s="208">
        <f>'CF 2025'!I40</f>
        <v>-22102</v>
      </c>
      <c r="V40" s="308"/>
    </row>
    <row r="41" spans="1:22" x14ac:dyDescent="0.3">
      <c r="A41" s="200"/>
      <c r="B41" s="318" t="s">
        <v>162</v>
      </c>
      <c r="C41" s="319"/>
      <c r="D41" s="319"/>
      <c r="E41" s="319"/>
      <c r="F41" s="319"/>
      <c r="G41" s="320">
        <f t="shared" ref="G41:J41" si="11">G20+G40</f>
        <v>187568.07360000006</v>
      </c>
      <c r="H41" s="320">
        <f t="shared" si="11"/>
        <v>194754.47039999993</v>
      </c>
      <c r="I41" s="320">
        <f t="shared" si="11"/>
        <v>201940.86719999998</v>
      </c>
      <c r="J41" s="320">
        <f t="shared" si="11"/>
        <v>209127.26399999997</v>
      </c>
      <c r="K41" s="320">
        <f t="shared" ref="K41:R41" si="12">K20+K40</f>
        <v>210579.46560000003</v>
      </c>
      <c r="L41" s="320">
        <f t="shared" si="12"/>
        <v>216332.31359999994</v>
      </c>
      <c r="M41" s="320">
        <f t="shared" si="12"/>
        <v>227819.35680000004</v>
      </c>
      <c r="N41" s="320">
        <f t="shared" si="12"/>
        <v>227838.00959999993</v>
      </c>
      <c r="O41" s="320">
        <f t="shared" si="12"/>
        <v>242192.15040000001</v>
      </c>
      <c r="P41" s="320">
        <f t="shared" si="12"/>
        <v>246750.37439999997</v>
      </c>
      <c r="Q41" s="320">
        <f t="shared" si="12"/>
        <v>242707.30559999996</v>
      </c>
      <c r="R41" s="320">
        <f t="shared" si="12"/>
        <v>247265.52960000001</v>
      </c>
      <c r="S41" s="325">
        <f t="shared" ref="S41:U41" si="13">S20+S40</f>
        <v>248073.2</v>
      </c>
      <c r="T41" s="325">
        <f t="shared" si="13"/>
        <v>256081.59999999998</v>
      </c>
      <c r="U41" s="325">
        <f t="shared" si="13"/>
        <v>240906</v>
      </c>
      <c r="V41" s="325">
        <f>SUM(G41:R41)</f>
        <v>2654875.1807999997</v>
      </c>
    </row>
    <row r="42" spans="1:22" x14ac:dyDescent="0.3">
      <c r="A42" s="145"/>
      <c r="B42" s="172" t="s">
        <v>163</v>
      </c>
      <c r="C42" s="145"/>
      <c r="D42" s="145"/>
      <c r="E42" s="145"/>
      <c r="F42" s="145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145"/>
      <c r="T42" s="145"/>
      <c r="U42" s="145"/>
      <c r="V42" s="145"/>
    </row>
    <row r="43" spans="1:22" x14ac:dyDescent="0.3">
      <c r="B43" s="321" t="s">
        <v>154</v>
      </c>
      <c r="C43" s="321"/>
      <c r="D43" s="321"/>
      <c r="E43" s="321"/>
      <c r="F43" s="321"/>
      <c r="G43" s="322">
        <f t="shared" ref="G43:J43" si="14">G25</f>
        <v>0</v>
      </c>
      <c r="H43" s="322">
        <f t="shared" si="14"/>
        <v>0</v>
      </c>
      <c r="I43" s="322">
        <f t="shared" si="14"/>
        <v>0</v>
      </c>
      <c r="J43" s="322">
        <f t="shared" si="14"/>
        <v>0</v>
      </c>
      <c r="K43" s="322">
        <f t="shared" ref="K43:R43" si="15">K25</f>
        <v>0</v>
      </c>
      <c r="L43" s="322">
        <f t="shared" si="15"/>
        <v>0</v>
      </c>
      <c r="M43" s="322">
        <f t="shared" si="15"/>
        <v>0</v>
      </c>
      <c r="N43" s="322">
        <f t="shared" si="15"/>
        <v>0</v>
      </c>
      <c r="O43" s="322">
        <f t="shared" si="15"/>
        <v>0</v>
      </c>
      <c r="P43" s="322">
        <f t="shared" si="15"/>
        <v>0</v>
      </c>
      <c r="Q43" s="322">
        <f t="shared" si="15"/>
        <v>0</v>
      </c>
      <c r="R43" s="322">
        <f t="shared" si="15"/>
        <v>0</v>
      </c>
      <c r="S43" s="326">
        <f t="shared" ref="S43:U43" si="16">S25</f>
        <v>0</v>
      </c>
      <c r="T43" s="326">
        <f t="shared" si="16"/>
        <v>0</v>
      </c>
      <c r="U43" s="326">
        <f t="shared" si="16"/>
        <v>0</v>
      </c>
    </row>
    <row r="44" spans="1:22" x14ac:dyDescent="0.3">
      <c r="B44" s="148" t="s">
        <v>161</v>
      </c>
      <c r="C44" s="148"/>
      <c r="D44" s="148"/>
      <c r="E44" s="148"/>
      <c r="F44" s="148"/>
      <c r="G44" s="312">
        <f t="shared" ref="G44:J44" si="17">G40</f>
        <v>-16818</v>
      </c>
      <c r="H44" s="312">
        <f t="shared" si="17"/>
        <v>-16818</v>
      </c>
      <c r="I44" s="312">
        <f t="shared" si="17"/>
        <v>-16818</v>
      </c>
      <c r="J44" s="312">
        <f t="shared" si="17"/>
        <v>-16818</v>
      </c>
      <c r="K44" s="312">
        <f t="shared" ref="K44:R44" si="18">K40</f>
        <v>-16818</v>
      </c>
      <c r="L44" s="312">
        <f t="shared" si="18"/>
        <v>-16818</v>
      </c>
      <c r="M44" s="312">
        <f t="shared" si="18"/>
        <v>-16818</v>
      </c>
      <c r="N44" s="312">
        <f t="shared" si="18"/>
        <v>-16818</v>
      </c>
      <c r="O44" s="312">
        <f t="shared" si="18"/>
        <v>-16818</v>
      </c>
      <c r="P44" s="312">
        <f t="shared" si="18"/>
        <v>-16818</v>
      </c>
      <c r="Q44" s="312">
        <f t="shared" si="18"/>
        <v>-16818</v>
      </c>
      <c r="R44" s="312">
        <f t="shared" si="18"/>
        <v>-16818</v>
      </c>
      <c r="S44" s="149">
        <f t="shared" ref="S44:U44" si="19">S40</f>
        <v>-22102</v>
      </c>
      <c r="T44" s="149">
        <f t="shared" si="19"/>
        <v>-22102</v>
      </c>
      <c r="U44" s="149">
        <f t="shared" si="19"/>
        <v>-22102</v>
      </c>
    </row>
    <row r="45" spans="1:22" x14ac:dyDescent="0.3">
      <c r="B45" s="148" t="s">
        <v>37</v>
      </c>
      <c r="C45" s="148"/>
      <c r="D45" s="148"/>
      <c r="E45" s="148"/>
      <c r="F45" s="148"/>
      <c r="G45" s="312">
        <f t="shared" ref="G45:U45" si="20">G11</f>
        <v>338078.59200000006</v>
      </c>
      <c r="H45" s="312">
        <f t="shared" si="20"/>
        <v>342857.08799999993</v>
      </c>
      <c r="I45" s="312">
        <f t="shared" si="20"/>
        <v>347635.58399999997</v>
      </c>
      <c r="J45" s="312">
        <f t="shared" si="20"/>
        <v>352414.07999999996</v>
      </c>
      <c r="K45" s="312">
        <f t="shared" si="20"/>
        <v>350024.83200000005</v>
      </c>
      <c r="L45" s="312">
        <f t="shared" si="20"/>
        <v>353011.39199999993</v>
      </c>
      <c r="M45" s="312">
        <f t="shared" si="20"/>
        <v>363165.69600000005</v>
      </c>
      <c r="N45" s="312">
        <f t="shared" si="20"/>
        <v>358984.51199999993</v>
      </c>
      <c r="O45" s="312">
        <f t="shared" si="20"/>
        <v>372722.68800000002</v>
      </c>
      <c r="P45" s="312">
        <f t="shared" si="20"/>
        <v>374215.96799999999</v>
      </c>
      <c r="Q45" s="312">
        <f t="shared" si="20"/>
        <v>364957.63199999998</v>
      </c>
      <c r="R45" s="312">
        <f t="shared" si="20"/>
        <v>366450.91200000001</v>
      </c>
      <c r="S45" s="149">
        <f t="shared" si="20"/>
        <v>373290</v>
      </c>
      <c r="T45" s="149">
        <f t="shared" si="20"/>
        <v>377775</v>
      </c>
      <c r="U45" s="149">
        <f t="shared" si="20"/>
        <v>353280</v>
      </c>
    </row>
    <row r="46" spans="1:22" x14ac:dyDescent="0.3">
      <c r="B46" s="148" t="s">
        <v>38</v>
      </c>
      <c r="C46" s="148"/>
      <c r="D46" s="148"/>
      <c r="E46" s="148"/>
      <c r="F46" s="148"/>
      <c r="G46" s="312">
        <f t="shared" ref="G46:J46" si="21">G15</f>
        <v>-625</v>
      </c>
      <c r="H46" s="312">
        <f t="shared" si="21"/>
        <v>-625</v>
      </c>
      <c r="I46" s="312">
        <f t="shared" si="21"/>
        <v>-625</v>
      </c>
      <c r="J46" s="312">
        <f t="shared" si="21"/>
        <v>-625</v>
      </c>
      <c r="K46" s="312">
        <f t="shared" ref="K46:R46" si="22">K15</f>
        <v>-625</v>
      </c>
      <c r="L46" s="312">
        <f t="shared" si="22"/>
        <v>-625</v>
      </c>
      <c r="M46" s="312">
        <f t="shared" si="22"/>
        <v>-625</v>
      </c>
      <c r="N46" s="312">
        <f t="shared" si="22"/>
        <v>-625</v>
      </c>
      <c r="O46" s="312">
        <f t="shared" si="22"/>
        <v>-625</v>
      </c>
      <c r="P46" s="312">
        <f t="shared" si="22"/>
        <v>-625</v>
      </c>
      <c r="Q46" s="312">
        <f t="shared" si="22"/>
        <v>-625</v>
      </c>
      <c r="R46" s="312">
        <f t="shared" si="22"/>
        <v>-625</v>
      </c>
      <c r="S46" s="149">
        <f t="shared" ref="S46:U46" si="23">S15</f>
        <v>-625</v>
      </c>
      <c r="T46" s="149">
        <f t="shared" si="23"/>
        <v>-625</v>
      </c>
      <c r="U46" s="149">
        <f t="shared" si="23"/>
        <v>-625</v>
      </c>
    </row>
    <row r="47" spans="1:22" x14ac:dyDescent="0.3">
      <c r="B47" s="148" t="s">
        <v>164</v>
      </c>
      <c r="C47" s="148"/>
      <c r="D47" s="148"/>
      <c r="E47" s="148"/>
      <c r="F47" s="148"/>
      <c r="G47" s="312">
        <f t="shared" ref="G47:J47" si="24">SUM(G43:G46)</f>
        <v>320635.59200000006</v>
      </c>
      <c r="H47" s="312">
        <f t="shared" si="24"/>
        <v>325414.08799999993</v>
      </c>
      <c r="I47" s="312">
        <f t="shared" si="24"/>
        <v>330192.58399999997</v>
      </c>
      <c r="J47" s="312">
        <f t="shared" si="24"/>
        <v>334971.07999999996</v>
      </c>
      <c r="K47" s="312">
        <f t="shared" ref="K47:R47" si="25">SUM(K43:K46)</f>
        <v>332581.83200000005</v>
      </c>
      <c r="L47" s="312">
        <f t="shared" si="25"/>
        <v>335568.39199999993</v>
      </c>
      <c r="M47" s="312">
        <f t="shared" si="25"/>
        <v>345722.69600000005</v>
      </c>
      <c r="N47" s="312">
        <f t="shared" si="25"/>
        <v>341541.51199999993</v>
      </c>
      <c r="O47" s="312">
        <f t="shared" si="25"/>
        <v>355279.68800000002</v>
      </c>
      <c r="P47" s="312">
        <f t="shared" si="25"/>
        <v>356772.96799999999</v>
      </c>
      <c r="Q47" s="312">
        <f t="shared" si="25"/>
        <v>347514.63199999998</v>
      </c>
      <c r="R47" s="312">
        <f t="shared" si="25"/>
        <v>349007.91200000001</v>
      </c>
      <c r="S47" s="149">
        <f t="shared" ref="S47:U47" si="26">SUM(S43:S46)</f>
        <v>350563</v>
      </c>
      <c r="T47" s="149">
        <f t="shared" si="26"/>
        <v>355048</v>
      </c>
      <c r="U47" s="149">
        <f t="shared" si="26"/>
        <v>330553</v>
      </c>
    </row>
    <row r="48" spans="1:22" x14ac:dyDescent="0.3">
      <c r="B48" s="148" t="s">
        <v>147</v>
      </c>
      <c r="C48" s="148"/>
      <c r="D48" s="148"/>
      <c r="E48" s="148"/>
      <c r="F48" s="148"/>
      <c r="G48" s="312">
        <f>G16</f>
        <v>-69636.800000000003</v>
      </c>
      <c r="H48" s="312">
        <f t="shared" ref="H48:U48" si="27">H16</f>
        <v>-66273.2</v>
      </c>
      <c r="I48" s="312">
        <f t="shared" si="27"/>
        <v>-62909.600000000006</v>
      </c>
      <c r="J48" s="312">
        <f t="shared" si="27"/>
        <v>-59546</v>
      </c>
      <c r="K48" s="312">
        <f t="shared" si="27"/>
        <v>-56182.400000000001</v>
      </c>
      <c r="L48" s="312">
        <f t="shared" si="27"/>
        <v>-52818.8</v>
      </c>
      <c r="M48" s="312">
        <f t="shared" si="27"/>
        <v>-49455.200000000004</v>
      </c>
      <c r="N48" s="312">
        <f t="shared" si="27"/>
        <v>-46091.600000000006</v>
      </c>
      <c r="O48" s="312">
        <f t="shared" si="27"/>
        <v>-42728</v>
      </c>
      <c r="P48" s="312">
        <f t="shared" si="27"/>
        <v>-39364.400000000001</v>
      </c>
      <c r="Q48" s="312">
        <f t="shared" si="27"/>
        <v>-36000.800000000003</v>
      </c>
      <c r="R48" s="312">
        <f t="shared" si="27"/>
        <v>-32637.200000000001</v>
      </c>
      <c r="S48" s="312">
        <f t="shared" si="27"/>
        <v>-28216.800000000003</v>
      </c>
      <c r="T48" s="312">
        <f t="shared" si="27"/>
        <v>-23796.400000000001</v>
      </c>
      <c r="U48" s="312">
        <f t="shared" si="27"/>
        <v>-19376</v>
      </c>
    </row>
    <row r="49" spans="1:22" x14ac:dyDescent="0.3">
      <c r="B49" s="148" t="s">
        <v>148</v>
      </c>
      <c r="C49" s="148"/>
      <c r="D49" s="148"/>
      <c r="E49" s="148"/>
      <c r="F49" s="148"/>
      <c r="G49" s="323">
        <f>G17</f>
        <v>-63430.718400000012</v>
      </c>
      <c r="H49" s="323">
        <f t="shared" ref="H49:U49" si="28">H17</f>
        <v>-64386.417599999986</v>
      </c>
      <c r="I49" s="323">
        <f t="shared" si="28"/>
        <v>-65342.116799999996</v>
      </c>
      <c r="J49" s="323">
        <f t="shared" si="28"/>
        <v>-66297.815999999992</v>
      </c>
      <c r="K49" s="323">
        <f t="shared" si="28"/>
        <v>-65819.966400000019</v>
      </c>
      <c r="L49" s="323">
        <f t="shared" si="28"/>
        <v>-66417.278399999996</v>
      </c>
      <c r="M49" s="323">
        <f t="shared" si="28"/>
        <v>-68448.13920000002</v>
      </c>
      <c r="N49" s="323">
        <f t="shared" si="28"/>
        <v>-67611.902399999992</v>
      </c>
      <c r="O49" s="323">
        <f t="shared" si="28"/>
        <v>-70359.537600000011</v>
      </c>
      <c r="P49" s="323">
        <f t="shared" si="28"/>
        <v>-70658.193599999999</v>
      </c>
      <c r="Q49" s="323">
        <f t="shared" si="28"/>
        <v>-68806.526400000002</v>
      </c>
      <c r="R49" s="323">
        <f t="shared" si="28"/>
        <v>-69105.182400000005</v>
      </c>
      <c r="S49" s="323">
        <f t="shared" si="28"/>
        <v>-70473</v>
      </c>
      <c r="T49" s="323">
        <f t="shared" si="28"/>
        <v>-71370</v>
      </c>
      <c r="U49" s="323">
        <f t="shared" si="28"/>
        <v>-66471</v>
      </c>
    </row>
    <row r="50" spans="1:22" x14ac:dyDescent="0.3">
      <c r="B50" s="148" t="s">
        <v>162</v>
      </c>
      <c r="C50" s="148"/>
      <c r="D50" s="148"/>
      <c r="E50" s="148"/>
      <c r="F50" s="148"/>
      <c r="G50" s="312">
        <f t="shared" ref="G50:J50" si="29">SUM(G47:G49)</f>
        <v>187568.07360000006</v>
      </c>
      <c r="H50" s="312">
        <f t="shared" si="29"/>
        <v>194754.47039999993</v>
      </c>
      <c r="I50" s="312">
        <f t="shared" si="29"/>
        <v>201940.86719999995</v>
      </c>
      <c r="J50" s="312">
        <f t="shared" si="29"/>
        <v>209127.26399999997</v>
      </c>
      <c r="K50" s="312">
        <f t="shared" ref="K50:R50" si="30">SUM(K47:K49)</f>
        <v>210579.4656</v>
      </c>
      <c r="L50" s="312">
        <f t="shared" si="30"/>
        <v>216332.31359999994</v>
      </c>
      <c r="M50" s="312">
        <f t="shared" si="30"/>
        <v>227819.35680000001</v>
      </c>
      <c r="N50" s="312">
        <f t="shared" si="30"/>
        <v>227838.0095999999</v>
      </c>
      <c r="O50" s="312">
        <f t="shared" si="30"/>
        <v>242192.15040000001</v>
      </c>
      <c r="P50" s="312">
        <f t="shared" si="30"/>
        <v>246750.37439999997</v>
      </c>
      <c r="Q50" s="312">
        <f t="shared" si="30"/>
        <v>242707.30559999999</v>
      </c>
      <c r="R50" s="312">
        <f t="shared" si="30"/>
        <v>247265.52960000001</v>
      </c>
      <c r="S50" s="149">
        <f t="shared" ref="S50:U50" si="31">SUM(S47:S49)</f>
        <v>251873.2</v>
      </c>
      <c r="T50" s="149">
        <f t="shared" si="31"/>
        <v>259881.59999999998</v>
      </c>
      <c r="U50" s="149">
        <f t="shared" si="31"/>
        <v>244706</v>
      </c>
    </row>
    <row r="51" spans="1:22" x14ac:dyDescent="0.3">
      <c r="B51" s="9"/>
      <c r="C51" s="9"/>
      <c r="D51" s="9"/>
      <c r="E51" s="9"/>
      <c r="F51" s="9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9"/>
      <c r="T51" s="9"/>
      <c r="U51" s="9"/>
    </row>
    <row r="52" spans="1:22" x14ac:dyDescent="0.3">
      <c r="A52" s="145"/>
      <c r="B52" s="172" t="s">
        <v>165</v>
      </c>
      <c r="C52" s="145"/>
      <c r="D52" s="145"/>
      <c r="E52" s="145"/>
      <c r="F52" s="145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145"/>
      <c r="T52" s="145"/>
      <c r="U52" s="145"/>
      <c r="V52" s="145"/>
    </row>
    <row r="53" spans="1:22" x14ac:dyDescent="0.3">
      <c r="B53" s="308" t="s">
        <v>166</v>
      </c>
      <c r="C53" s="308"/>
      <c r="D53" s="308"/>
      <c r="E53" s="308"/>
      <c r="F53" s="308"/>
      <c r="G53" s="309">
        <f t="shared" ref="G53:J53" si="32">SUM(G20+G25)</f>
        <v>204386.07360000006</v>
      </c>
      <c r="H53" s="309">
        <f t="shared" si="32"/>
        <v>211572.47039999993</v>
      </c>
      <c r="I53" s="309">
        <f t="shared" si="32"/>
        <v>218758.86719999998</v>
      </c>
      <c r="J53" s="309">
        <f t="shared" si="32"/>
        <v>225945.26399999997</v>
      </c>
      <c r="K53" s="309">
        <f t="shared" ref="K53:R53" si="33">SUM(K20+K25)</f>
        <v>227397.46560000003</v>
      </c>
      <c r="L53" s="309">
        <f t="shared" si="33"/>
        <v>233150.31359999994</v>
      </c>
      <c r="M53" s="309">
        <f t="shared" si="33"/>
        <v>244637.35680000004</v>
      </c>
      <c r="N53" s="309">
        <f t="shared" si="33"/>
        <v>244656.00959999993</v>
      </c>
      <c r="O53" s="309">
        <f t="shared" si="33"/>
        <v>259010.15040000001</v>
      </c>
      <c r="P53" s="309">
        <f t="shared" si="33"/>
        <v>263568.37439999997</v>
      </c>
      <c r="Q53" s="309">
        <f t="shared" si="33"/>
        <v>259525.30559999996</v>
      </c>
      <c r="R53" s="309">
        <f t="shared" si="33"/>
        <v>264083.52960000001</v>
      </c>
      <c r="S53" s="208">
        <f t="shared" ref="S53:U53" si="34">SUM(S20+S25)</f>
        <v>270175.2</v>
      </c>
      <c r="T53" s="208">
        <f t="shared" si="34"/>
        <v>278183.59999999998</v>
      </c>
      <c r="U53" s="208">
        <f t="shared" si="34"/>
        <v>263008</v>
      </c>
    </row>
    <row r="54" spans="1:22" x14ac:dyDescent="0.3">
      <c r="B54" s="308" t="s">
        <v>167</v>
      </c>
      <c r="C54" s="308"/>
      <c r="D54" s="308"/>
      <c r="E54" s="308"/>
      <c r="F54" s="308"/>
      <c r="G54" s="309">
        <f t="shared" ref="G54:J54" si="35">G50</f>
        <v>187568.07360000006</v>
      </c>
      <c r="H54" s="309">
        <f t="shared" si="35"/>
        <v>194754.47039999993</v>
      </c>
      <c r="I54" s="309">
        <f t="shared" si="35"/>
        <v>201940.86719999995</v>
      </c>
      <c r="J54" s="309">
        <f t="shared" si="35"/>
        <v>209127.26399999997</v>
      </c>
      <c r="K54" s="309">
        <f t="shared" ref="K54:R54" si="36">K50</f>
        <v>210579.4656</v>
      </c>
      <c r="L54" s="309">
        <f t="shared" si="36"/>
        <v>216332.31359999994</v>
      </c>
      <c r="M54" s="309">
        <f t="shared" si="36"/>
        <v>227819.35680000001</v>
      </c>
      <c r="N54" s="309">
        <f t="shared" si="36"/>
        <v>227838.0095999999</v>
      </c>
      <c r="O54" s="309">
        <f t="shared" si="36"/>
        <v>242192.15040000001</v>
      </c>
      <c r="P54" s="309">
        <f t="shared" si="36"/>
        <v>246750.37439999997</v>
      </c>
      <c r="Q54" s="309">
        <f t="shared" si="36"/>
        <v>242707.30559999999</v>
      </c>
      <c r="R54" s="309">
        <f t="shared" si="36"/>
        <v>247265.52960000001</v>
      </c>
      <c r="S54" s="208">
        <f t="shared" ref="S54:U54" si="37">S50</f>
        <v>251873.2</v>
      </c>
      <c r="T54" s="208">
        <f t="shared" si="37"/>
        <v>259881.59999999998</v>
      </c>
      <c r="U54" s="208">
        <f t="shared" si="37"/>
        <v>244706</v>
      </c>
    </row>
    <row r="55" spans="1:22" x14ac:dyDescent="0.3">
      <c r="B55" s="308" t="s">
        <v>168</v>
      </c>
      <c r="C55" s="308"/>
      <c r="D55" s="308"/>
      <c r="E55" s="308"/>
      <c r="F55" s="308"/>
      <c r="G55" s="309">
        <f t="shared" ref="G55:J55" si="38">G50</f>
        <v>187568.07360000006</v>
      </c>
      <c r="H55" s="309">
        <f t="shared" si="38"/>
        <v>194754.47039999993</v>
      </c>
      <c r="I55" s="309">
        <f t="shared" si="38"/>
        <v>201940.86719999995</v>
      </c>
      <c r="J55" s="309">
        <f t="shared" si="38"/>
        <v>209127.26399999997</v>
      </c>
      <c r="K55" s="309">
        <f t="shared" ref="K55:R55" si="39">K50</f>
        <v>210579.4656</v>
      </c>
      <c r="L55" s="309">
        <f t="shared" si="39"/>
        <v>216332.31359999994</v>
      </c>
      <c r="M55" s="309">
        <f t="shared" si="39"/>
        <v>227819.35680000001</v>
      </c>
      <c r="N55" s="309">
        <f t="shared" si="39"/>
        <v>227838.0095999999</v>
      </c>
      <c r="O55" s="309">
        <f t="shared" si="39"/>
        <v>242192.15040000001</v>
      </c>
      <c r="P55" s="309">
        <f t="shared" si="39"/>
        <v>246750.37439999997</v>
      </c>
      <c r="Q55" s="309">
        <f t="shared" si="39"/>
        <v>242707.30559999999</v>
      </c>
      <c r="R55" s="309">
        <f t="shared" si="39"/>
        <v>247265.52960000001</v>
      </c>
      <c r="S55" s="208">
        <f t="shared" ref="S55:T55" si="40">S50</f>
        <v>251873.2</v>
      </c>
      <c r="T55" s="208">
        <f t="shared" si="40"/>
        <v>259881.59999999998</v>
      </c>
      <c r="U55" s="208">
        <f>U50</f>
        <v>244706</v>
      </c>
    </row>
    <row r="56" spans="1:22" x14ac:dyDescent="0.3">
      <c r="B56" s="308" t="s">
        <v>160</v>
      </c>
      <c r="C56" s="308"/>
      <c r="D56" s="308"/>
      <c r="E56" s="308"/>
      <c r="F56" s="308"/>
      <c r="G56" s="310"/>
      <c r="H56" s="310"/>
      <c r="I56" s="310"/>
      <c r="J56" s="310"/>
      <c r="K56" s="310"/>
      <c r="L56" s="310"/>
      <c r="M56" s="310"/>
      <c r="N56" s="310"/>
      <c r="O56" s="310"/>
      <c r="P56" s="310"/>
      <c r="Q56" s="310"/>
      <c r="R56" s="310"/>
      <c r="S56" s="308"/>
      <c r="T56" s="308"/>
      <c r="U56" s="308"/>
    </row>
    <row r="57" spans="1:22" x14ac:dyDescent="0.3">
      <c r="B57" s="308" t="s">
        <v>162</v>
      </c>
      <c r="C57" s="308"/>
      <c r="D57" s="308"/>
      <c r="E57" s="308"/>
      <c r="F57" s="308"/>
      <c r="G57" s="309">
        <f t="shared" ref="G57:J57" si="41">G50</f>
        <v>187568.07360000006</v>
      </c>
      <c r="H57" s="309">
        <f t="shared" si="41"/>
        <v>194754.47039999993</v>
      </c>
      <c r="I57" s="309">
        <f t="shared" si="41"/>
        <v>201940.86719999995</v>
      </c>
      <c r="J57" s="309">
        <f t="shared" si="41"/>
        <v>209127.26399999997</v>
      </c>
      <c r="K57" s="309">
        <f t="shared" ref="K57:R57" si="42">K50</f>
        <v>210579.4656</v>
      </c>
      <c r="L57" s="309">
        <f t="shared" si="42"/>
        <v>216332.31359999994</v>
      </c>
      <c r="M57" s="309">
        <f t="shared" si="42"/>
        <v>227819.35680000001</v>
      </c>
      <c r="N57" s="309">
        <f t="shared" si="42"/>
        <v>227838.0095999999</v>
      </c>
      <c r="O57" s="309">
        <f t="shared" si="42"/>
        <v>242192.15040000001</v>
      </c>
      <c r="P57" s="309">
        <f t="shared" si="42"/>
        <v>246750.37439999997</v>
      </c>
      <c r="Q57" s="309">
        <f t="shared" si="42"/>
        <v>242707.30559999999</v>
      </c>
      <c r="R57" s="309">
        <f t="shared" si="42"/>
        <v>247265.52960000001</v>
      </c>
      <c r="S57" s="208">
        <f t="shared" ref="S57:U57" si="43">S50</f>
        <v>251873.2</v>
      </c>
      <c r="T57" s="208">
        <f t="shared" si="43"/>
        <v>259881.59999999998</v>
      </c>
      <c r="U57" s="208">
        <f t="shared" si="43"/>
        <v>244706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6CFE-DF58-4E8A-A729-491A1CD01159}">
  <sheetPr codeName="Sheet29"/>
  <dimension ref="A1:Y1106"/>
  <sheetViews>
    <sheetView showGridLines="0" topLeftCell="A16" workbookViewId="0">
      <selection activeCell="F24" sqref="F24:T24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33203125" style="127" customWidth="1"/>
    <col min="7" max="8" width="9.5546875" bestFit="1" customWidth="1"/>
    <col min="9" max="9" width="10.33203125" customWidth="1"/>
    <col min="10" max="10" width="9.6640625" customWidth="1"/>
    <col min="11" max="11" width="10" customWidth="1"/>
    <col min="12" max="12" width="10.109375" customWidth="1"/>
    <col min="13" max="13" width="9.88671875" customWidth="1"/>
    <col min="14" max="14" width="10" customWidth="1"/>
    <col min="15" max="16" width="9.77734375" customWidth="1"/>
    <col min="17" max="17" width="9.88671875" customWidth="1"/>
    <col min="18" max="18" width="9.88671875" bestFit="1" customWidth="1"/>
    <col min="19" max="19" width="10" customWidth="1"/>
    <col min="20" max="20" width="9.88671875" customWidth="1"/>
    <col min="21" max="21" width="11.1093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4" t="s">
        <v>169</v>
      </c>
      <c r="F2"/>
    </row>
    <row r="3" spans="1:25" x14ac:dyDescent="0.3">
      <c r="B3" t="s">
        <v>141</v>
      </c>
      <c r="F3"/>
    </row>
    <row r="4" spans="1:25" x14ac:dyDescent="0.3">
      <c r="F4"/>
    </row>
    <row r="5" spans="1:25" x14ac:dyDescent="0.3">
      <c r="A5" s="145"/>
      <c r="B5" s="172" t="s">
        <v>170</v>
      </c>
      <c r="C5" s="145"/>
      <c r="D5" s="145"/>
      <c r="E5" s="145"/>
      <c r="F5" s="199">
        <v>2024</v>
      </c>
      <c r="G5" s="199">
        <v>2024</v>
      </c>
      <c r="H5" s="199">
        <v>2024</v>
      </c>
      <c r="I5" s="199">
        <v>2024</v>
      </c>
      <c r="J5" s="199">
        <v>2024</v>
      </c>
      <c r="K5" s="199">
        <v>2024</v>
      </c>
      <c r="L5" s="199">
        <v>2024</v>
      </c>
      <c r="M5" s="199">
        <v>2024</v>
      </c>
      <c r="N5" s="199">
        <v>2024</v>
      </c>
      <c r="O5" s="199">
        <v>2024</v>
      </c>
      <c r="P5" s="199">
        <v>2024</v>
      </c>
      <c r="Q5" s="199">
        <v>2024</v>
      </c>
      <c r="R5" s="199">
        <v>2025</v>
      </c>
      <c r="S5" s="199">
        <v>2025</v>
      </c>
      <c r="T5" s="199">
        <v>2025</v>
      </c>
      <c r="U5" s="145"/>
    </row>
    <row r="6" spans="1:25" ht="15" thickBot="1" x14ac:dyDescent="0.35">
      <c r="A6" s="157"/>
      <c r="B6" s="158" t="s">
        <v>64</v>
      </c>
      <c r="C6" s="146"/>
      <c r="D6" s="146"/>
      <c r="E6" s="146"/>
      <c r="F6" s="198" t="s">
        <v>25</v>
      </c>
      <c r="G6" s="198" t="s">
        <v>26</v>
      </c>
      <c r="H6" s="198" t="s">
        <v>27</v>
      </c>
      <c r="I6" s="198" t="s">
        <v>28</v>
      </c>
      <c r="J6" s="198" t="s">
        <v>29</v>
      </c>
      <c r="K6" s="198" t="s">
        <v>30</v>
      </c>
      <c r="L6" s="198" t="s">
        <v>31</v>
      </c>
      <c r="M6" s="198" t="s">
        <v>32</v>
      </c>
      <c r="N6" s="198" t="s">
        <v>33</v>
      </c>
      <c r="O6" s="198" t="s">
        <v>34</v>
      </c>
      <c r="P6" s="198" t="s">
        <v>35</v>
      </c>
      <c r="Q6" s="198" t="s">
        <v>36</v>
      </c>
      <c r="R6" s="198" t="s">
        <v>25</v>
      </c>
      <c r="S6" s="198" t="s">
        <v>26</v>
      </c>
      <c r="T6" s="198" t="s">
        <v>27</v>
      </c>
      <c r="U6" s="195" t="s">
        <v>72</v>
      </c>
    </row>
    <row r="7" spans="1:25" s="126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67" t="s">
        <v>282</v>
      </c>
      <c r="F8"/>
    </row>
    <row r="9" spans="1:25" x14ac:dyDescent="0.3">
      <c r="C9" s="168"/>
      <c r="F9"/>
    </row>
    <row r="10" spans="1:25" x14ac:dyDescent="0.3">
      <c r="C10" s="167" t="s">
        <v>48</v>
      </c>
      <c r="F10"/>
      <c r="G10" s="169"/>
      <c r="H10" s="169"/>
      <c r="I10" s="169"/>
      <c r="J10" s="169"/>
      <c r="K10" s="169"/>
      <c r="L10" s="168"/>
      <c r="M10" s="169"/>
      <c r="N10" s="169"/>
      <c r="O10" s="169"/>
      <c r="P10" s="169"/>
      <c r="Q10" s="169"/>
      <c r="R10" s="169"/>
      <c r="S10" s="169"/>
      <c r="T10" s="169"/>
      <c r="V10" s="1"/>
    </row>
    <row r="11" spans="1:25" x14ac:dyDescent="0.3">
      <c r="C11" s="168" t="s">
        <v>171</v>
      </c>
      <c r="F11" s="169">
        <f>'BS 2023'!Q14+'CF 2024'!G50</f>
        <v>1998484.4735999999</v>
      </c>
      <c r="G11" s="169">
        <f>F14+'CF 2024'!H50</f>
        <v>2193238.9439999997</v>
      </c>
      <c r="H11" s="169">
        <f>G14+'CF 2024'!I50</f>
        <v>2395179.8111999994</v>
      </c>
      <c r="I11" s="169">
        <f>H14+'CF 2024'!J50</f>
        <v>2604307.0751999994</v>
      </c>
      <c r="J11" s="169">
        <f>I14+'CF 2024'!K50</f>
        <v>2814886.5407999996</v>
      </c>
      <c r="K11" s="169">
        <f>J14+'CF 2024'!L50</f>
        <v>3031218.8543999996</v>
      </c>
      <c r="L11" s="169">
        <f>K14+'CF 2024'!M50</f>
        <v>3259038.2111999998</v>
      </c>
      <c r="M11" s="169">
        <f>L14+'CF 2024'!N50</f>
        <v>3486876.2207999998</v>
      </c>
      <c r="N11" s="169">
        <f>M14+'CF 2024'!O50</f>
        <v>3729068.3711999999</v>
      </c>
      <c r="O11" s="169">
        <f>N14+'CF 2024'!P50</f>
        <v>3975818.7456</v>
      </c>
      <c r="P11" s="169">
        <f>O14+'CF 2024'!Q50</f>
        <v>4218526.0511999996</v>
      </c>
      <c r="Q11" s="169">
        <f>P14+'CF 2024'!R50</f>
        <v>4465791.5807999996</v>
      </c>
      <c r="R11" s="169">
        <f>'BS 2025'!F11</f>
        <v>4713864.7807999998</v>
      </c>
      <c r="S11" s="169">
        <f>'BS 2025'!G11</f>
        <v>4969946.3807999995</v>
      </c>
      <c r="T11" s="169">
        <f>'BS 2025'!H11</f>
        <v>5210852.3807999995</v>
      </c>
      <c r="V11" s="1"/>
    </row>
    <row r="12" spans="1:25" x14ac:dyDescent="0.3">
      <c r="C12" s="168" t="s">
        <v>172</v>
      </c>
      <c r="F12" s="169"/>
      <c r="G12" s="168"/>
      <c r="H12" s="168"/>
      <c r="I12" s="168" t="s">
        <v>189</v>
      </c>
      <c r="J12" s="168"/>
      <c r="K12" s="168" t="s">
        <v>189</v>
      </c>
      <c r="L12" s="168"/>
      <c r="M12" s="168"/>
      <c r="N12" s="168"/>
      <c r="O12" s="168"/>
      <c r="P12" s="168"/>
      <c r="Q12" s="168"/>
      <c r="R12" s="168"/>
      <c r="S12" s="168" t="s">
        <v>189</v>
      </c>
      <c r="T12" s="168" t="s">
        <v>189</v>
      </c>
      <c r="V12" s="1"/>
    </row>
    <row r="13" spans="1:25" x14ac:dyDescent="0.3">
      <c r="C13" s="168" t="s">
        <v>173</v>
      </c>
      <c r="F13"/>
      <c r="I13" s="169"/>
      <c r="K13" s="169"/>
      <c r="S13" s="169"/>
      <c r="T13" s="169"/>
      <c r="V13" s="1"/>
    </row>
    <row r="14" spans="1:25" x14ac:dyDescent="0.3">
      <c r="C14" s="168" t="s">
        <v>174</v>
      </c>
      <c r="F14" s="169">
        <f>SUM(F11:F13)</f>
        <v>1998484.4735999999</v>
      </c>
      <c r="G14" s="169">
        <f t="shared" ref="G14:Q14" si="0">SUM(G11:G13)</f>
        <v>2193238.9439999997</v>
      </c>
      <c r="H14" s="169">
        <f t="shared" si="0"/>
        <v>2395179.8111999994</v>
      </c>
      <c r="I14" s="169">
        <f t="shared" si="0"/>
        <v>2604307.0751999994</v>
      </c>
      <c r="J14" s="169">
        <f t="shared" si="0"/>
        <v>2814886.5407999996</v>
      </c>
      <c r="K14" s="169">
        <f t="shared" si="0"/>
        <v>3031218.8543999996</v>
      </c>
      <c r="L14" s="169">
        <f t="shared" si="0"/>
        <v>3259038.2111999998</v>
      </c>
      <c r="M14" s="169">
        <f t="shared" si="0"/>
        <v>3486876.2207999998</v>
      </c>
      <c r="N14" s="169">
        <f t="shared" si="0"/>
        <v>3729068.3711999999</v>
      </c>
      <c r="O14" s="169">
        <f t="shared" si="0"/>
        <v>3975818.7456</v>
      </c>
      <c r="P14" s="169">
        <f t="shared" si="0"/>
        <v>4218526.0511999996</v>
      </c>
      <c r="Q14" s="169">
        <f t="shared" si="0"/>
        <v>4465791.5807999996</v>
      </c>
      <c r="R14" s="169">
        <f t="shared" ref="R14" si="1">SUM(R11:R13)</f>
        <v>4713864.7807999998</v>
      </c>
      <c r="S14" s="169">
        <f t="shared" ref="S14" si="2">SUM(S11:S13)</f>
        <v>4969946.3807999995</v>
      </c>
      <c r="T14" s="169">
        <f t="shared" ref="T14" si="3">SUM(T11:T13)</f>
        <v>5210852.3807999995</v>
      </c>
      <c r="U14" s="208">
        <f>SUM(F14:Q14)</f>
        <v>38172434.879999995</v>
      </c>
      <c r="V14" s="1"/>
    </row>
    <row r="15" spans="1:25" x14ac:dyDescent="0.3">
      <c r="C15" s="167" t="s">
        <v>49</v>
      </c>
      <c r="F15"/>
      <c r="G15" s="168"/>
      <c r="H15" s="168"/>
      <c r="I15" s="168"/>
      <c r="J15" s="171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V15" s="1"/>
    </row>
    <row r="16" spans="1:25" x14ac:dyDescent="0.3">
      <c r="C16" s="170" t="s">
        <v>175</v>
      </c>
      <c r="F16" s="169">
        <f>'BS 2023'!Q16-'IS 2024'!F57</f>
        <v>471982</v>
      </c>
      <c r="G16" s="169">
        <f>F16-'IS 2024'!G57</f>
        <v>473432</v>
      </c>
      <c r="H16" s="169">
        <f>G16-'IS 2024'!H57</f>
        <v>474882</v>
      </c>
      <c r="I16" s="169">
        <f>H16-'IS 2024'!I57</f>
        <v>476332</v>
      </c>
      <c r="J16" s="169">
        <f>I16-'IS 2024'!J57</f>
        <v>477782</v>
      </c>
      <c r="K16" s="169">
        <f>J16-'IS 2024'!K57</f>
        <v>479232</v>
      </c>
      <c r="L16" s="169">
        <f>K16-'IS 2024'!L57</f>
        <v>480682</v>
      </c>
      <c r="M16" s="169">
        <f>L16-'IS 2024'!M57</f>
        <v>482132</v>
      </c>
      <c r="N16" s="169">
        <f>M16-'IS 2024'!N57</f>
        <v>483582</v>
      </c>
      <c r="O16" s="169">
        <f>N16-'IS 2024'!O57</f>
        <v>485032</v>
      </c>
      <c r="P16" s="169">
        <f>O16-'IS 2024'!P57</f>
        <v>486482</v>
      </c>
      <c r="Q16" s="169">
        <f>P16-'IS 2024'!Q57</f>
        <v>488332</v>
      </c>
      <c r="R16" s="169">
        <f>Q16-'IS 2025'!F56</f>
        <v>490182</v>
      </c>
      <c r="S16" s="176">
        <f>R16-'IS 2024'!G57</f>
        <v>491632</v>
      </c>
      <c r="T16" s="176">
        <f>S16-'IS 2024'!H57</f>
        <v>493082</v>
      </c>
      <c r="V16" s="1"/>
    </row>
    <row r="17" spans="1:22" x14ac:dyDescent="0.3">
      <c r="C17" s="170" t="s">
        <v>176</v>
      </c>
      <c r="F17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V17" s="1"/>
    </row>
    <row r="18" spans="1:22" x14ac:dyDescent="0.3">
      <c r="C18" s="170" t="s">
        <v>177</v>
      </c>
      <c r="F18" s="176">
        <f>SUM(F16:F17)</f>
        <v>471982</v>
      </c>
      <c r="G18" s="176">
        <f t="shared" ref="G18:T19" si="4">SUM(G16:G17)</f>
        <v>473432</v>
      </c>
      <c r="H18" s="176">
        <f t="shared" si="4"/>
        <v>474882</v>
      </c>
      <c r="I18" s="176">
        <f t="shared" si="4"/>
        <v>476332</v>
      </c>
      <c r="J18" s="176">
        <f t="shared" si="4"/>
        <v>477782</v>
      </c>
      <c r="K18" s="176">
        <f t="shared" si="4"/>
        <v>479232</v>
      </c>
      <c r="L18" s="176">
        <f t="shared" si="4"/>
        <v>480682</v>
      </c>
      <c r="M18" s="176">
        <f t="shared" si="4"/>
        <v>482132</v>
      </c>
      <c r="N18" s="176">
        <f t="shared" si="4"/>
        <v>483582</v>
      </c>
      <c r="O18" s="176">
        <f t="shared" si="4"/>
        <v>485032</v>
      </c>
      <c r="P18" s="176">
        <f t="shared" si="4"/>
        <v>486482</v>
      </c>
      <c r="Q18" s="176">
        <f t="shared" si="4"/>
        <v>488332</v>
      </c>
      <c r="R18" s="176">
        <f t="shared" si="4"/>
        <v>490182</v>
      </c>
      <c r="S18" s="176">
        <f t="shared" si="4"/>
        <v>491632</v>
      </c>
      <c r="T18" s="176">
        <f t="shared" si="4"/>
        <v>493082</v>
      </c>
      <c r="V18" s="1"/>
    </row>
    <row r="19" spans="1:22" x14ac:dyDescent="0.3">
      <c r="A19" s="140"/>
      <c r="B19" s="145"/>
      <c r="C19" s="179" t="s">
        <v>178</v>
      </c>
      <c r="D19" s="145"/>
      <c r="E19" s="145"/>
      <c r="F19" s="180">
        <f>SUM(F17:F18)</f>
        <v>471982</v>
      </c>
      <c r="G19" s="180">
        <f t="shared" si="4"/>
        <v>473432</v>
      </c>
      <c r="H19" s="180">
        <f t="shared" si="4"/>
        <v>474882</v>
      </c>
      <c r="I19" s="180">
        <f t="shared" si="4"/>
        <v>476332</v>
      </c>
      <c r="J19" s="180">
        <f t="shared" si="4"/>
        <v>477782</v>
      </c>
      <c r="K19" s="180">
        <f t="shared" si="4"/>
        <v>479232</v>
      </c>
      <c r="L19" s="180">
        <f t="shared" si="4"/>
        <v>480682</v>
      </c>
      <c r="M19" s="180">
        <f t="shared" si="4"/>
        <v>482132</v>
      </c>
      <c r="N19" s="180">
        <f t="shared" si="4"/>
        <v>483582</v>
      </c>
      <c r="O19" s="180">
        <f t="shared" si="4"/>
        <v>485032</v>
      </c>
      <c r="P19" s="180">
        <f t="shared" si="4"/>
        <v>486482</v>
      </c>
      <c r="Q19" s="180">
        <f t="shared" si="4"/>
        <v>488332</v>
      </c>
      <c r="R19" s="180">
        <f t="shared" si="4"/>
        <v>490182</v>
      </c>
      <c r="S19" s="180">
        <f t="shared" si="4"/>
        <v>491632</v>
      </c>
      <c r="T19" s="180">
        <f t="shared" si="4"/>
        <v>493082</v>
      </c>
      <c r="U19" s="153">
        <f>SUM(F19:Q19)</f>
        <v>5759884</v>
      </c>
      <c r="V19" s="1"/>
    </row>
    <row r="20" spans="1:22" x14ac:dyDescent="0.3">
      <c r="A20" s="157"/>
      <c r="B20" s="146"/>
      <c r="C20" s="181" t="s">
        <v>50</v>
      </c>
      <c r="D20" s="146"/>
      <c r="E20" s="146"/>
      <c r="F20" s="182">
        <f>F14+F19</f>
        <v>2470466.4736000001</v>
      </c>
      <c r="G20" s="182">
        <f>G14+G19</f>
        <v>2666670.9439999997</v>
      </c>
      <c r="H20" s="182">
        <f t="shared" ref="H20:T20" si="5">H14+H19</f>
        <v>2870061.8111999994</v>
      </c>
      <c r="I20" s="182">
        <f t="shared" si="5"/>
        <v>3080639.0751999994</v>
      </c>
      <c r="J20" s="182">
        <f t="shared" si="5"/>
        <v>3292668.5407999996</v>
      </c>
      <c r="K20" s="182">
        <f t="shared" si="5"/>
        <v>3510450.8543999996</v>
      </c>
      <c r="L20" s="182">
        <f t="shared" si="5"/>
        <v>3739720.2111999998</v>
      </c>
      <c r="M20" s="182">
        <f t="shared" si="5"/>
        <v>3969008.2207999998</v>
      </c>
      <c r="N20" s="182">
        <f t="shared" si="5"/>
        <v>4212650.3711999999</v>
      </c>
      <c r="O20" s="182">
        <f t="shared" si="5"/>
        <v>4460850.7456</v>
      </c>
      <c r="P20" s="182">
        <f t="shared" si="5"/>
        <v>4705008.0511999996</v>
      </c>
      <c r="Q20" s="182">
        <f t="shared" si="5"/>
        <v>4954123.5807999996</v>
      </c>
      <c r="R20" s="182">
        <f t="shared" si="5"/>
        <v>5204046.7807999998</v>
      </c>
      <c r="S20" s="182">
        <f t="shared" si="5"/>
        <v>5461578.3807999995</v>
      </c>
      <c r="T20" s="182">
        <f t="shared" si="5"/>
        <v>5703934.3807999995</v>
      </c>
      <c r="U20" s="147">
        <f>SUM(F20:Q20)</f>
        <v>43932318.879999995</v>
      </c>
      <c r="V20" s="1"/>
    </row>
    <row r="21" spans="1:22" x14ac:dyDescent="0.3">
      <c r="C21" s="178" t="s">
        <v>51</v>
      </c>
      <c r="F21"/>
      <c r="I21" s="171"/>
      <c r="K21" s="171"/>
      <c r="S21" s="171"/>
      <c r="T21" s="171"/>
      <c r="V21" s="1"/>
    </row>
    <row r="22" spans="1:22" x14ac:dyDescent="0.3">
      <c r="C22" s="170" t="s">
        <v>179</v>
      </c>
      <c r="F22" s="171"/>
      <c r="G22" s="171"/>
      <c r="Q22" s="171"/>
      <c r="V22" s="1"/>
    </row>
    <row r="23" spans="1:22" x14ac:dyDescent="0.3">
      <c r="C23" s="170" t="s">
        <v>180</v>
      </c>
      <c r="F23"/>
      <c r="H23" s="171"/>
      <c r="J23" s="171"/>
      <c r="V23" s="1"/>
    </row>
    <row r="24" spans="1:22" x14ac:dyDescent="0.3">
      <c r="C24" s="168" t="s">
        <v>181</v>
      </c>
      <c r="F24" s="176">
        <f>'CF 2024'!G49</f>
        <v>-63430.718400000012</v>
      </c>
      <c r="G24" s="176">
        <f>'CF 2024'!H49</f>
        <v>-64386.417599999986</v>
      </c>
      <c r="H24" s="176">
        <f>'CF 2024'!I49</f>
        <v>-65342.116799999996</v>
      </c>
      <c r="I24" s="176">
        <f>'CF 2024'!J49</f>
        <v>-66297.815999999992</v>
      </c>
      <c r="J24" s="176">
        <f>'CF 2024'!K49</f>
        <v>-65819.966400000019</v>
      </c>
      <c r="K24" s="176">
        <f>'CF 2024'!L49</f>
        <v>-66417.278399999996</v>
      </c>
      <c r="L24" s="176">
        <f>'CF 2024'!M49</f>
        <v>-68448.13920000002</v>
      </c>
      <c r="M24" s="176">
        <f>'CF 2024'!N49</f>
        <v>-67611.902399999992</v>
      </c>
      <c r="N24" s="176">
        <f>'CF 2024'!O49</f>
        <v>-70359.537600000011</v>
      </c>
      <c r="O24" s="176">
        <f>'CF 2024'!P49</f>
        <v>-70658.193599999999</v>
      </c>
      <c r="P24" s="176">
        <f>'CF 2024'!Q49</f>
        <v>-68806.526400000002</v>
      </c>
      <c r="Q24" s="176">
        <f>'CF 2024'!R49</f>
        <v>-69105.182400000005</v>
      </c>
      <c r="R24" s="176">
        <f>'CF 2024'!S49</f>
        <v>-70473</v>
      </c>
      <c r="S24" s="176">
        <f>'CF 2024'!T49</f>
        <v>-71370</v>
      </c>
      <c r="T24" s="176">
        <f>'CF 2024'!U49</f>
        <v>-66471</v>
      </c>
      <c r="V24" s="1"/>
    </row>
    <row r="25" spans="1:22" x14ac:dyDescent="0.3">
      <c r="A25" s="145"/>
      <c r="B25" s="145"/>
      <c r="C25" s="172" t="s">
        <v>182</v>
      </c>
      <c r="D25" s="145"/>
      <c r="E25" s="145"/>
      <c r="F25" s="153">
        <f>SUM(F22:F24)</f>
        <v>-63430.718400000012</v>
      </c>
      <c r="G25" s="153">
        <f t="shared" ref="G25:T25" si="6">SUM(G22:G24)</f>
        <v>-64386.417599999986</v>
      </c>
      <c r="H25" s="153">
        <f t="shared" si="6"/>
        <v>-65342.116799999996</v>
      </c>
      <c r="I25" s="153">
        <f t="shared" si="6"/>
        <v>-66297.815999999992</v>
      </c>
      <c r="J25" s="153">
        <f t="shared" si="6"/>
        <v>-65819.966400000019</v>
      </c>
      <c r="K25" s="153">
        <f t="shared" si="6"/>
        <v>-66417.278399999996</v>
      </c>
      <c r="L25" s="153">
        <f t="shared" si="6"/>
        <v>-68448.13920000002</v>
      </c>
      <c r="M25" s="153">
        <f t="shared" si="6"/>
        <v>-67611.902399999992</v>
      </c>
      <c r="N25" s="153">
        <f t="shared" si="6"/>
        <v>-70359.537600000011</v>
      </c>
      <c r="O25" s="153">
        <f t="shared" si="6"/>
        <v>-70658.193599999999</v>
      </c>
      <c r="P25" s="153">
        <f t="shared" si="6"/>
        <v>-68806.526400000002</v>
      </c>
      <c r="Q25" s="153">
        <f t="shared" si="6"/>
        <v>-69105.182400000005</v>
      </c>
      <c r="R25" s="153">
        <f t="shared" si="6"/>
        <v>-70473</v>
      </c>
      <c r="S25" s="153">
        <f t="shared" si="6"/>
        <v>-71370</v>
      </c>
      <c r="T25" s="153">
        <f t="shared" si="6"/>
        <v>-66471</v>
      </c>
      <c r="U25" s="153">
        <f>SUM(F25:Q25)</f>
        <v>-806683.79520000005</v>
      </c>
      <c r="V25" s="1"/>
    </row>
    <row r="26" spans="1:22" x14ac:dyDescent="0.3">
      <c r="A26" s="146"/>
      <c r="B26" s="146"/>
      <c r="C26" s="183" t="s">
        <v>52</v>
      </c>
      <c r="D26" s="146"/>
      <c r="E26" s="146"/>
      <c r="F26" s="147"/>
      <c r="G26" s="146"/>
      <c r="H26" s="146"/>
      <c r="I26" s="147"/>
      <c r="J26" s="146"/>
      <c r="K26" s="147"/>
      <c r="L26" s="184"/>
      <c r="M26" s="184"/>
      <c r="N26" s="184"/>
      <c r="O26" s="184"/>
      <c r="P26" s="184"/>
      <c r="Q26" s="146"/>
      <c r="R26" s="184"/>
      <c r="S26" s="147"/>
      <c r="T26" s="147"/>
      <c r="U26" s="146"/>
      <c r="V26" s="1"/>
    </row>
    <row r="27" spans="1:22" x14ac:dyDescent="0.3">
      <c r="C27" s="167" t="s">
        <v>183</v>
      </c>
      <c r="F27" s="176">
        <f>'BS 2023'!Q27-'CF 2024'!G31</f>
        <v>-348184</v>
      </c>
      <c r="G27" s="176">
        <f>F27-'CF 2024'!H31</f>
        <v>-331366</v>
      </c>
      <c r="H27" s="176">
        <f>G27-'CF 2024'!I31</f>
        <v>-314548</v>
      </c>
      <c r="I27" s="176">
        <f>H27-'CF 2024'!J31</f>
        <v>-297730</v>
      </c>
      <c r="J27" s="176">
        <f>I27-'CF 2024'!K31</f>
        <v>-280912</v>
      </c>
      <c r="K27" s="176">
        <f>J27-'CF 2024'!L31</f>
        <v>-264094</v>
      </c>
      <c r="L27" s="176">
        <f>K27-'CF 2024'!M31</f>
        <v>-247276</v>
      </c>
      <c r="M27" s="176">
        <f>L27-'CF 2024'!N31</f>
        <v>-230458</v>
      </c>
      <c r="N27" s="176">
        <f>M27-'CF 2024'!O31</f>
        <v>-213640</v>
      </c>
      <c r="O27" s="176">
        <f>N27-'CF 2024'!P31</f>
        <v>-196822</v>
      </c>
      <c r="P27" s="176">
        <f>O27-'CF 2024'!Q31</f>
        <v>-180004</v>
      </c>
      <c r="Q27" s="176">
        <f>P27-'CF 2024'!R31</f>
        <v>-163186</v>
      </c>
      <c r="R27" s="176">
        <f>'BS 2025'!F27</f>
        <v>-141084</v>
      </c>
      <c r="S27" s="176">
        <f>'BS 2025'!G27</f>
        <v>-118982</v>
      </c>
      <c r="T27" s="176">
        <f>'BS 2025'!H27</f>
        <v>-96880</v>
      </c>
      <c r="U27" s="208">
        <f>SUM(F27:Q27)</f>
        <v>-3068220</v>
      </c>
      <c r="V27" s="1"/>
    </row>
    <row r="28" spans="1:22" ht="12.6" customHeight="1" x14ac:dyDescent="0.3">
      <c r="C28" s="168"/>
      <c r="F28"/>
      <c r="J28" s="169" t="s">
        <v>189</v>
      </c>
      <c r="U28" s="308"/>
      <c r="V28" s="1"/>
    </row>
    <row r="29" spans="1:22" x14ac:dyDescent="0.3">
      <c r="C29" s="167" t="s">
        <v>184</v>
      </c>
      <c r="F29" s="169"/>
      <c r="G29" s="169"/>
      <c r="H29" s="169"/>
      <c r="Q29" s="169"/>
      <c r="U29" s="308"/>
      <c r="V29" s="1"/>
    </row>
    <row r="30" spans="1:22" x14ac:dyDescent="0.3">
      <c r="C30" s="170" t="s">
        <v>192</v>
      </c>
      <c r="F30" s="169"/>
      <c r="G30" s="169"/>
      <c r="H30" s="169"/>
      <c r="Q30" s="169"/>
      <c r="U30" s="308"/>
      <c r="V30" s="1"/>
    </row>
    <row r="31" spans="1:22" x14ac:dyDescent="0.3">
      <c r="C31" s="167" t="s">
        <v>185</v>
      </c>
      <c r="F31" s="176">
        <f>SUM(F27:F29)</f>
        <v>-348184</v>
      </c>
      <c r="G31" s="176">
        <f t="shared" ref="G31:T31" si="7">SUM(G27:G29)</f>
        <v>-331366</v>
      </c>
      <c r="H31" s="176">
        <f t="shared" si="7"/>
        <v>-314548</v>
      </c>
      <c r="I31" s="176">
        <f t="shared" si="7"/>
        <v>-297730</v>
      </c>
      <c r="J31" s="176">
        <f t="shared" si="7"/>
        <v>-280912</v>
      </c>
      <c r="K31" s="176">
        <f t="shared" si="7"/>
        <v>-264094</v>
      </c>
      <c r="L31" s="176">
        <f t="shared" si="7"/>
        <v>-247276</v>
      </c>
      <c r="M31" s="176">
        <f t="shared" si="7"/>
        <v>-230458</v>
      </c>
      <c r="N31" s="176">
        <f t="shared" si="7"/>
        <v>-213640</v>
      </c>
      <c r="O31" s="176">
        <f t="shared" si="7"/>
        <v>-196822</v>
      </c>
      <c r="P31" s="176">
        <f t="shared" si="7"/>
        <v>-180004</v>
      </c>
      <c r="Q31" s="176">
        <f t="shared" si="7"/>
        <v>-163186</v>
      </c>
      <c r="R31" s="176">
        <f t="shared" si="7"/>
        <v>-141084</v>
      </c>
      <c r="S31" s="176">
        <f t="shared" si="7"/>
        <v>-118982</v>
      </c>
      <c r="T31" s="176">
        <f t="shared" si="7"/>
        <v>-96880</v>
      </c>
      <c r="U31" s="308"/>
      <c r="V31" s="1"/>
    </row>
    <row r="32" spans="1:22" x14ac:dyDescent="0.3">
      <c r="C32" s="167" t="s">
        <v>53</v>
      </c>
      <c r="F32" s="176">
        <f>F31+F25</f>
        <v>-411614.71840000001</v>
      </c>
      <c r="G32" s="176">
        <f t="shared" ref="G32:T32" si="8">G31+G24</f>
        <v>-395752.41759999999</v>
      </c>
      <c r="H32" s="176">
        <f t="shared" si="8"/>
        <v>-379890.11680000002</v>
      </c>
      <c r="I32" s="176">
        <f t="shared" si="8"/>
        <v>-364027.81599999999</v>
      </c>
      <c r="J32" s="176">
        <f t="shared" si="8"/>
        <v>-346731.96640000003</v>
      </c>
      <c r="K32" s="176">
        <f t="shared" si="8"/>
        <v>-330511.27840000001</v>
      </c>
      <c r="L32" s="176">
        <f t="shared" si="8"/>
        <v>-315724.13920000003</v>
      </c>
      <c r="M32" s="176">
        <f t="shared" si="8"/>
        <v>-298069.90240000002</v>
      </c>
      <c r="N32" s="176">
        <f t="shared" si="8"/>
        <v>-283999.53760000004</v>
      </c>
      <c r="O32" s="176">
        <f t="shared" si="8"/>
        <v>-267480.1936</v>
      </c>
      <c r="P32" s="176">
        <f t="shared" si="8"/>
        <v>-248810.5264</v>
      </c>
      <c r="Q32" s="176">
        <f t="shared" si="8"/>
        <v>-232291.18239999999</v>
      </c>
      <c r="R32" s="176">
        <f t="shared" si="8"/>
        <v>-211557</v>
      </c>
      <c r="S32" s="176">
        <f t="shared" si="8"/>
        <v>-190352</v>
      </c>
      <c r="T32" s="176">
        <f t="shared" si="8"/>
        <v>-163351</v>
      </c>
      <c r="U32" s="308"/>
      <c r="V32" s="1"/>
    </row>
    <row r="33" spans="3:22" x14ac:dyDescent="0.3">
      <c r="C33" s="167" t="s">
        <v>54</v>
      </c>
      <c r="F33" s="207">
        <f>F20+F32</f>
        <v>2058851.7552</v>
      </c>
      <c r="G33" s="207">
        <f t="shared" ref="G33:Q33" si="9">G20+G32</f>
        <v>2270918.5263999999</v>
      </c>
      <c r="H33" s="207">
        <f t="shared" si="9"/>
        <v>2490171.6943999995</v>
      </c>
      <c r="I33" s="207">
        <f t="shared" si="9"/>
        <v>2716611.2591999993</v>
      </c>
      <c r="J33" s="207">
        <f t="shared" si="9"/>
        <v>2945936.5743999993</v>
      </c>
      <c r="K33" s="207">
        <f t="shared" si="9"/>
        <v>3179939.5759999994</v>
      </c>
      <c r="L33" s="207">
        <f t="shared" si="9"/>
        <v>3423996.0719999997</v>
      </c>
      <c r="M33" s="207">
        <f t="shared" si="9"/>
        <v>3670938.3183999998</v>
      </c>
      <c r="N33" s="207">
        <f t="shared" si="9"/>
        <v>3928650.8336</v>
      </c>
      <c r="O33" s="207">
        <f t="shared" si="9"/>
        <v>4193370.5520000001</v>
      </c>
      <c r="P33" s="207">
        <f t="shared" si="9"/>
        <v>4456197.5247999998</v>
      </c>
      <c r="Q33" s="207">
        <f t="shared" si="9"/>
        <v>4721832.3983999994</v>
      </c>
      <c r="R33" s="207">
        <f>R20+R32</f>
        <v>4992489.7807999998</v>
      </c>
      <c r="S33" s="207">
        <f t="shared" ref="S33" si="10">S20+S32</f>
        <v>5271226.3807999995</v>
      </c>
      <c r="T33" s="207">
        <f t="shared" ref="T33" si="11">T20+T32</f>
        <v>5540583.3807999995</v>
      </c>
      <c r="U33" s="330">
        <f>SUM(F33:Q33)</f>
        <v>40057415.084799998</v>
      </c>
      <c r="V33" s="1"/>
    </row>
    <row r="34" spans="3:22" x14ac:dyDescent="0.3">
      <c r="C34" s="170" t="s">
        <v>56</v>
      </c>
      <c r="F34" s="168"/>
      <c r="G34" s="168"/>
      <c r="H34" s="168"/>
      <c r="I34" s="168"/>
      <c r="J34" s="169"/>
      <c r="K34" s="169"/>
      <c r="L34" s="169"/>
      <c r="M34" s="169"/>
      <c r="N34" s="169"/>
      <c r="O34" s="169"/>
      <c r="P34" s="169"/>
      <c r="Q34" s="168"/>
      <c r="R34" s="169"/>
      <c r="S34" s="169"/>
      <c r="T34" s="169"/>
      <c r="V34" s="1"/>
    </row>
    <row r="35" spans="3:22" x14ac:dyDescent="0.3">
      <c r="C35" s="170" t="s">
        <v>58</v>
      </c>
      <c r="F35" s="169">
        <f>SUM(F33:F34)</f>
        <v>2058851.7552</v>
      </c>
      <c r="G35" s="169">
        <f t="shared" ref="G35:T35" si="12">SUM(G33:G34)</f>
        <v>2270918.5263999999</v>
      </c>
      <c r="H35" s="169">
        <f t="shared" si="12"/>
        <v>2490171.6943999995</v>
      </c>
      <c r="I35" s="169">
        <f t="shared" si="12"/>
        <v>2716611.2591999993</v>
      </c>
      <c r="J35" s="169">
        <f t="shared" si="12"/>
        <v>2945936.5743999993</v>
      </c>
      <c r="K35" s="169">
        <f t="shared" si="12"/>
        <v>3179939.5759999994</v>
      </c>
      <c r="L35" s="169">
        <f t="shared" si="12"/>
        <v>3423996.0719999997</v>
      </c>
      <c r="M35" s="169">
        <f t="shared" si="12"/>
        <v>3670938.3183999998</v>
      </c>
      <c r="N35" s="169">
        <f t="shared" si="12"/>
        <v>3928650.8336</v>
      </c>
      <c r="O35" s="169">
        <f t="shared" si="12"/>
        <v>4193370.5520000001</v>
      </c>
      <c r="P35" s="169">
        <f t="shared" si="12"/>
        <v>4456197.5247999998</v>
      </c>
      <c r="Q35" s="169">
        <f t="shared" si="12"/>
        <v>4721832.3983999994</v>
      </c>
      <c r="R35" s="169">
        <f t="shared" si="12"/>
        <v>4992489.7807999998</v>
      </c>
      <c r="S35" s="169">
        <f t="shared" si="12"/>
        <v>5271226.3807999995</v>
      </c>
      <c r="T35" s="169">
        <f t="shared" si="12"/>
        <v>5540583.3807999995</v>
      </c>
      <c r="V35" s="1"/>
    </row>
    <row r="36" spans="3:22" x14ac:dyDescent="0.3">
      <c r="C36" s="177" t="s">
        <v>59</v>
      </c>
      <c r="F36" s="169">
        <f>F34+F35</f>
        <v>2058851.7552</v>
      </c>
      <c r="G36" s="169">
        <f t="shared" ref="G36:T36" si="13">G34+G35</f>
        <v>2270918.5263999999</v>
      </c>
      <c r="H36" s="169">
        <f t="shared" si="13"/>
        <v>2490171.6943999995</v>
      </c>
      <c r="I36" s="169">
        <f t="shared" si="13"/>
        <v>2716611.2591999993</v>
      </c>
      <c r="J36" s="169">
        <f t="shared" si="13"/>
        <v>2945936.5743999993</v>
      </c>
      <c r="K36" s="169">
        <f t="shared" si="13"/>
        <v>3179939.5759999994</v>
      </c>
      <c r="L36" s="169">
        <f t="shared" si="13"/>
        <v>3423996.0719999997</v>
      </c>
      <c r="M36" s="169">
        <f t="shared" si="13"/>
        <v>3670938.3183999998</v>
      </c>
      <c r="N36" s="169">
        <f t="shared" si="13"/>
        <v>3928650.8336</v>
      </c>
      <c r="O36" s="169">
        <f t="shared" si="13"/>
        <v>4193370.5520000001</v>
      </c>
      <c r="P36" s="169">
        <f t="shared" si="13"/>
        <v>4456197.5247999998</v>
      </c>
      <c r="Q36" s="169">
        <f t="shared" si="13"/>
        <v>4721832.3983999994</v>
      </c>
      <c r="R36" s="169">
        <f t="shared" si="13"/>
        <v>4992489.7807999998</v>
      </c>
      <c r="S36" s="169">
        <f t="shared" si="13"/>
        <v>5271226.3807999995</v>
      </c>
      <c r="T36" s="169">
        <f t="shared" si="13"/>
        <v>5540583.3807999995</v>
      </c>
      <c r="V36" s="1"/>
    </row>
    <row r="37" spans="3:22" x14ac:dyDescent="0.3">
      <c r="C37" s="170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V37" s="1"/>
    </row>
    <row r="38" spans="3:22" x14ac:dyDescent="0.3">
      <c r="C38" s="170" t="s">
        <v>186</v>
      </c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V38" s="1"/>
    </row>
    <row r="39" spans="3:22" x14ac:dyDescent="0.3">
      <c r="C39" s="170" t="s">
        <v>187</v>
      </c>
      <c r="F39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V39" s="1"/>
    </row>
    <row r="40" spans="3:22" x14ac:dyDescent="0.3">
      <c r="C40" s="170" t="s">
        <v>188</v>
      </c>
      <c r="F40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V40" s="1"/>
    </row>
    <row r="41" spans="3:22" x14ac:dyDescent="0.3">
      <c r="C41" s="170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</sheetData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915F-497A-4FE1-ACBC-C8FD0309DFA3}">
  <sheetPr codeName="Sheet4"/>
  <dimension ref="B2:V101"/>
  <sheetViews>
    <sheetView showGridLines="0" topLeftCell="A51" zoomScale="95" zoomScaleNormal="95" workbookViewId="0">
      <selection activeCell="J99" sqref="J99"/>
    </sheetView>
  </sheetViews>
  <sheetFormatPr defaultRowHeight="14.4" x14ac:dyDescent="0.3"/>
  <cols>
    <col min="1" max="1" width="4.5546875" customWidth="1"/>
    <col min="5" max="5" width="11.109375" customWidth="1"/>
    <col min="6" max="6" width="11.6640625" bestFit="1" customWidth="1"/>
    <col min="7" max="9" width="11.21875" customWidth="1"/>
    <col min="10" max="10" width="4.33203125" customWidth="1"/>
    <col min="11" max="11" width="10.109375" customWidth="1"/>
    <col min="12" max="14" width="10.5546875" bestFit="1" customWidth="1"/>
    <col min="15" max="15" width="10.33203125" customWidth="1"/>
    <col min="16" max="22" width="10.5546875" bestFit="1" customWidth="1"/>
  </cols>
  <sheetData>
    <row r="2" spans="2:22" x14ac:dyDescent="0.3">
      <c r="B2" s="172" t="s">
        <v>224</v>
      </c>
      <c r="C2" s="172"/>
      <c r="D2" s="172"/>
      <c r="E2" s="172"/>
      <c r="F2" s="145"/>
      <c r="G2" s="145"/>
      <c r="H2" s="145"/>
      <c r="I2" s="145"/>
      <c r="J2" s="145"/>
      <c r="K2" s="334" t="s">
        <v>197</v>
      </c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4" spans="2:22" x14ac:dyDescent="0.3">
      <c r="B4" s="185" t="s">
        <v>20</v>
      </c>
      <c r="C4" s="185"/>
      <c r="D4" s="185"/>
      <c r="E4" s="186">
        <v>2023</v>
      </c>
      <c r="F4" s="186">
        <v>2024</v>
      </c>
      <c r="G4" s="186">
        <v>2025</v>
      </c>
      <c r="H4" s="186">
        <v>2026</v>
      </c>
      <c r="I4" s="186">
        <v>2027</v>
      </c>
      <c r="J4" s="185"/>
      <c r="K4" s="186" t="s">
        <v>25</v>
      </c>
      <c r="L4" s="186" t="s">
        <v>26</v>
      </c>
      <c r="M4" s="186" t="s">
        <v>27</v>
      </c>
      <c r="N4" s="186" t="s">
        <v>28</v>
      </c>
      <c r="O4" s="186" t="s">
        <v>29</v>
      </c>
      <c r="P4" s="186" t="s">
        <v>30</v>
      </c>
      <c r="Q4" s="186" t="s">
        <v>31</v>
      </c>
      <c r="R4" s="186" t="s">
        <v>32</v>
      </c>
      <c r="S4" s="186" t="s">
        <v>33</v>
      </c>
      <c r="T4" s="186" t="s">
        <v>34</v>
      </c>
      <c r="U4" s="186" t="s">
        <v>35</v>
      </c>
      <c r="V4" s="186" t="s">
        <v>36</v>
      </c>
    </row>
    <row r="5" spans="2:22" x14ac:dyDescent="0.3">
      <c r="B5" t="s">
        <v>37</v>
      </c>
      <c r="E5" s="197">
        <f>'Statements Summary 2023'!V5</f>
        <v>300123</v>
      </c>
      <c r="F5" s="197">
        <f t="shared" ref="F5:F17" si="0">V5</f>
        <v>366450.91200000001</v>
      </c>
      <c r="G5" s="197">
        <f>'Statements Summary 2025'!V5</f>
        <v>425730</v>
      </c>
      <c r="H5" s="197">
        <f>'Statements Summary 2026'!V5</f>
        <v>585620</v>
      </c>
      <c r="I5" s="197">
        <f>'Statements Summary 2027'!V5</f>
        <v>656590</v>
      </c>
      <c r="K5" s="197">
        <f>'CF 2024'!G11</f>
        <v>338078.59200000006</v>
      </c>
      <c r="L5" s="197">
        <f>'CF 2024'!H11</f>
        <v>342857.08799999993</v>
      </c>
      <c r="M5" s="197">
        <f>'CF 2024'!I11</f>
        <v>347635.58399999997</v>
      </c>
      <c r="N5" s="197">
        <f>'CF 2024'!J11</f>
        <v>352414.07999999996</v>
      </c>
      <c r="O5" s="197">
        <f>'CF 2024'!K11</f>
        <v>350024.83200000005</v>
      </c>
      <c r="P5" s="197">
        <f>'CF 2024'!L11</f>
        <v>353011.39199999993</v>
      </c>
      <c r="Q5" s="197">
        <f>'CF 2024'!M11</f>
        <v>363165.69600000005</v>
      </c>
      <c r="R5" s="197">
        <f>'CF 2024'!N11</f>
        <v>358984.51199999993</v>
      </c>
      <c r="S5" s="197">
        <f>'CF 2024'!O11</f>
        <v>372722.68800000002</v>
      </c>
      <c r="T5" s="197">
        <f>'CF 2024'!P11</f>
        <v>374215.96799999999</v>
      </c>
      <c r="U5" s="197">
        <f>'CF 2024'!Q11</f>
        <v>364957.63199999998</v>
      </c>
      <c r="V5" s="197">
        <f>'CF 2024'!R11</f>
        <v>366450.91200000001</v>
      </c>
    </row>
    <row r="6" spans="2:22" x14ac:dyDescent="0.3">
      <c r="B6" t="s">
        <v>38</v>
      </c>
      <c r="E6" s="197">
        <f>'Statements Summary 2023'!V6</f>
        <v>-625</v>
      </c>
      <c r="F6" s="197">
        <f t="shared" si="0"/>
        <v>-625</v>
      </c>
      <c r="G6" s="197">
        <f>'Statements Summary 2025'!V6</f>
        <v>-625</v>
      </c>
      <c r="H6" s="197">
        <f>'Statements Summary 2026'!V6</f>
        <v>-625</v>
      </c>
      <c r="I6" s="197">
        <f>'Statements Summary 2027'!V6</f>
        <v>-625</v>
      </c>
      <c r="K6" s="197">
        <f>'CF 2024'!G15</f>
        <v>-625</v>
      </c>
      <c r="L6" s="197">
        <f>'CF 2024'!H15</f>
        <v>-625</v>
      </c>
      <c r="M6" s="197">
        <f>'CF 2024'!I15</f>
        <v>-625</v>
      </c>
      <c r="N6" s="197">
        <f>'CF 2024'!J15</f>
        <v>-625</v>
      </c>
      <c r="O6" s="197">
        <f>'CF 2024'!K15</f>
        <v>-625</v>
      </c>
      <c r="P6" s="197">
        <f>'CF 2024'!L15</f>
        <v>-625</v>
      </c>
      <c r="Q6" s="197">
        <f>'CF 2024'!M15</f>
        <v>-625</v>
      </c>
      <c r="R6" s="197">
        <f>'CF 2024'!N15</f>
        <v>-625</v>
      </c>
      <c r="S6" s="197">
        <f>'CF 2024'!O15</f>
        <v>-625</v>
      </c>
      <c r="T6" s="197">
        <f>'CF 2024'!P15</f>
        <v>-625</v>
      </c>
      <c r="U6" s="197">
        <f>'CF 2024'!Q15</f>
        <v>-625</v>
      </c>
      <c r="V6" s="197">
        <f>'CF 2024'!R15</f>
        <v>-625</v>
      </c>
    </row>
    <row r="7" spans="2:22" x14ac:dyDescent="0.3">
      <c r="B7" t="s">
        <v>39</v>
      </c>
      <c r="E7" s="197">
        <f>'Statements Summary 2023'!V7</f>
        <v>-16818</v>
      </c>
      <c r="F7" s="197">
        <f t="shared" si="0"/>
        <v>-16818</v>
      </c>
      <c r="G7" s="197">
        <f>'Statements Summary 2025'!V7</f>
        <v>0</v>
      </c>
      <c r="H7" s="197">
        <f>'Statements Summary 2026'!V7</f>
        <v>0</v>
      </c>
      <c r="I7" s="197">
        <f>'Statements Summary 2027'!V7</f>
        <v>0</v>
      </c>
      <c r="K7" s="197" t="s">
        <v>189</v>
      </c>
      <c r="L7" s="197">
        <f>'CF 2024'!H31</f>
        <v>-16818</v>
      </c>
      <c r="M7" s="197">
        <f>'CF 2024'!I31</f>
        <v>-16818</v>
      </c>
      <c r="N7" s="197">
        <f>'CF 2024'!J31</f>
        <v>-16818</v>
      </c>
      <c r="O7" s="197">
        <f>'CF 2024'!K31</f>
        <v>-16818</v>
      </c>
      <c r="P7" s="197">
        <f>'CF 2024'!L31</f>
        <v>-16818</v>
      </c>
      <c r="Q7" s="197">
        <f>'CF 2024'!M31</f>
        <v>-16818</v>
      </c>
      <c r="R7" s="197">
        <f>'CF 2024'!N31</f>
        <v>-16818</v>
      </c>
      <c r="S7" s="197">
        <f>'CF 2024'!O31</f>
        <v>-16818</v>
      </c>
      <c r="T7" s="197">
        <f>'CF 2024'!P31</f>
        <v>-16818</v>
      </c>
      <c r="U7" s="197">
        <f>'CF 2024'!Q31</f>
        <v>-16818</v>
      </c>
      <c r="V7" s="197">
        <f>'CF 2024'!R31</f>
        <v>-16818</v>
      </c>
    </row>
    <row r="8" spans="2:22" x14ac:dyDescent="0.3">
      <c r="B8" t="s">
        <v>14</v>
      </c>
      <c r="E8" s="197">
        <f>'Statements Summary 2023'!V8</f>
        <v>170658</v>
      </c>
      <c r="F8" s="197">
        <f t="shared" si="0"/>
        <v>264083.52960000001</v>
      </c>
      <c r="G8" s="197">
        <f>'Statements Summary 2025'!V8</f>
        <v>340344</v>
      </c>
      <c r="H8" s="197">
        <f>'Statements Summary 2026'!V8</f>
        <v>479525.6</v>
      </c>
      <c r="I8" s="197">
        <f>'Statements Summary 2027'!V8</f>
        <v>537481.6</v>
      </c>
      <c r="K8" s="197">
        <f>'CF 2024'!G20</f>
        <v>204386.07360000006</v>
      </c>
      <c r="L8" s="197">
        <f>'CF 2024'!H20</f>
        <v>211572.47039999993</v>
      </c>
      <c r="M8" s="197">
        <f>'CF 2024'!I20</f>
        <v>218758.86719999998</v>
      </c>
      <c r="N8" s="197">
        <f>'CF 2024'!J20</f>
        <v>225945.26399999997</v>
      </c>
      <c r="O8" s="197">
        <f>'CF 2024'!K20</f>
        <v>227397.46560000003</v>
      </c>
      <c r="P8" s="197">
        <f>'CF 2024'!L20</f>
        <v>233150.31359999994</v>
      </c>
      <c r="Q8" s="197">
        <f>'CF 2024'!M20</f>
        <v>244637.35680000004</v>
      </c>
      <c r="R8" s="197">
        <f>'CF 2024'!N20</f>
        <v>244656.00959999993</v>
      </c>
      <c r="S8" s="197">
        <f>'CF 2024'!O20</f>
        <v>259010.15040000001</v>
      </c>
      <c r="T8" s="197">
        <f>'CF 2024'!P20</f>
        <v>263568.37439999997</v>
      </c>
      <c r="U8" s="197">
        <f>'CF 2024'!Q20</f>
        <v>259525.30559999996</v>
      </c>
      <c r="V8" s="197">
        <f>'CF 2024'!R20</f>
        <v>264083.52960000001</v>
      </c>
    </row>
    <row r="9" spans="2:22" x14ac:dyDescent="0.3">
      <c r="B9" t="s">
        <v>40</v>
      </c>
      <c r="E9" s="197" t="str">
        <f>'Statements Summary 2023'!V9</f>
        <v>-</v>
      </c>
      <c r="F9" s="197" t="str">
        <f t="shared" si="0"/>
        <v>-</v>
      </c>
      <c r="G9" s="197">
        <f>'Statements Summary 2025'!V9</f>
        <v>0</v>
      </c>
      <c r="H9" s="197">
        <f>'Statements Summary 2026'!V9</f>
        <v>0</v>
      </c>
      <c r="I9" s="197">
        <f>'Statements Summary 2027'!V9</f>
        <v>0</v>
      </c>
      <c r="K9" s="197">
        <f>'CF 2024'!G25</f>
        <v>0</v>
      </c>
      <c r="L9" s="197" t="s">
        <v>189</v>
      </c>
      <c r="M9" s="197" t="s">
        <v>189</v>
      </c>
      <c r="N9" s="197" t="s">
        <v>189</v>
      </c>
      <c r="O9" s="197" t="s">
        <v>189</v>
      </c>
      <c r="P9" s="197" t="s">
        <v>189</v>
      </c>
      <c r="Q9" s="197" t="s">
        <v>189</v>
      </c>
      <c r="R9" s="197" t="s">
        <v>189</v>
      </c>
      <c r="S9" s="197" t="s">
        <v>189</v>
      </c>
      <c r="T9" s="197" t="s">
        <v>189</v>
      </c>
      <c r="U9" s="197" t="s">
        <v>189</v>
      </c>
      <c r="V9" s="197" t="s">
        <v>189</v>
      </c>
    </row>
    <row r="10" spans="2:22" x14ac:dyDescent="0.3">
      <c r="B10" t="s">
        <v>41</v>
      </c>
      <c r="E10" s="197" t="str">
        <f>'Statements Summary 2023'!V10</f>
        <v>-</v>
      </c>
      <c r="F10" s="197" t="str">
        <f t="shared" si="0"/>
        <v>-</v>
      </c>
      <c r="G10" s="197" t="str">
        <f>'Statements Summary 2025'!V10</f>
        <v>-</v>
      </c>
      <c r="H10" s="197" t="str">
        <f>'Statements Summary 2026'!V10</f>
        <v>-</v>
      </c>
      <c r="I10" s="197" t="str">
        <f>'Statements Summary 2027'!V10</f>
        <v>-</v>
      </c>
      <c r="K10" s="197" t="s">
        <v>189</v>
      </c>
      <c r="L10" s="197" t="s">
        <v>189</v>
      </c>
      <c r="M10" s="197" t="s">
        <v>189</v>
      </c>
      <c r="N10" s="197" t="s">
        <v>189</v>
      </c>
      <c r="O10" s="197" t="s">
        <v>189</v>
      </c>
      <c r="P10" s="197" t="s">
        <v>189</v>
      </c>
      <c r="Q10" s="197" t="s">
        <v>189</v>
      </c>
      <c r="R10" s="197" t="s">
        <v>189</v>
      </c>
      <c r="S10" s="197" t="s">
        <v>189</v>
      </c>
      <c r="T10" s="197" t="s">
        <v>189</v>
      </c>
      <c r="U10" s="197" t="s">
        <v>189</v>
      </c>
      <c r="V10" s="197" t="s">
        <v>189</v>
      </c>
    </row>
    <row r="11" spans="2:22" x14ac:dyDescent="0.3">
      <c r="B11" t="s">
        <v>42</v>
      </c>
      <c r="E11" s="197" t="str">
        <f>'Statements Summary 2023'!V11</f>
        <v>-</v>
      </c>
      <c r="F11" s="197" t="str">
        <f t="shared" si="0"/>
        <v>-</v>
      </c>
      <c r="G11" s="197" t="str">
        <f>'Statements Summary 2025'!V11</f>
        <v>-</v>
      </c>
      <c r="H11" s="197" t="str">
        <f>'Statements Summary 2026'!V11</f>
        <v>-</v>
      </c>
      <c r="I11" s="197" t="str">
        <f>'Statements Summary 2027'!V11</f>
        <v>-</v>
      </c>
      <c r="K11" s="197">
        <f>'CF 2024'!G25</f>
        <v>0</v>
      </c>
      <c r="L11" s="197" t="s">
        <v>189</v>
      </c>
      <c r="M11" s="197" t="s">
        <v>189</v>
      </c>
      <c r="N11" s="197" t="s">
        <v>189</v>
      </c>
      <c r="O11" s="197" t="s">
        <v>189</v>
      </c>
      <c r="P11" s="197" t="s">
        <v>189</v>
      </c>
      <c r="Q11" s="197" t="s">
        <v>189</v>
      </c>
      <c r="R11" s="197" t="s">
        <v>189</v>
      </c>
      <c r="S11" s="197" t="s">
        <v>189</v>
      </c>
      <c r="T11" s="197" t="s">
        <v>189</v>
      </c>
      <c r="U11" s="197" t="s">
        <v>189</v>
      </c>
      <c r="V11" s="197" t="s">
        <v>189</v>
      </c>
    </row>
    <row r="12" spans="2:22" x14ac:dyDescent="0.3">
      <c r="B12" t="s">
        <v>43</v>
      </c>
      <c r="E12" s="197">
        <f>'Statements Summary 2023'!V12</f>
        <v>-16818</v>
      </c>
      <c r="F12" s="197">
        <f t="shared" si="0"/>
        <v>-16818</v>
      </c>
      <c r="G12" s="197">
        <f>'Statements Summary 2025'!V12</f>
        <v>0</v>
      </c>
      <c r="H12" s="197">
        <f>'Statements Summary 2026'!V12</f>
        <v>0</v>
      </c>
      <c r="I12" s="197">
        <f>'Statements Summary 2027'!V12</f>
        <v>0</v>
      </c>
      <c r="K12" s="197" t="s">
        <v>189</v>
      </c>
      <c r="L12" s="197">
        <f>'CF 2024'!H31</f>
        <v>-16818</v>
      </c>
      <c r="M12" s="197">
        <f>'CF 2024'!I31</f>
        <v>-16818</v>
      </c>
      <c r="N12" s="197">
        <f>'CF 2024'!J31</f>
        <v>-16818</v>
      </c>
      <c r="O12" s="197">
        <f>'CF 2024'!K31</f>
        <v>-16818</v>
      </c>
      <c r="P12" s="197">
        <f>'CF 2024'!L31</f>
        <v>-16818</v>
      </c>
      <c r="Q12" s="197">
        <f>'CF 2024'!M31</f>
        <v>-16818</v>
      </c>
      <c r="R12" s="197">
        <f>'CF 2024'!N31</f>
        <v>-16818</v>
      </c>
      <c r="S12" s="197">
        <f>'CF 2024'!O31</f>
        <v>-16818</v>
      </c>
      <c r="T12" s="197">
        <f>'CF 2024'!P31</f>
        <v>-16818</v>
      </c>
      <c r="U12" s="197">
        <f>'CF 2024'!Q31</f>
        <v>-16818</v>
      </c>
      <c r="V12" s="197">
        <f>'CF 2024'!R31</f>
        <v>-16818</v>
      </c>
    </row>
    <row r="13" spans="2:22" x14ac:dyDescent="0.3">
      <c r="B13" t="s">
        <v>44</v>
      </c>
      <c r="E13" s="197" t="str">
        <f>'Statements Summary 2023'!V13</f>
        <v>-</v>
      </c>
      <c r="F13" s="197" t="str">
        <f t="shared" si="0"/>
        <v>-</v>
      </c>
      <c r="G13" s="197" t="str">
        <f>'Statements Summary 2025'!V13</f>
        <v>-</v>
      </c>
      <c r="H13" s="197" t="str">
        <f>'Statements Summary 2026'!V13</f>
        <v>-</v>
      </c>
      <c r="I13" s="197" t="str">
        <f>'Statements Summary 2027'!V13</f>
        <v>-</v>
      </c>
      <c r="K13" s="197" t="s">
        <v>189</v>
      </c>
      <c r="L13" s="197" t="s">
        <v>189</v>
      </c>
      <c r="M13" s="197" t="s">
        <v>189</v>
      </c>
      <c r="N13" s="197" t="s">
        <v>189</v>
      </c>
      <c r="O13" s="197" t="s">
        <v>189</v>
      </c>
      <c r="P13" s="197" t="s">
        <v>189</v>
      </c>
      <c r="Q13" s="197" t="s">
        <v>189</v>
      </c>
      <c r="R13" s="197" t="s">
        <v>189</v>
      </c>
      <c r="S13" s="197" t="s">
        <v>189</v>
      </c>
      <c r="T13" s="197" t="s">
        <v>189</v>
      </c>
      <c r="U13" s="197" t="s">
        <v>189</v>
      </c>
      <c r="V13" s="197" t="s">
        <v>189</v>
      </c>
    </row>
    <row r="14" spans="2:22" x14ac:dyDescent="0.3">
      <c r="B14" t="s">
        <v>45</v>
      </c>
      <c r="E14" s="197" t="str">
        <f>'Statements Summary 2023'!V14</f>
        <v>-</v>
      </c>
      <c r="F14" s="197" t="str">
        <f t="shared" si="0"/>
        <v>-</v>
      </c>
      <c r="G14" s="197" t="str">
        <f>'Statements Summary 2025'!V14</f>
        <v>-</v>
      </c>
      <c r="H14" s="197" t="str">
        <f>'Statements Summary 2026'!V14</f>
        <v>-</v>
      </c>
      <c r="I14" s="197" t="str">
        <f>'Statements Summary 2027'!V14</f>
        <v>-</v>
      </c>
      <c r="K14" s="197" t="s">
        <v>189</v>
      </c>
      <c r="L14" s="197" t="s">
        <v>189</v>
      </c>
      <c r="M14" s="197" t="s">
        <v>189</v>
      </c>
      <c r="N14" s="197" t="s">
        <v>189</v>
      </c>
      <c r="O14" s="197" t="s">
        <v>189</v>
      </c>
      <c r="P14" s="197" t="s">
        <v>189</v>
      </c>
      <c r="Q14" s="197" t="s">
        <v>189</v>
      </c>
      <c r="R14" s="197" t="s">
        <v>189</v>
      </c>
      <c r="S14" s="197" t="s">
        <v>189</v>
      </c>
      <c r="T14" s="197" t="s">
        <v>189</v>
      </c>
      <c r="U14" s="197" t="s">
        <v>189</v>
      </c>
      <c r="V14" s="197" t="s">
        <v>189</v>
      </c>
    </row>
    <row r="15" spans="2:22" x14ac:dyDescent="0.3">
      <c r="B15" t="s">
        <v>46</v>
      </c>
      <c r="E15" s="197">
        <f>'Statements Summary 2023'!V15</f>
        <v>-16818</v>
      </c>
      <c r="F15" s="197">
        <f t="shared" si="0"/>
        <v>-16818</v>
      </c>
      <c r="G15" s="197">
        <f>'Statements Summary 2025'!V15</f>
        <v>0</v>
      </c>
      <c r="H15" s="197">
        <f>'Statements Summary 2026'!V15</f>
        <v>0</v>
      </c>
      <c r="I15" s="197">
        <f>'Statements Summary 2027'!V15</f>
        <v>0</v>
      </c>
      <c r="K15" s="197" t="s">
        <v>189</v>
      </c>
      <c r="L15" s="197">
        <f>'CF 2024'!H31</f>
        <v>-16818</v>
      </c>
      <c r="M15" s="197">
        <f>'CF 2024'!I31</f>
        <v>-16818</v>
      </c>
      <c r="N15" s="197">
        <f>'CF 2024'!J31</f>
        <v>-16818</v>
      </c>
      <c r="O15" s="197">
        <f>'CF 2024'!K31</f>
        <v>-16818</v>
      </c>
      <c r="P15" s="197">
        <f>'CF 2024'!L31</f>
        <v>-16818</v>
      </c>
      <c r="Q15" s="197">
        <f>'CF 2024'!M31</f>
        <v>-16818</v>
      </c>
      <c r="R15" s="197">
        <f>'CF 2024'!N31</f>
        <v>-16818</v>
      </c>
      <c r="S15" s="197">
        <f>'CF 2024'!O31</f>
        <v>-16818</v>
      </c>
      <c r="T15" s="197">
        <f>'CF 2024'!P31</f>
        <v>-16818</v>
      </c>
      <c r="U15" s="197">
        <f>'CF 2024'!Q31</f>
        <v>-16818</v>
      </c>
      <c r="V15" s="197">
        <f>'CF 2024'!R31</f>
        <v>-16818</v>
      </c>
    </row>
    <row r="16" spans="2:22" x14ac:dyDescent="0.3">
      <c r="B16" t="s">
        <v>194</v>
      </c>
      <c r="E16" s="197">
        <f>'Statements Summary 2023'!V16</f>
        <v>170658</v>
      </c>
      <c r="F16" s="197">
        <f t="shared" si="0"/>
        <v>264083.52960000001</v>
      </c>
      <c r="G16" s="197">
        <f>'Statements Summary 2025'!V16</f>
        <v>340344</v>
      </c>
      <c r="H16" s="197">
        <f>'Statements Summary 2026'!V16</f>
        <v>479525.6</v>
      </c>
      <c r="I16" s="197">
        <f>'Statements Summary 2027'!V16</f>
        <v>537481.6</v>
      </c>
      <c r="K16" s="197">
        <f>'CF 2024'!G20</f>
        <v>204386.07360000006</v>
      </c>
      <c r="L16" s="197">
        <f>'CF 2024'!H20</f>
        <v>211572.47039999993</v>
      </c>
      <c r="M16" s="197">
        <f>'CF 2024'!I20</f>
        <v>218758.86719999998</v>
      </c>
      <c r="N16" s="197">
        <f>'CF 2024'!J20</f>
        <v>225945.26399999997</v>
      </c>
      <c r="O16" s="197">
        <f>'CF 2024'!K20</f>
        <v>227397.46560000003</v>
      </c>
      <c r="P16" s="197">
        <f>'CF 2024'!L20</f>
        <v>233150.31359999994</v>
      </c>
      <c r="Q16" s="197">
        <f>'CF 2024'!M20</f>
        <v>244637.35680000004</v>
      </c>
      <c r="R16" s="197">
        <f>'CF 2024'!N20</f>
        <v>244656.00959999993</v>
      </c>
      <c r="S16" s="197">
        <f>'CF 2024'!O20</f>
        <v>259010.15040000001</v>
      </c>
      <c r="T16" s="197">
        <f>'CF 2024'!P20</f>
        <v>263568.37439999997</v>
      </c>
      <c r="U16" s="197">
        <f>'CF 2024'!Q20</f>
        <v>259525.30559999996</v>
      </c>
      <c r="V16" s="197">
        <f>'CF 2024'!R20</f>
        <v>264083.52960000001</v>
      </c>
    </row>
    <row r="17" spans="2:22" x14ac:dyDescent="0.3">
      <c r="B17" t="s">
        <v>47</v>
      </c>
      <c r="E17" s="197">
        <f>'Statements Summary 2023'!V17</f>
        <v>324498</v>
      </c>
      <c r="F17" s="197">
        <f t="shared" si="0"/>
        <v>511349.05920000002</v>
      </c>
      <c r="G17" s="197">
        <f>'Statements Summary 2025'!V17</f>
        <v>680688</v>
      </c>
      <c r="H17" s="197">
        <f>'Statements Summary 2026'!V17</f>
        <v>959051.20000000007</v>
      </c>
      <c r="I17" s="197">
        <f>'Statements Summary 2027'!V17</f>
        <v>1074963.2000000002</v>
      </c>
      <c r="K17" s="197">
        <f>'CF 2024'!G41+'CF 2024'!G18+'CF 2024'!G19</f>
        <v>391954.14720000018</v>
      </c>
      <c r="L17" s="197">
        <f>'CF 2024'!H41+'CF 2024'!H18+'CF 2024'!H19</f>
        <v>406326.94079999987</v>
      </c>
      <c r="M17" s="197">
        <f>'CF 2024'!I41+'CF 2024'!I18+'CF 2024'!I19</f>
        <v>420699.73440000002</v>
      </c>
      <c r="N17" s="197">
        <f>'CF 2024'!J41+'CF 2024'!J18+'CF 2024'!J19</f>
        <v>435072.52799999993</v>
      </c>
      <c r="O17" s="197">
        <f>'CF 2024'!K41+'CF 2024'!K18+'CF 2024'!K19</f>
        <v>437976.93119999999</v>
      </c>
      <c r="P17" s="197">
        <f>'CF 2024'!L41+'CF 2024'!L18+'CF 2024'!L19</f>
        <v>449482.62719999987</v>
      </c>
      <c r="Q17" s="197">
        <f>'CF 2024'!M41+'CF 2024'!M18+'CF 2024'!M19</f>
        <v>472456.71360000002</v>
      </c>
      <c r="R17" s="197">
        <f>'CF 2024'!N41+'CF 2024'!N18+'CF 2024'!N19</f>
        <v>472494.01919999986</v>
      </c>
      <c r="S17" s="197">
        <f>'CF 2024'!O41+'CF 2024'!O18+'CF 2024'!O19</f>
        <v>501202.30079999997</v>
      </c>
      <c r="T17" s="197">
        <f>'CF 2024'!P41+'CF 2024'!P18+'CF 2024'!P19</f>
        <v>510318.74879999994</v>
      </c>
      <c r="U17" s="197">
        <f>'CF 2024'!Q41+'CF 2024'!Q18+'CF 2024'!Q19</f>
        <v>502232.61119999993</v>
      </c>
      <c r="V17" s="197">
        <f>'CF 2024'!R41+'CF 2024'!R18+'CF 2024'!R19</f>
        <v>511349.05920000002</v>
      </c>
    </row>
    <row r="19" spans="2:22" x14ac:dyDescent="0.3">
      <c r="B19" s="172" t="s">
        <v>224</v>
      </c>
      <c r="C19" s="145"/>
      <c r="D19" s="145"/>
      <c r="E19" s="145"/>
      <c r="F19" s="145"/>
      <c r="G19" s="145"/>
      <c r="H19" s="145"/>
      <c r="I19" s="145"/>
      <c r="K19" s="334" t="s">
        <v>197</v>
      </c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</row>
    <row r="42" spans="2:22" x14ac:dyDescent="0.3">
      <c r="B42" s="172" t="s">
        <v>225</v>
      </c>
      <c r="C42" s="172"/>
      <c r="D42" s="172"/>
      <c r="E42" s="172"/>
      <c r="F42" s="145"/>
      <c r="G42" s="145"/>
      <c r="H42" s="145"/>
      <c r="I42" s="145"/>
      <c r="J42" s="145"/>
      <c r="K42" s="334" t="s">
        <v>198</v>
      </c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</row>
    <row r="44" spans="2:22" x14ac:dyDescent="0.3">
      <c r="B44" s="185" t="s">
        <v>20</v>
      </c>
      <c r="C44" s="185"/>
      <c r="D44" s="185"/>
      <c r="E44" s="186">
        <v>2023</v>
      </c>
      <c r="F44" s="186">
        <v>2024</v>
      </c>
      <c r="G44" s="186">
        <v>2025</v>
      </c>
      <c r="H44" s="186">
        <v>2026</v>
      </c>
      <c r="I44" s="186">
        <v>2027</v>
      </c>
      <c r="J44" s="185"/>
      <c r="K44" s="185" t="s">
        <v>25</v>
      </c>
      <c r="L44" s="185" t="s">
        <v>26</v>
      </c>
      <c r="M44" s="185" t="s">
        <v>27</v>
      </c>
      <c r="N44" s="185" t="s">
        <v>28</v>
      </c>
      <c r="O44" s="185" t="s">
        <v>29</v>
      </c>
      <c r="P44" s="185" t="s">
        <v>30</v>
      </c>
      <c r="Q44" s="185" t="s">
        <v>31</v>
      </c>
      <c r="R44" s="185" t="s">
        <v>32</v>
      </c>
      <c r="S44" s="185" t="s">
        <v>33</v>
      </c>
      <c r="T44" s="185" t="s">
        <v>34</v>
      </c>
      <c r="U44" s="185" t="s">
        <v>35</v>
      </c>
      <c r="V44" s="185" t="s">
        <v>36</v>
      </c>
    </row>
    <row r="45" spans="2:22" x14ac:dyDescent="0.3">
      <c r="B45" s="14" t="s">
        <v>2</v>
      </c>
      <c r="C45" s="14"/>
      <c r="D45" s="14"/>
      <c r="E45" s="187">
        <f>'Statements Summary 2023'!V44</f>
        <v>300123</v>
      </c>
      <c r="F45" s="187">
        <f t="shared" ref="F45:F65" si="1">V45</f>
        <v>366450.91200000001</v>
      </c>
      <c r="G45" s="187">
        <f>'Statements Summary 2025'!V45</f>
        <v>425730</v>
      </c>
      <c r="H45" s="187">
        <f>'Statements Summary 2026'!V45</f>
        <v>585620</v>
      </c>
      <c r="I45" s="187">
        <f>'Statements Summary 2027'!V45</f>
        <v>656590</v>
      </c>
      <c r="K45" s="187">
        <f>'IS 2024'!F13</f>
        <v>338078.59200000006</v>
      </c>
      <c r="L45" s="187">
        <f>'IS 2024'!G13</f>
        <v>342857.08799999993</v>
      </c>
      <c r="M45" s="187">
        <f>'IS 2024'!H13</f>
        <v>347635.58399999997</v>
      </c>
      <c r="N45" s="187">
        <f>'IS 2024'!I13</f>
        <v>352414.07999999996</v>
      </c>
      <c r="O45" s="187">
        <f>'IS 2024'!J13</f>
        <v>350024.83200000005</v>
      </c>
      <c r="P45" s="187">
        <f>'IS 2024'!K13</f>
        <v>353011.39199999993</v>
      </c>
      <c r="Q45" s="187">
        <f>'IS 2024'!L13</f>
        <v>363165.69600000005</v>
      </c>
      <c r="R45" s="187">
        <f>'IS 2024'!M13</f>
        <v>358984.51199999993</v>
      </c>
      <c r="S45" s="187">
        <f>'IS 2024'!N13</f>
        <v>372722.68800000002</v>
      </c>
      <c r="T45" s="187">
        <f>'IS 2024'!O13</f>
        <v>374215.96799999999</v>
      </c>
      <c r="U45" s="187">
        <f>'IS 2024'!P13</f>
        <v>364957.63199999998</v>
      </c>
      <c r="V45" s="187">
        <f>'IS 2024'!Q13</f>
        <v>366450.91200000001</v>
      </c>
    </row>
    <row r="46" spans="2:22" x14ac:dyDescent="0.3">
      <c r="B46" t="s">
        <v>21</v>
      </c>
      <c r="E46" s="1">
        <f>'Statements Summary 2023'!V45</f>
        <v>-4.1174271830702436E-2</v>
      </c>
      <c r="F46" s="2">
        <f t="shared" si="1"/>
        <v>4.0916530278233172E-3</v>
      </c>
      <c r="G46" s="2">
        <f>'Statements Summary 2025'!V46</f>
        <v>7.8671328671328672E-2</v>
      </c>
      <c r="H46" s="2">
        <f>'Statements Summary 2026'!V46</f>
        <v>6.462035541195477E-3</v>
      </c>
      <c r="I46" s="2">
        <f>'Statements Summary 2027'!V46</f>
        <v>5.7595392368610509E-3</v>
      </c>
      <c r="K46" s="2"/>
      <c r="L46" s="2">
        <f t="shared" ref="L46" si="2">(L45-K45)/K45</f>
        <v>1.4134275618374166E-2</v>
      </c>
      <c r="M46" s="2">
        <f>(M45-L45)/L45</f>
        <v>1.3937282229965285E-2</v>
      </c>
      <c r="N46" s="2">
        <f>(N45-M45)/M45</f>
        <v>1.3745704467353908E-2</v>
      </c>
      <c r="O46" s="2">
        <f t="shared" ref="O46:T46" si="3">(O45-N45)/N45</f>
        <v>-6.7796610169488835E-3</v>
      </c>
      <c r="P46" s="2">
        <f t="shared" si="3"/>
        <v>8.5324232081907866E-3</v>
      </c>
      <c r="Q46" s="2">
        <f t="shared" si="3"/>
        <v>2.8764805414551953E-2</v>
      </c>
      <c r="R46" s="2">
        <f t="shared" si="3"/>
        <v>-1.1513157894737183E-2</v>
      </c>
      <c r="S46" s="2">
        <f t="shared" si="3"/>
        <v>3.8269550748752351E-2</v>
      </c>
      <c r="T46" s="2">
        <f t="shared" si="3"/>
        <v>4.0064102564101745E-3</v>
      </c>
      <c r="U46" s="2">
        <f>(U45-T45)/T45</f>
        <v>-2.4740622505985663E-2</v>
      </c>
      <c r="V46" s="2">
        <f t="shared" ref="V46" si="4">(V45-U45)/U45</f>
        <v>4.0916530278233172E-3</v>
      </c>
    </row>
    <row r="47" spans="2:22" x14ac:dyDescent="0.3">
      <c r="B47" t="s">
        <v>3</v>
      </c>
      <c r="E47" s="1">
        <f>'Statements Summary 2023'!V46</f>
        <v>-10390</v>
      </c>
      <c r="F47" s="1">
        <f t="shared" si="1"/>
        <v>-10390</v>
      </c>
      <c r="G47" s="1">
        <f>'Statements Summary 2025'!V47</f>
        <v>8610</v>
      </c>
      <c r="H47" s="1">
        <f>'Statements Summary 2026'!V47</f>
        <v>-32544</v>
      </c>
      <c r="I47" s="1">
        <f>'Statements Summary 2027'!V47</f>
        <v>-38444</v>
      </c>
      <c r="K47" s="1">
        <f>'IS 2024'!F14</f>
        <v>-10390</v>
      </c>
      <c r="L47" s="1">
        <f>'IS 2024'!G14</f>
        <v>-10390</v>
      </c>
      <c r="M47" s="1">
        <f>'IS 2024'!H14</f>
        <v>-10390</v>
      </c>
      <c r="N47" s="1">
        <f>'IS 2024'!I14</f>
        <v>-10390</v>
      </c>
      <c r="O47" s="1">
        <f>'IS 2024'!J14</f>
        <v>-10390</v>
      </c>
      <c r="P47" s="1">
        <f>'IS 2024'!K14</f>
        <v>-10390</v>
      </c>
      <c r="Q47" s="1">
        <f>'IS 2024'!L14</f>
        <v>-10390</v>
      </c>
      <c r="R47" s="1">
        <f>'IS 2024'!M14</f>
        <v>-10390</v>
      </c>
      <c r="S47" s="1">
        <f>'IS 2024'!N14</f>
        <v>-10390</v>
      </c>
      <c r="T47" s="1">
        <f>'IS 2024'!O14</f>
        <v>-10390</v>
      </c>
      <c r="U47" s="1">
        <f>'IS 2024'!P14</f>
        <v>-10390</v>
      </c>
      <c r="V47" s="1">
        <f>'IS 2024'!Q14</f>
        <v>-10390</v>
      </c>
    </row>
    <row r="48" spans="2:22" x14ac:dyDescent="0.3">
      <c r="B48" t="s">
        <v>22</v>
      </c>
      <c r="E48" s="2">
        <f>'Statements Summary 2023'!V47</f>
        <v>-3.4619139486144014E-2</v>
      </c>
      <c r="F48" s="2">
        <f t="shared" si="1"/>
        <v>-2.8353047187940957E-2</v>
      </c>
      <c r="G48" s="2">
        <f>'Statements Summary 2025'!V48</f>
        <v>2.0224085688112185E-2</v>
      </c>
      <c r="H48" s="2">
        <f>'Statements Summary 2026'!V48</f>
        <v>-5.5571872545336569E-2</v>
      </c>
      <c r="I48" s="2">
        <f>'Statements Summary 2027'!V48</f>
        <v>-5.8550998339907706E-2</v>
      </c>
      <c r="K48" s="2">
        <f>K47/K45</f>
        <v>-3.0732499027918331E-2</v>
      </c>
      <c r="L48" s="2">
        <f t="shared" ref="L48:V48" si="5">L47/L45</f>
        <v>-3.0304171515334117E-2</v>
      </c>
      <c r="M48" s="2">
        <f t="shared" si="5"/>
        <v>-2.9887619329556324E-2</v>
      </c>
      <c r="N48" s="2">
        <f t="shared" si="5"/>
        <v>-2.9482363474240308E-2</v>
      </c>
      <c r="O48" s="2">
        <f t="shared" si="5"/>
        <v>-2.9683608276112244E-2</v>
      </c>
      <c r="P48" s="2">
        <f t="shared" si="5"/>
        <v>-2.9432477918446331E-2</v>
      </c>
      <c r="Q48" s="2">
        <f t="shared" si="5"/>
        <v>-2.8609530345068711E-2</v>
      </c>
      <c r="R48" s="2">
        <f t="shared" si="5"/>
        <v>-2.8942752828289155E-2</v>
      </c>
      <c r="S48" s="2">
        <f t="shared" si="5"/>
        <v>-2.7875952643913106E-2</v>
      </c>
      <c r="T48" s="2">
        <f t="shared" si="5"/>
        <v>-2.7764715801758627E-2</v>
      </c>
      <c r="U48" s="2">
        <f t="shared" si="5"/>
        <v>-2.8469058019315513E-2</v>
      </c>
      <c r="V48" s="2">
        <f t="shared" si="5"/>
        <v>-2.8353047187940957E-2</v>
      </c>
    </row>
    <row r="49" spans="2:22" x14ac:dyDescent="0.3">
      <c r="B49" t="s">
        <v>4</v>
      </c>
      <c r="E49" s="1">
        <f>'Statements Summary 2023'!V48</f>
        <v>289733</v>
      </c>
      <c r="F49" s="1">
        <f t="shared" si="1"/>
        <v>356060.91200000001</v>
      </c>
      <c r="G49" s="1">
        <f>'Statements Summary 2025'!V49</f>
        <v>434340</v>
      </c>
      <c r="H49" s="1">
        <f>'Statements Summary 2026'!V49</f>
        <v>553076</v>
      </c>
      <c r="I49" s="1">
        <f>'Statements Summary 2027'!V49</f>
        <v>618146</v>
      </c>
      <c r="K49" s="1">
        <f>'IS 2024'!F23</f>
        <v>327688.59200000006</v>
      </c>
      <c r="L49" s="1">
        <f>'IS 2024'!G23</f>
        <v>332467.08799999993</v>
      </c>
      <c r="M49" s="1">
        <f>'IS 2024'!H23</f>
        <v>337245.58399999997</v>
      </c>
      <c r="N49" s="1">
        <f>'IS 2024'!I23</f>
        <v>342024.07999999996</v>
      </c>
      <c r="O49" s="1">
        <f>'IS 2024'!J23</f>
        <v>339634.83200000005</v>
      </c>
      <c r="P49" s="1">
        <f>'IS 2024'!K23</f>
        <v>342621.39199999993</v>
      </c>
      <c r="Q49" s="1">
        <f>'IS 2024'!L23</f>
        <v>352775.69600000005</v>
      </c>
      <c r="R49" s="1">
        <f>'IS 2024'!M23</f>
        <v>348594.51199999993</v>
      </c>
      <c r="S49" s="1">
        <f>'IS 2024'!N23</f>
        <v>362332.68800000002</v>
      </c>
      <c r="T49" s="1">
        <f>'IS 2024'!O23</f>
        <v>363825.96799999999</v>
      </c>
      <c r="U49" s="1">
        <f>'IS 2024'!P23</f>
        <v>354567.63199999998</v>
      </c>
      <c r="V49" s="1">
        <f>'IS 2024'!Q23</f>
        <v>356060.91200000001</v>
      </c>
    </row>
    <row r="50" spans="2:22" x14ac:dyDescent="0.3">
      <c r="B50" t="s">
        <v>23</v>
      </c>
      <c r="E50" s="2">
        <f>'Statements Summary 2023'!V49</f>
        <v>0.96538086051385597</v>
      </c>
      <c r="F50" s="2">
        <f t="shared" si="1"/>
        <v>0.97164695281205904</v>
      </c>
      <c r="G50" s="2">
        <f>'Statements Summary 2025'!V50</f>
        <v>1.0202240856881122</v>
      </c>
      <c r="H50" s="2">
        <f>'Statements Summary 2026'!V50</f>
        <v>0.94442812745466342</v>
      </c>
      <c r="I50" s="2">
        <f>'Statements Summary 2027'!V50</f>
        <v>0.94144900166009227</v>
      </c>
      <c r="K50" s="2">
        <f>K49/K45</f>
        <v>0.9692675009720817</v>
      </c>
      <c r="L50" s="2">
        <f t="shared" ref="L50:V50" si="6">L49/L45</f>
        <v>0.96969582848466584</v>
      </c>
      <c r="M50" s="2">
        <f t="shared" si="6"/>
        <v>0.9701123806704437</v>
      </c>
      <c r="N50" s="2">
        <f t="shared" si="6"/>
        <v>0.97051763652575973</v>
      </c>
      <c r="O50" s="2">
        <f t="shared" si="6"/>
        <v>0.97031639172388773</v>
      </c>
      <c r="P50" s="2">
        <f t="shared" si="6"/>
        <v>0.97056752208155372</v>
      </c>
      <c r="Q50" s="2">
        <f t="shared" si="6"/>
        <v>0.97139046965493125</v>
      </c>
      <c r="R50" s="2">
        <f t="shared" si="6"/>
        <v>0.97105724717171082</v>
      </c>
      <c r="S50" s="2">
        <f t="shared" si="6"/>
        <v>0.97212404735608693</v>
      </c>
      <c r="T50" s="2">
        <f t="shared" si="6"/>
        <v>0.97223528419824135</v>
      </c>
      <c r="U50" s="2">
        <f t="shared" si="6"/>
        <v>0.97153094198068446</v>
      </c>
      <c r="V50" s="2">
        <f t="shared" si="6"/>
        <v>0.97164695281205904</v>
      </c>
    </row>
    <row r="51" spans="2:22" x14ac:dyDescent="0.3">
      <c r="B51" t="s">
        <v>5</v>
      </c>
      <c r="E51" s="1">
        <f>'Statements Summary 2023'!V50</f>
        <v>-2285</v>
      </c>
      <c r="F51" s="1">
        <f t="shared" si="1"/>
        <v>-2285</v>
      </c>
      <c r="G51" s="1">
        <f>'Statements Summary 2025'!V51</f>
        <v>-2285</v>
      </c>
      <c r="H51" s="1">
        <f>'Statements Summary 2026'!V51</f>
        <v>-17479</v>
      </c>
      <c r="I51" s="1">
        <f>'Statements Summary 2027'!V51</f>
        <v>-17479</v>
      </c>
      <c r="K51" s="1">
        <f>'IS 2024'!F35</f>
        <v>-2285</v>
      </c>
      <c r="L51" s="1">
        <f>'IS 2024'!G35</f>
        <v>-2285</v>
      </c>
      <c r="M51" s="1">
        <f>'IS 2024'!H35</f>
        <v>-2285</v>
      </c>
      <c r="N51" s="1">
        <f>'IS 2024'!I35</f>
        <v>-2285</v>
      </c>
      <c r="O51" s="1">
        <f>'IS 2024'!J35</f>
        <v>-2285</v>
      </c>
      <c r="P51" s="1">
        <f>'IS 2024'!K35</f>
        <v>-2285</v>
      </c>
      <c r="Q51" s="1">
        <f>'IS 2024'!L35</f>
        <v>-2285</v>
      </c>
      <c r="R51" s="1">
        <f>'IS 2024'!M35</f>
        <v>-2285</v>
      </c>
      <c r="S51" s="1">
        <f>'IS 2024'!N35</f>
        <v>-2285</v>
      </c>
      <c r="T51" s="1">
        <f>'IS 2024'!O35</f>
        <v>-2285</v>
      </c>
      <c r="U51" s="1">
        <f>'IS 2024'!P35</f>
        <v>-2285</v>
      </c>
      <c r="V51" s="1">
        <f>'IS 2024'!Q35</f>
        <v>-2285</v>
      </c>
    </row>
    <row r="52" spans="2:22" x14ac:dyDescent="0.3">
      <c r="B52" t="s">
        <v>22</v>
      </c>
      <c r="E52" s="2">
        <f>'Statements Summary 2023'!V51</f>
        <v>-7.6135451131702668E-3</v>
      </c>
      <c r="F52" s="2">
        <f t="shared" si="1"/>
        <v>-6.2354872785798932E-3</v>
      </c>
      <c r="G52" s="2">
        <f>'Statements Summary 2025'!V52</f>
        <v>-5.3672515444060792E-3</v>
      </c>
      <c r="H52" s="2">
        <f>'Statements Summary 2026'!V52</f>
        <v>-2.9846999760937125E-2</v>
      </c>
      <c r="I52" s="2">
        <f>'Statements Summary 2027'!V52</f>
        <v>-2.6620874518344783E-2</v>
      </c>
      <c r="K52" s="2">
        <f>K51/K45</f>
        <v>-6.7587834724536465E-3</v>
      </c>
      <c r="L52" s="2">
        <f t="shared" ref="L52:V52" si="7">L51/L45</f>
        <v>-6.664584399666839E-3</v>
      </c>
      <c r="M52" s="2">
        <f t="shared" si="7"/>
        <v>-6.5729749921112799E-3</v>
      </c>
      <c r="N52" s="2">
        <f t="shared" si="7"/>
        <v>-6.4838499074724833E-3</v>
      </c>
      <c r="O52" s="2">
        <f t="shared" si="7"/>
        <v>-6.5281082686156379E-3</v>
      </c>
      <c r="P52" s="2">
        <f t="shared" si="7"/>
        <v>-6.4728789262415657E-3</v>
      </c>
      <c r="Q52" s="2">
        <f t="shared" si="7"/>
        <v>-6.2918938246854673E-3</v>
      </c>
      <c r="R52" s="2">
        <f t="shared" si="7"/>
        <v>-6.3651771138249005E-3</v>
      </c>
      <c r="S52" s="2">
        <f t="shared" si="7"/>
        <v>-6.1305632137960966E-3</v>
      </c>
      <c r="T52" s="2">
        <f t="shared" si="7"/>
        <v>-6.1060996734377728E-3</v>
      </c>
      <c r="U52" s="2">
        <f t="shared" si="7"/>
        <v>-6.261000728983248E-3</v>
      </c>
      <c r="V52" s="2">
        <f t="shared" si="7"/>
        <v>-6.2354872785798932E-3</v>
      </c>
    </row>
    <row r="53" spans="2:22" x14ac:dyDescent="0.3">
      <c r="B53" t="s">
        <v>190</v>
      </c>
      <c r="E53" s="1">
        <f>'Statements Summary 2023'!V52</f>
        <v>-4063</v>
      </c>
      <c r="F53" s="1">
        <f t="shared" si="1"/>
        <v>-4063</v>
      </c>
      <c r="G53" s="1">
        <f>'Statements Summary 2025'!V53</f>
        <v>-45063</v>
      </c>
      <c r="H53" s="1">
        <f>'Statements Summary 2026'!V53</f>
        <v>-45063</v>
      </c>
      <c r="I53" s="1">
        <f>'Statements Summary 2027'!V53</f>
        <v>-45063</v>
      </c>
      <c r="K53" s="1">
        <f>'IS 2024'!F36</f>
        <v>-4063</v>
      </c>
      <c r="L53" s="1">
        <f>'IS 2024'!G36</f>
        <v>-4063</v>
      </c>
      <c r="M53" s="1">
        <f>'IS 2024'!H36</f>
        <v>-4063</v>
      </c>
      <c r="N53" s="1">
        <f>'IS 2024'!I36</f>
        <v>-4063</v>
      </c>
      <c r="O53" s="1">
        <f>'IS 2024'!J36</f>
        <v>-4063</v>
      </c>
      <c r="P53" s="1">
        <f>'IS 2024'!K36</f>
        <v>-4063</v>
      </c>
      <c r="Q53" s="1">
        <f>'IS 2024'!L36</f>
        <v>-4063</v>
      </c>
      <c r="R53" s="1">
        <f>'IS 2024'!M36</f>
        <v>-4063</v>
      </c>
      <c r="S53" s="1">
        <f>'IS 2024'!N36</f>
        <v>-4063</v>
      </c>
      <c r="T53" s="1">
        <f>'IS 2024'!O36</f>
        <v>-4063</v>
      </c>
      <c r="U53" s="1">
        <f>'IS 2024'!P36</f>
        <v>-4063</v>
      </c>
      <c r="V53" s="1">
        <f>'IS 2024'!Q36</f>
        <v>-4063</v>
      </c>
    </row>
    <row r="54" spans="2:22" x14ac:dyDescent="0.3">
      <c r="B54" t="s">
        <v>22</v>
      </c>
      <c r="E54" s="2">
        <f>'Statements Summary 2023'!V53</f>
        <v>-1.3537782842367962E-2</v>
      </c>
      <c r="F54" s="2">
        <f t="shared" si="1"/>
        <v>-1.1087433178498952E-2</v>
      </c>
      <c r="G54" s="2">
        <f>'Statements Summary 2025'!V54</f>
        <v>-0.10584877739412303</v>
      </c>
      <c r="H54" s="2">
        <f>'Statements Summary 2026'!V54</f>
        <v>-7.6949216215293187E-2</v>
      </c>
      <c r="I54" s="2">
        <f>'Statements Summary 2027'!V54</f>
        <v>-6.863187072602385E-2</v>
      </c>
      <c r="K54" s="2">
        <f>K53/K45</f>
        <v>-1.2017915644892414E-2</v>
      </c>
      <c r="L54" s="2">
        <f t="shared" ref="L54:V54" si="8">L53/L45</f>
        <v>-1.1850418562733639E-2</v>
      </c>
      <c r="M54" s="2">
        <f t="shared" si="8"/>
        <v>-1.1687526211355855E-2</v>
      </c>
      <c r="N54" s="2">
        <f t="shared" si="8"/>
        <v>-1.1529051279676454E-2</v>
      </c>
      <c r="O54" s="2">
        <f t="shared" si="8"/>
        <v>-1.1607747875442161E-2</v>
      </c>
      <c r="P54" s="2">
        <f t="shared" si="8"/>
        <v>-1.1509543578695616E-2</v>
      </c>
      <c r="Q54" s="2">
        <f t="shared" si="8"/>
        <v>-1.1187730682580768E-2</v>
      </c>
      <c r="R54" s="2">
        <f t="shared" si="8"/>
        <v>-1.131803702996524E-2</v>
      </c>
      <c r="S54" s="2">
        <f t="shared" si="8"/>
        <v>-1.0900865793283825E-2</v>
      </c>
      <c r="T54" s="2">
        <f t="shared" si="8"/>
        <v>-1.085736672786769E-2</v>
      </c>
      <c r="U54" s="2">
        <f t="shared" si="8"/>
        <v>-1.1132799108034547E-2</v>
      </c>
      <c r="V54" s="2">
        <f t="shared" si="8"/>
        <v>-1.1087433178498952E-2</v>
      </c>
    </row>
    <row r="55" spans="2:22" x14ac:dyDescent="0.3">
      <c r="B55" t="s">
        <v>24</v>
      </c>
      <c r="E55" s="1">
        <f>'Statements Summary 2023'!V54</f>
        <v>-8250</v>
      </c>
      <c r="F55" s="1">
        <f t="shared" si="1"/>
        <v>-8250</v>
      </c>
      <c r="G55" s="1">
        <f>'Statements Summary 2025'!V55</f>
        <v>-8250</v>
      </c>
      <c r="H55" s="1">
        <f>'Statements Summary 2026'!V55</f>
        <v>-8250</v>
      </c>
      <c r="I55" s="1">
        <f>'Statements Summary 2027'!V55</f>
        <v>-8250</v>
      </c>
      <c r="K55" s="1">
        <f>'IS 2024'!F55</f>
        <v>-8250</v>
      </c>
      <c r="L55" s="1">
        <f>'IS 2024'!G55</f>
        <v>-8250</v>
      </c>
      <c r="M55" s="1">
        <f>'IS 2024'!H55</f>
        <v>-8250</v>
      </c>
      <c r="N55" s="1">
        <f>'IS 2024'!I55</f>
        <v>-8250</v>
      </c>
      <c r="O55" s="1">
        <f>'IS 2024'!J55</f>
        <v>-8250</v>
      </c>
      <c r="P55" s="1">
        <f>'IS 2024'!K55</f>
        <v>-8250</v>
      </c>
      <c r="Q55" s="1">
        <f>'IS 2024'!L55</f>
        <v>-8250</v>
      </c>
      <c r="R55" s="1">
        <f>'IS 2024'!M55</f>
        <v>-8250</v>
      </c>
      <c r="S55" s="1">
        <f>'IS 2024'!N55</f>
        <v>-8250</v>
      </c>
      <c r="T55" s="1">
        <f>'IS 2024'!O55</f>
        <v>-8250</v>
      </c>
      <c r="U55" s="1">
        <f>'IS 2024'!P55</f>
        <v>-8250</v>
      </c>
      <c r="V55" s="1">
        <f>'IS 2024'!Q55</f>
        <v>-8250</v>
      </c>
    </row>
    <row r="56" spans="2:22" x14ac:dyDescent="0.3">
      <c r="B56" t="s">
        <v>22</v>
      </c>
      <c r="E56" s="2">
        <f>'Statements Summary 2023'!V55</f>
        <v>-2.748872962085545E-2</v>
      </c>
      <c r="F56" s="2">
        <f t="shared" si="1"/>
        <v>-2.2513247285901147E-2</v>
      </c>
      <c r="G56" s="2">
        <f>'Statements Summary 2025'!V56</f>
        <v>-1.9378479317877527E-2</v>
      </c>
      <c r="H56" s="2">
        <f>'Statements Summary 2026'!V56</f>
        <v>-1.4087633619070387E-2</v>
      </c>
      <c r="I56" s="2">
        <f>'Statements Summary 2027'!V56</f>
        <v>-1.2564918746858771E-2</v>
      </c>
      <c r="K56" s="2">
        <f>K55/K45</f>
        <v>-2.440260991148472E-2</v>
      </c>
      <c r="L56" s="2">
        <f t="shared" ref="L56:V56" si="9">L55/L45</f>
        <v>-2.4062503850000621E-2</v>
      </c>
      <c r="M56" s="2">
        <f t="shared" si="9"/>
        <v>-2.3731747783333944E-2</v>
      </c>
      <c r="N56" s="2">
        <f t="shared" si="9"/>
        <v>-2.3409961372712465E-2</v>
      </c>
      <c r="O56" s="2">
        <f t="shared" si="9"/>
        <v>-2.3569756330887971E-2</v>
      </c>
      <c r="P56" s="2">
        <f t="shared" si="9"/>
        <v>-2.3370350608968454E-2</v>
      </c>
      <c r="Q56" s="2">
        <f t="shared" si="9"/>
        <v>-2.2716903305757156E-2</v>
      </c>
      <c r="R56" s="2">
        <f t="shared" si="9"/>
        <v>-2.2981492861731043E-2</v>
      </c>
      <c r="S56" s="2">
        <f t="shared" si="9"/>
        <v>-2.2134418605609541E-2</v>
      </c>
      <c r="T56" s="2">
        <f t="shared" si="9"/>
        <v>-2.2046092912849726E-2</v>
      </c>
      <c r="U56" s="2">
        <f t="shared" si="9"/>
        <v>-2.2605363682324638E-2</v>
      </c>
      <c r="V56" s="2">
        <f t="shared" si="9"/>
        <v>-2.2513247285901147E-2</v>
      </c>
    </row>
    <row r="57" spans="2:22" x14ac:dyDescent="0.3">
      <c r="B57" s="14" t="s">
        <v>6</v>
      </c>
      <c r="C57" s="14"/>
      <c r="D57" s="14"/>
      <c r="E57" s="187">
        <f>'Statements Summary 2023'!V56</f>
        <v>279198</v>
      </c>
      <c r="F57" s="187">
        <f t="shared" si="1"/>
        <v>345525.91200000001</v>
      </c>
      <c r="G57" s="187">
        <f>'Statements Summary 2025'!V57</f>
        <v>423805</v>
      </c>
      <c r="H57" s="187">
        <f>'Statements Summary 2026'!V57</f>
        <v>527347</v>
      </c>
      <c r="I57" s="187">
        <f>'Statements Summary 2027'!V57</f>
        <v>592417</v>
      </c>
      <c r="K57" s="187">
        <f>'IS 2024'!F56</f>
        <v>317153.59200000006</v>
      </c>
      <c r="L57" s="187">
        <f>'IS 2024'!G56</f>
        <v>321932.08799999993</v>
      </c>
      <c r="M57" s="187">
        <f>'IS 2024'!H56</f>
        <v>326710.58399999997</v>
      </c>
      <c r="N57" s="187">
        <f>'IS 2024'!I56</f>
        <v>331489.07999999996</v>
      </c>
      <c r="O57" s="187">
        <f>'IS 2024'!J56</f>
        <v>329099.83200000005</v>
      </c>
      <c r="P57" s="187">
        <f>'IS 2024'!K56</f>
        <v>332086.39199999993</v>
      </c>
      <c r="Q57" s="187">
        <f>'IS 2024'!L56</f>
        <v>342240.69600000005</v>
      </c>
      <c r="R57" s="187">
        <f>'IS 2024'!M56</f>
        <v>338059.51199999993</v>
      </c>
      <c r="S57" s="187">
        <f>'IS 2024'!N56</f>
        <v>351797.68800000002</v>
      </c>
      <c r="T57" s="187">
        <f>'IS 2024'!O56</f>
        <v>353290.96799999999</v>
      </c>
      <c r="U57" s="187">
        <f>'IS 2024'!P56</f>
        <v>344032.63199999998</v>
      </c>
      <c r="V57" s="187">
        <f>'IS 2024'!Q56</f>
        <v>345525.91200000001</v>
      </c>
    </row>
    <row r="58" spans="2:22" x14ac:dyDescent="0.3">
      <c r="B58" t="s">
        <v>15</v>
      </c>
      <c r="E58" s="2">
        <f>'Statements Summary 2023'!V57</f>
        <v>0.93027858577983025</v>
      </c>
      <c r="F58" s="2">
        <f t="shared" si="1"/>
        <v>0.94289821824757802</v>
      </c>
      <c r="G58" s="2">
        <f>'Statements Summary 2025'!V58</f>
        <v>0.99547835482582858</v>
      </c>
      <c r="H58" s="2">
        <f>'Statements Summary 2026'!V58</f>
        <v>0.90049349407465595</v>
      </c>
      <c r="I58" s="2">
        <f>'Statements Summary 2027'!V58</f>
        <v>0.90226320839488872</v>
      </c>
      <c r="K58" s="2">
        <f>K57/K45</f>
        <v>0.93810610758814328</v>
      </c>
      <c r="L58" s="2">
        <f t="shared" ref="L58:V58" si="10">L57/L45</f>
        <v>0.93896874023499843</v>
      </c>
      <c r="M58" s="2">
        <f t="shared" si="10"/>
        <v>0.93980765789499843</v>
      </c>
      <c r="N58" s="2">
        <f t="shared" si="10"/>
        <v>0.94062382524557475</v>
      </c>
      <c r="O58" s="2">
        <f t="shared" si="10"/>
        <v>0.94021852712438414</v>
      </c>
      <c r="P58" s="2">
        <f t="shared" si="10"/>
        <v>0.9407242925463436</v>
      </c>
      <c r="Q58" s="2">
        <f t="shared" si="10"/>
        <v>0.94238167252448868</v>
      </c>
      <c r="R58" s="2">
        <f t="shared" si="10"/>
        <v>0.94171057719615492</v>
      </c>
      <c r="S58" s="2">
        <f t="shared" si="10"/>
        <v>0.94385906553668131</v>
      </c>
      <c r="T58" s="2">
        <f t="shared" si="10"/>
        <v>0.94408309161195392</v>
      </c>
      <c r="U58" s="2">
        <f t="shared" si="10"/>
        <v>0.9426645775693766</v>
      </c>
      <c r="V58" s="2">
        <f t="shared" si="10"/>
        <v>0.94289821824757802</v>
      </c>
    </row>
    <row r="59" spans="2:22" x14ac:dyDescent="0.3">
      <c r="B59" t="s">
        <v>7</v>
      </c>
      <c r="E59" s="1">
        <f>'Statements Summary 2023'!V58</f>
        <v>-1711</v>
      </c>
      <c r="F59" s="1">
        <f t="shared" si="1"/>
        <v>-1850</v>
      </c>
      <c r="G59" s="1">
        <f>'Statements Summary 2025'!V59</f>
        <v>-1911</v>
      </c>
      <c r="H59" s="1">
        <f>'Statements Summary 2026'!V59</f>
        <v>-1756</v>
      </c>
      <c r="I59" s="1">
        <f>'Statements Summary 2027'!V59</f>
        <v>-1800</v>
      </c>
      <c r="K59">
        <f>'IS 2024'!F57</f>
        <v>-1450</v>
      </c>
      <c r="L59">
        <f>'IS 2024'!G57</f>
        <v>-1450</v>
      </c>
      <c r="M59">
        <f>'IS 2024'!H57</f>
        <v>-1450</v>
      </c>
      <c r="N59">
        <f>'IS 2024'!I57</f>
        <v>-1450</v>
      </c>
      <c r="O59">
        <f>'IS 2024'!J57</f>
        <v>-1450</v>
      </c>
      <c r="P59">
        <f>'IS 2024'!K57</f>
        <v>-1450</v>
      </c>
      <c r="Q59">
        <f>'IS 2024'!L57</f>
        <v>-1450</v>
      </c>
      <c r="R59">
        <f>'IS 2024'!M57</f>
        <v>-1450</v>
      </c>
      <c r="S59">
        <f>'IS 2024'!N57</f>
        <v>-1450</v>
      </c>
      <c r="T59">
        <f>'IS 2024'!O57</f>
        <v>-1450</v>
      </c>
      <c r="U59">
        <f>'IS 2024'!P57</f>
        <v>-1450</v>
      </c>
      <c r="V59">
        <f>'IS 2024'!Q57</f>
        <v>-1850</v>
      </c>
    </row>
    <row r="60" spans="2:22" x14ac:dyDescent="0.3">
      <c r="B60" t="s">
        <v>8</v>
      </c>
      <c r="E60" s="1">
        <f>'Statements Summary 2023'!V59</f>
        <v>277487</v>
      </c>
      <c r="F60" s="1">
        <f t="shared" si="1"/>
        <v>343675.91200000001</v>
      </c>
      <c r="G60" s="1">
        <f>'Statements Summary 2025'!V60</f>
        <v>425716</v>
      </c>
      <c r="H60" s="1">
        <f>'Statements Summary 2026'!V60</f>
        <v>525591</v>
      </c>
      <c r="I60" s="1">
        <f>'Statements Summary 2027'!V60</f>
        <v>590617</v>
      </c>
      <c r="K60" s="1">
        <f>'IS 2024'!F58</f>
        <v>315703.59200000006</v>
      </c>
      <c r="L60" s="1">
        <f>'IS 2024'!G58</f>
        <v>320482.08799999993</v>
      </c>
      <c r="M60" s="1">
        <f>'IS 2024'!H58</f>
        <v>325260.58399999997</v>
      </c>
      <c r="N60" s="1">
        <f>'IS 2024'!I58</f>
        <v>330039.07999999996</v>
      </c>
      <c r="O60" s="1">
        <f>'IS 2024'!J58</f>
        <v>327649.83200000005</v>
      </c>
      <c r="P60" s="1">
        <f>'IS 2024'!K58</f>
        <v>330636.39199999993</v>
      </c>
      <c r="Q60" s="1">
        <f>'IS 2024'!L58</f>
        <v>340790.69600000005</v>
      </c>
      <c r="R60" s="1">
        <f>'IS 2024'!M58</f>
        <v>336609.51199999993</v>
      </c>
      <c r="S60" s="1">
        <f>'IS 2024'!N58</f>
        <v>350347.68800000002</v>
      </c>
      <c r="T60" s="1">
        <f>'IS 2024'!O58</f>
        <v>351840.96799999999</v>
      </c>
      <c r="U60" s="1">
        <f>'IS 2024'!P58</f>
        <v>342582.63199999998</v>
      </c>
      <c r="V60" s="1">
        <f>'IS 2024'!Q58</f>
        <v>343675.91200000001</v>
      </c>
    </row>
    <row r="61" spans="2:22" x14ac:dyDescent="0.3">
      <c r="B61" t="s">
        <v>9</v>
      </c>
      <c r="E61" s="1">
        <f>'Statements Summary 2023'!V60</f>
        <v>-73000.400000000009</v>
      </c>
      <c r="F61" s="1">
        <f t="shared" si="1"/>
        <v>-32637.200000000001</v>
      </c>
      <c r="G61" s="1">
        <f>'Statements Summary 2025'!V61</f>
        <v>0</v>
      </c>
      <c r="H61" s="1">
        <f>'Statements Summary 2026'!V61</f>
        <v>0</v>
      </c>
      <c r="I61" s="1">
        <f>'Statements Summary 2027'!V61</f>
        <v>0</v>
      </c>
      <c r="K61" s="3">
        <f>'IS 2024'!F59</f>
        <v>-69636.800000000003</v>
      </c>
      <c r="L61" s="3">
        <f>'IS 2024'!G59</f>
        <v>-66273.2</v>
      </c>
      <c r="M61" s="3">
        <f>'IS 2024'!H59</f>
        <v>-62909.600000000006</v>
      </c>
      <c r="N61" s="3">
        <f>'IS 2024'!I59</f>
        <v>-59546</v>
      </c>
      <c r="O61" s="3">
        <f>'IS 2024'!J59</f>
        <v>-56182.400000000001</v>
      </c>
      <c r="P61" s="3">
        <f>'IS 2024'!K59</f>
        <v>-52818.8</v>
      </c>
      <c r="Q61" s="3">
        <f>'IS 2024'!L59</f>
        <v>-49455.200000000004</v>
      </c>
      <c r="R61" s="3">
        <f>'IS 2024'!M59</f>
        <v>-46091.600000000006</v>
      </c>
      <c r="S61" s="3">
        <f>'IS 2024'!N59</f>
        <v>-42728</v>
      </c>
      <c r="T61" s="3">
        <f>'IS 2024'!O59</f>
        <v>-39364.400000000001</v>
      </c>
      <c r="U61" s="3">
        <f>'IS 2024'!P59</f>
        <v>-36000.800000000003</v>
      </c>
      <c r="V61" s="3">
        <f>'IS 2024'!Q59</f>
        <v>-32637.200000000001</v>
      </c>
    </row>
    <row r="62" spans="2:22" x14ac:dyDescent="0.3">
      <c r="B62" t="s">
        <v>10</v>
      </c>
      <c r="E62" s="1">
        <f>'Statements Summary 2023'!V61</f>
        <v>279198</v>
      </c>
      <c r="F62" s="1">
        <f t="shared" si="1"/>
        <v>345525.91200000001</v>
      </c>
      <c r="G62" s="1">
        <f>'Statements Summary 2025'!V62</f>
        <v>423805</v>
      </c>
      <c r="H62" s="1">
        <f>'Statements Summary 2026'!V62</f>
        <v>527347</v>
      </c>
      <c r="I62" s="1">
        <f>'Statements Summary 2027'!V62</f>
        <v>592417</v>
      </c>
      <c r="K62" s="1">
        <f>'IS 2024'!F60</f>
        <v>317153.59200000006</v>
      </c>
      <c r="L62" s="1">
        <f>'IS 2024'!G60</f>
        <v>321932.08799999993</v>
      </c>
      <c r="M62" s="1">
        <f>'IS 2024'!H60</f>
        <v>326710.58399999997</v>
      </c>
      <c r="N62" s="1">
        <f>'IS 2024'!I60</f>
        <v>331489.07999999996</v>
      </c>
      <c r="O62" s="1">
        <f>'IS 2024'!J60</f>
        <v>329099.83200000005</v>
      </c>
      <c r="P62" s="1">
        <f>'IS 2024'!K60</f>
        <v>332086.39199999993</v>
      </c>
      <c r="Q62" s="1">
        <f>'IS 2024'!L60</f>
        <v>342240.69600000005</v>
      </c>
      <c r="R62" s="1">
        <f>'IS 2024'!M60</f>
        <v>338059.51199999993</v>
      </c>
      <c r="S62" s="1">
        <f>'IS 2024'!N60</f>
        <v>351797.68800000002</v>
      </c>
      <c r="T62" s="1">
        <f>'IS 2024'!O60</f>
        <v>353290.96799999999</v>
      </c>
      <c r="U62" s="1">
        <f>'IS 2024'!P60</f>
        <v>344032.63199999998</v>
      </c>
      <c r="V62" s="1">
        <f>'IS 2024'!Q60</f>
        <v>345525.91200000001</v>
      </c>
    </row>
    <row r="63" spans="2:22" x14ac:dyDescent="0.3">
      <c r="B63" t="s">
        <v>11</v>
      </c>
      <c r="E63" s="1">
        <f>'Statements Summary 2023'!V62</f>
        <v>-55839.600000000006</v>
      </c>
      <c r="F63" s="1">
        <f t="shared" si="1"/>
        <v>-69105.182400000005</v>
      </c>
      <c r="G63" s="1">
        <f>'Statements Summary 2025'!V63</f>
        <v>-84761</v>
      </c>
      <c r="H63" s="1">
        <f>'Statements Summary 2026'!V63</f>
        <v>-105469.40000000001</v>
      </c>
      <c r="I63" s="1">
        <f>'Statements Summary 2027'!V63</f>
        <v>-105469.40000000001</v>
      </c>
      <c r="K63" s="1">
        <f>'IS 2024'!F61</f>
        <v>-63430.718400000012</v>
      </c>
      <c r="L63" s="1">
        <f>'IS 2024'!G61</f>
        <v>-64386.417599999986</v>
      </c>
      <c r="M63" s="1">
        <f>'IS 2024'!H61</f>
        <v>-65342.116799999996</v>
      </c>
      <c r="N63" s="1">
        <f>'IS 2024'!I61</f>
        <v>-66297.815999999992</v>
      </c>
      <c r="O63" s="1">
        <f>'IS 2024'!J61</f>
        <v>-65819.966400000019</v>
      </c>
      <c r="P63" s="1">
        <f>'IS 2024'!K61</f>
        <v>-66417.278399999996</v>
      </c>
      <c r="Q63" s="1">
        <f>'IS 2024'!L61</f>
        <v>-68448.13920000002</v>
      </c>
      <c r="R63" s="1">
        <f>'IS 2024'!M61</f>
        <v>-67611.902399999992</v>
      </c>
      <c r="S63" s="1">
        <f>'IS 2024'!N61</f>
        <v>-70359.537600000011</v>
      </c>
      <c r="T63" s="1">
        <f>'IS 2024'!O61</f>
        <v>-70658.193599999999</v>
      </c>
      <c r="U63" s="1">
        <f>'IS 2024'!P61</f>
        <v>-68806.526400000002</v>
      </c>
      <c r="V63" s="1">
        <f>'IS 2024'!Q61</f>
        <v>-69105.182400000005</v>
      </c>
    </row>
    <row r="64" spans="2:22" x14ac:dyDescent="0.3">
      <c r="B64" s="14" t="s">
        <v>12</v>
      </c>
      <c r="C64" s="14"/>
      <c r="D64" s="14"/>
      <c r="E64" s="187">
        <f>'Statements Summary 2023'!V63</f>
        <v>223358.4</v>
      </c>
      <c r="F64" s="187">
        <f t="shared" si="1"/>
        <v>276420.72960000002</v>
      </c>
      <c r="G64" s="187">
        <f>'Statements Summary 2025'!V64</f>
        <v>339044</v>
      </c>
      <c r="H64" s="187">
        <f>'Statements Summary 2026'!V64</f>
        <v>421877.6</v>
      </c>
      <c r="I64" s="187">
        <f>'Statements Summary 2027'!V64</f>
        <v>473933.6</v>
      </c>
      <c r="K64" s="187">
        <f>'IS 2024'!F62</f>
        <v>253722.87360000005</v>
      </c>
      <c r="L64" s="187">
        <f>'IS 2024'!G62</f>
        <v>257545.67039999994</v>
      </c>
      <c r="M64" s="187">
        <f>'IS 2024'!H62</f>
        <v>261368.46719999998</v>
      </c>
      <c r="N64" s="187">
        <f>'IS 2024'!I62</f>
        <v>265191.26399999997</v>
      </c>
      <c r="O64" s="187">
        <f>'IS 2024'!J62</f>
        <v>263279.86560000002</v>
      </c>
      <c r="P64" s="187">
        <f>'IS 2024'!K62</f>
        <v>265669.11359999992</v>
      </c>
      <c r="Q64" s="187">
        <f>'IS 2024'!L62</f>
        <v>273792.55680000002</v>
      </c>
      <c r="R64" s="187">
        <f>'IS 2024'!M62</f>
        <v>270447.60959999997</v>
      </c>
      <c r="S64" s="187">
        <f>'IS 2024'!N62</f>
        <v>281438.15040000004</v>
      </c>
      <c r="T64" s="187">
        <f>'IS 2024'!O62</f>
        <v>282632.77439999999</v>
      </c>
      <c r="U64" s="187">
        <f>'IS 2024'!P62</f>
        <v>275226.10560000001</v>
      </c>
      <c r="V64" s="187">
        <f>'IS 2024'!Q62</f>
        <v>276420.72960000002</v>
      </c>
    </row>
    <row r="65" spans="2:22" x14ac:dyDescent="0.3">
      <c r="B65" t="s">
        <v>13</v>
      </c>
      <c r="E65" s="2">
        <f>'Statements Summary 2023'!V64</f>
        <v>0.74422286862386422</v>
      </c>
      <c r="F65" s="2">
        <f t="shared" si="1"/>
        <v>0.7543185745980624</v>
      </c>
      <c r="G65" s="2">
        <f>'Statements Summary 2025'!V65</f>
        <v>0.79638268386066291</v>
      </c>
      <c r="H65" s="2">
        <f>'Statements Summary 2026'!V65</f>
        <v>0.72039479525972472</v>
      </c>
      <c r="I65" s="2">
        <f>'Statements Summary 2027'!V65</f>
        <v>0.72181056671591093</v>
      </c>
      <c r="K65" s="2">
        <f>K64/K45</f>
        <v>0.75048488607051467</v>
      </c>
      <c r="L65" s="2">
        <f t="shared" ref="L65:V65" si="11">L64/L45</f>
        <v>0.75117499218799877</v>
      </c>
      <c r="M65" s="2">
        <f t="shared" si="11"/>
        <v>0.75184612631599879</v>
      </c>
      <c r="N65" s="2">
        <f t="shared" si="11"/>
        <v>0.75249906019645985</v>
      </c>
      <c r="O65" s="2">
        <f t="shared" si="11"/>
        <v>0.75217482169950722</v>
      </c>
      <c r="P65" s="2">
        <f t="shared" si="11"/>
        <v>0.75257943403707483</v>
      </c>
      <c r="Q65" s="2">
        <f t="shared" si="11"/>
        <v>0.75390533801959092</v>
      </c>
      <c r="R65" s="2">
        <f t="shared" si="11"/>
        <v>0.75336846175692396</v>
      </c>
      <c r="S65" s="2">
        <f t="shared" si="11"/>
        <v>0.75508725242934505</v>
      </c>
      <c r="T65" s="2">
        <f t="shared" si="11"/>
        <v>0.75526647328956309</v>
      </c>
      <c r="U65" s="2">
        <f t="shared" si="11"/>
        <v>0.75413166205550131</v>
      </c>
      <c r="V65" s="2">
        <f t="shared" si="11"/>
        <v>0.7543185745980624</v>
      </c>
    </row>
    <row r="67" spans="2:22" x14ac:dyDescent="0.3">
      <c r="B67" s="172" t="s">
        <v>225</v>
      </c>
      <c r="C67" s="145"/>
      <c r="D67" s="145"/>
      <c r="E67" s="145"/>
      <c r="F67" s="145"/>
      <c r="G67" s="145"/>
      <c r="H67" s="145"/>
      <c r="I67" s="145"/>
      <c r="K67" s="334" t="s">
        <v>198</v>
      </c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</row>
    <row r="85" spans="2:22" x14ac:dyDescent="0.3">
      <c r="B85" s="172" t="s">
        <v>226</v>
      </c>
      <c r="C85" s="172"/>
      <c r="D85" s="172"/>
      <c r="E85" s="172"/>
      <c r="F85" s="145"/>
      <c r="G85" s="145"/>
      <c r="H85" s="145"/>
      <c r="I85" s="145"/>
      <c r="J85" s="145"/>
      <c r="K85" s="334" t="s">
        <v>199</v>
      </c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34"/>
    </row>
    <row r="87" spans="2:22" x14ac:dyDescent="0.3">
      <c r="B87" s="185" t="s">
        <v>20</v>
      </c>
      <c r="C87" s="185"/>
      <c r="D87" s="185"/>
      <c r="E87" s="186">
        <v>2023</v>
      </c>
      <c r="F87" s="186">
        <v>2024</v>
      </c>
      <c r="G87" s="186">
        <v>2025</v>
      </c>
      <c r="H87" s="186">
        <v>2026</v>
      </c>
      <c r="I87" s="186">
        <v>2027</v>
      </c>
      <c r="J87" s="185"/>
      <c r="K87" s="186" t="s">
        <v>25</v>
      </c>
      <c r="L87" s="186" t="s">
        <v>26</v>
      </c>
      <c r="M87" s="186" t="s">
        <v>27</v>
      </c>
      <c r="N87" s="186" t="s">
        <v>28</v>
      </c>
      <c r="O87" s="186" t="s">
        <v>29</v>
      </c>
      <c r="P87" s="186" t="s">
        <v>30</v>
      </c>
      <c r="Q87" s="186" t="s">
        <v>31</v>
      </c>
      <c r="R87" s="186" t="s">
        <v>32</v>
      </c>
      <c r="S87" s="186" t="s">
        <v>33</v>
      </c>
      <c r="T87" s="186" t="s">
        <v>34</v>
      </c>
      <c r="U87" s="186" t="s">
        <v>35</v>
      </c>
      <c r="V87" s="186" t="s">
        <v>36</v>
      </c>
    </row>
    <row r="88" spans="2:22" x14ac:dyDescent="0.3">
      <c r="B88" t="s">
        <v>48</v>
      </c>
      <c r="E88" s="197">
        <f>'Statements Summary 2023'!V86</f>
        <v>1810916.4</v>
      </c>
      <c r="F88" s="197">
        <f t="shared" ref="F88:F99" si="12">V88</f>
        <v>4465791.5807999996</v>
      </c>
      <c r="G88" s="197">
        <f>'Statements Summary 2025'!V88</f>
        <v>8073112.3807999995</v>
      </c>
      <c r="H88" s="197">
        <f>'Statements Summary 2026'!V88</f>
        <v>13545694.380800003</v>
      </c>
      <c r="I88" s="197">
        <f>'Statements Summary 2027'!V88</f>
        <v>19710636.380800001</v>
      </c>
      <c r="K88" s="197">
        <f>'BS 2024'!F14</f>
        <v>1998484.4735999999</v>
      </c>
      <c r="L88" s="197">
        <f>'BS 2024'!G14</f>
        <v>2193238.9439999997</v>
      </c>
      <c r="M88" s="197">
        <f>'BS 2024'!H14</f>
        <v>2395179.8111999994</v>
      </c>
      <c r="N88" s="197">
        <f>'BS 2024'!I14</f>
        <v>2604307.0751999994</v>
      </c>
      <c r="O88" s="197">
        <f>'BS 2024'!J14</f>
        <v>2814886.5407999996</v>
      </c>
      <c r="P88" s="197">
        <f>'BS 2024'!K14</f>
        <v>3031218.8543999996</v>
      </c>
      <c r="Q88" s="197">
        <f>'BS 2024'!L14</f>
        <v>3259038.2111999998</v>
      </c>
      <c r="R88" s="197">
        <f>'BS 2024'!M14</f>
        <v>3486876.2207999998</v>
      </c>
      <c r="S88" s="197">
        <f>'BS 2024'!N14</f>
        <v>3729068.3711999999</v>
      </c>
      <c r="T88" s="197">
        <f>'BS 2024'!O14</f>
        <v>3975818.7456</v>
      </c>
      <c r="U88" s="197">
        <f>'BS 2024'!P14</f>
        <v>4218526.0511999996</v>
      </c>
      <c r="V88" s="197">
        <f>'BS 2024'!Q14</f>
        <v>4465791.5807999996</v>
      </c>
    </row>
    <row r="89" spans="2:22" x14ac:dyDescent="0.3">
      <c r="B89" t="s">
        <v>49</v>
      </c>
      <c r="E89" s="197">
        <f>'Statements Summary 2023'!V87</f>
        <v>470532</v>
      </c>
      <c r="F89" s="197">
        <f t="shared" si="12"/>
        <v>488332</v>
      </c>
      <c r="G89" s="197">
        <f>'Statements Summary 2025'!V89</f>
        <v>509481</v>
      </c>
      <c r="H89" s="197">
        <f>'Statements Summary 2026'!V89</f>
        <v>531018</v>
      </c>
      <c r="I89" s="197">
        <f>'Statements Summary 2027'!V89</f>
        <v>552400</v>
      </c>
      <c r="K89" s="197">
        <f>'BS 2024'!F19</f>
        <v>471982</v>
      </c>
      <c r="L89" s="197">
        <f>'BS 2024'!G19</f>
        <v>473432</v>
      </c>
      <c r="M89" s="197">
        <f>'BS 2024'!H19</f>
        <v>474882</v>
      </c>
      <c r="N89" s="197">
        <f>'BS 2024'!I19</f>
        <v>476332</v>
      </c>
      <c r="O89" s="197">
        <f>'BS 2024'!J19</f>
        <v>477782</v>
      </c>
      <c r="P89" s="197">
        <f>'BS 2024'!K19</f>
        <v>479232</v>
      </c>
      <c r="Q89" s="197">
        <f>'BS 2024'!L19</f>
        <v>480682</v>
      </c>
      <c r="R89" s="197">
        <f>'BS 2024'!M19</f>
        <v>482132</v>
      </c>
      <c r="S89" s="197">
        <f>'BS 2024'!N19</f>
        <v>483582</v>
      </c>
      <c r="T89" s="197">
        <f>'BS 2024'!O19</f>
        <v>485032</v>
      </c>
      <c r="U89" s="197">
        <f>'BS 2024'!P19</f>
        <v>486482</v>
      </c>
      <c r="V89" s="197">
        <f>'BS 2024'!Q19</f>
        <v>488332</v>
      </c>
    </row>
    <row r="90" spans="2:22" x14ac:dyDescent="0.3">
      <c r="B90" t="s">
        <v>50</v>
      </c>
      <c r="E90" s="197">
        <f>'Statements Summary 2023'!V88</f>
        <v>2281448.4</v>
      </c>
      <c r="F90" s="197">
        <f t="shared" si="12"/>
        <v>4954123.5807999996</v>
      </c>
      <c r="G90" s="197">
        <f>'Statements Summary 2025'!V90</f>
        <v>8582593.3807999995</v>
      </c>
      <c r="H90" s="197">
        <f>'Statements Summary 2026'!V90</f>
        <v>14076712.380800003</v>
      </c>
      <c r="I90" s="197">
        <f>'Statements Summary 2027'!V90</f>
        <v>20263036.380800001</v>
      </c>
      <c r="K90" s="197">
        <f>'BS 2024'!F20</f>
        <v>2470466.4736000001</v>
      </c>
      <c r="L90" s="197">
        <f>'BS 2024'!G20</f>
        <v>2666670.9439999997</v>
      </c>
      <c r="M90" s="197">
        <f>'BS 2024'!H20</f>
        <v>2870061.8111999994</v>
      </c>
      <c r="N90" s="197">
        <f>'BS 2024'!I20</f>
        <v>3080639.0751999994</v>
      </c>
      <c r="O90" s="197">
        <f>'BS 2024'!J20</f>
        <v>3292668.5407999996</v>
      </c>
      <c r="P90" s="197">
        <f>'BS 2024'!K20</f>
        <v>3510450.8543999996</v>
      </c>
      <c r="Q90" s="197">
        <f>'BS 2024'!L20</f>
        <v>3739720.2111999998</v>
      </c>
      <c r="R90" s="197">
        <f>'BS 2024'!M20</f>
        <v>3969008.2207999998</v>
      </c>
      <c r="S90" s="197">
        <f>'BS 2024'!N20</f>
        <v>4212650.3711999999</v>
      </c>
      <c r="T90" s="197">
        <f>'BS 2024'!O20</f>
        <v>4460850.7456</v>
      </c>
      <c r="U90" s="197">
        <f>'BS 2024'!P20</f>
        <v>4705008.0511999996</v>
      </c>
      <c r="V90" s="197">
        <f>'BS 2024'!Q20</f>
        <v>4954123.5807999996</v>
      </c>
    </row>
    <row r="91" spans="2:22" x14ac:dyDescent="0.3">
      <c r="B91" t="s">
        <v>51</v>
      </c>
      <c r="E91" s="197">
        <f>'Statements Summary 2023'!V89</f>
        <v>-55839.600000000006</v>
      </c>
      <c r="F91" s="197">
        <f t="shared" si="12"/>
        <v>-69105.182400000005</v>
      </c>
      <c r="G91" s="197">
        <f>'Statements Summary 2025'!V91</f>
        <v>-84761</v>
      </c>
      <c r="H91" s="197">
        <f>'Statements Summary 2026'!V91</f>
        <v>-105469.40000000001</v>
      </c>
      <c r="I91" s="197">
        <f>'Statements Summary 2027'!V91</f>
        <v>-118483.40000000001</v>
      </c>
      <c r="K91" s="197"/>
      <c r="L91" s="197">
        <f>'BS 2024'!G25</f>
        <v>-64386.417599999986</v>
      </c>
      <c r="M91" s="197">
        <f>'BS 2024'!H25</f>
        <v>-65342.116799999996</v>
      </c>
      <c r="N91" s="197">
        <f>'BS 2024'!I25</f>
        <v>-66297.815999999992</v>
      </c>
      <c r="O91" s="197">
        <f>'BS 2024'!J25</f>
        <v>-65819.966400000019</v>
      </c>
      <c r="P91" s="197">
        <f>'BS 2024'!K25</f>
        <v>-66417.278399999996</v>
      </c>
      <c r="Q91" s="197">
        <f>'BS 2024'!L25</f>
        <v>-68448.13920000002</v>
      </c>
      <c r="R91" s="197">
        <f>'BS 2024'!M25</f>
        <v>-67611.902399999992</v>
      </c>
      <c r="S91" s="197">
        <f>'BS 2024'!N25</f>
        <v>-70359.537600000011</v>
      </c>
      <c r="T91" s="197">
        <f>'BS 2024'!O25</f>
        <v>-70658.193599999999</v>
      </c>
      <c r="U91" s="197">
        <f>'BS 2024'!P25</f>
        <v>-68806.526400000002</v>
      </c>
      <c r="V91" s="197">
        <f>'BS 2024'!Q25</f>
        <v>-69105.182400000005</v>
      </c>
    </row>
    <row r="92" spans="2:22" x14ac:dyDescent="0.3">
      <c r="B92" t="s">
        <v>195</v>
      </c>
      <c r="E92" s="197">
        <f>'Statements Summary 2023'!V90</f>
        <v>-365002</v>
      </c>
      <c r="F92" s="197">
        <f t="shared" si="12"/>
        <v>-163186</v>
      </c>
      <c r="G92" s="197">
        <f>'Statements Summary 2025'!V92</f>
        <v>0</v>
      </c>
      <c r="H92" s="197">
        <f>'Statements Summary 2026'!V92</f>
        <v>0</v>
      </c>
      <c r="I92" s="197">
        <f>'Statements Summary 2027'!V92</f>
        <v>0</v>
      </c>
      <c r="K92" s="197">
        <f>'BS 2024'!F27</f>
        <v>-348184</v>
      </c>
      <c r="L92" s="197">
        <f>'BS 2024'!G27</f>
        <v>-331366</v>
      </c>
      <c r="M92" s="197">
        <f>'BS 2024'!H27</f>
        <v>-314548</v>
      </c>
      <c r="N92" s="197">
        <f>'BS 2024'!I27</f>
        <v>-297730</v>
      </c>
      <c r="O92" s="197">
        <f>'BS 2024'!J27</f>
        <v>-280912</v>
      </c>
      <c r="P92" s="197">
        <f>'BS 2024'!K27</f>
        <v>-264094</v>
      </c>
      <c r="Q92" s="197">
        <f>'BS 2024'!L27</f>
        <v>-247276</v>
      </c>
      <c r="R92" s="197">
        <f>'BS 2024'!M27</f>
        <v>-230458</v>
      </c>
      <c r="S92" s="197">
        <f>'BS 2024'!N27</f>
        <v>-213640</v>
      </c>
      <c r="T92" s="197">
        <f>'BS 2024'!O27</f>
        <v>-196822</v>
      </c>
      <c r="U92" s="197">
        <f>'BS 2024'!P27</f>
        <v>-180004</v>
      </c>
      <c r="V92" s="197">
        <f>'BS 2024'!Q27</f>
        <v>-163186</v>
      </c>
    </row>
    <row r="93" spans="2:22" x14ac:dyDescent="0.3">
      <c r="B93" t="s">
        <v>53</v>
      </c>
      <c r="E93" s="197">
        <f>'Statements Summary 2023'!V91</f>
        <v>-420841.6</v>
      </c>
      <c r="F93" s="197">
        <f t="shared" si="12"/>
        <v>-232291.18239999999</v>
      </c>
      <c r="G93" s="197">
        <f>'Statements Summary 2025'!V93</f>
        <v>-84761</v>
      </c>
      <c r="H93" s="197">
        <f>'Statements Summary 2026'!V93</f>
        <v>-105469.40000000001</v>
      </c>
      <c r="I93" s="197">
        <f>'Statements Summary 2027'!V93</f>
        <v>-118483.40000000001</v>
      </c>
      <c r="K93" s="197">
        <f>'BS 2024'!F32</f>
        <v>-411614.71840000001</v>
      </c>
      <c r="L93" s="197">
        <f>'BS 2024'!G32</f>
        <v>-395752.41759999999</v>
      </c>
      <c r="M93" s="197">
        <f>'BS 2024'!H32</f>
        <v>-379890.11680000002</v>
      </c>
      <c r="N93" s="197">
        <f>'BS 2024'!I32</f>
        <v>-364027.81599999999</v>
      </c>
      <c r="O93" s="197">
        <f>'BS 2024'!J32</f>
        <v>-346731.96640000003</v>
      </c>
      <c r="P93" s="197">
        <f>'BS 2024'!K32</f>
        <v>-330511.27840000001</v>
      </c>
      <c r="Q93" s="197">
        <f>'BS 2024'!L32</f>
        <v>-315724.13920000003</v>
      </c>
      <c r="R93" s="197">
        <f>'BS 2024'!M32</f>
        <v>-298069.90240000002</v>
      </c>
      <c r="S93" s="197">
        <f>'BS 2024'!N32</f>
        <v>-283999.53760000004</v>
      </c>
      <c r="T93" s="197">
        <f>'BS 2024'!O32</f>
        <v>-267480.1936</v>
      </c>
      <c r="U93" s="197">
        <f>'BS 2024'!P32</f>
        <v>-248810.5264</v>
      </c>
      <c r="V93" s="197">
        <f>'BS 2024'!Q32</f>
        <v>-232291.18239999999</v>
      </c>
    </row>
    <row r="94" spans="2:22" x14ac:dyDescent="0.3">
      <c r="B94" t="s">
        <v>54</v>
      </c>
      <c r="E94" s="197">
        <f>'Statements Summary 2023'!V92</f>
        <v>1860606.7999999998</v>
      </c>
      <c r="F94" s="197">
        <f t="shared" si="12"/>
        <v>4721832.3983999994</v>
      </c>
      <c r="G94" s="197">
        <f>'Statements Summary 2025'!V94</f>
        <v>8497832.3807999995</v>
      </c>
      <c r="H94" s="197">
        <f>'Statements Summary 2026'!V94</f>
        <v>13971242.980800003</v>
      </c>
      <c r="I94" s="197">
        <f>'Statements Summary 2027'!V94</f>
        <v>20144552.980800003</v>
      </c>
      <c r="K94" s="197">
        <f>'BS 2024'!F33</f>
        <v>2058851.7552</v>
      </c>
      <c r="L94" s="197">
        <f>'BS 2024'!G33</f>
        <v>2270918.5263999999</v>
      </c>
      <c r="M94" s="197">
        <f>'BS 2024'!H33</f>
        <v>2490171.6943999995</v>
      </c>
      <c r="N94" s="197">
        <f>'BS 2024'!I33</f>
        <v>2716611.2591999993</v>
      </c>
      <c r="O94" s="197">
        <f>'BS 2024'!J33</f>
        <v>2945936.5743999993</v>
      </c>
      <c r="P94" s="197">
        <f>'BS 2024'!K33</f>
        <v>3179939.5759999994</v>
      </c>
      <c r="Q94" s="197">
        <f>'BS 2024'!L33</f>
        <v>3423996.0719999997</v>
      </c>
      <c r="R94" s="197">
        <f>'BS 2024'!M33</f>
        <v>3670938.3183999998</v>
      </c>
      <c r="S94" s="197">
        <f>'BS 2024'!N33</f>
        <v>3928650.8336</v>
      </c>
      <c r="T94" s="197">
        <f>'BS 2024'!O33</f>
        <v>4193370.5520000001</v>
      </c>
      <c r="U94" s="197">
        <f>'BS 2024'!P33</f>
        <v>4456197.5247999998</v>
      </c>
      <c r="V94" s="197">
        <f>'BS 2024'!Q33</f>
        <v>4721832.3983999994</v>
      </c>
    </row>
    <row r="95" spans="2:22" x14ac:dyDescent="0.3">
      <c r="B95" t="s">
        <v>55</v>
      </c>
      <c r="E95" s="197">
        <f>'Statements Summary 2023'!V93</f>
        <v>1810916.4</v>
      </c>
      <c r="F95" s="197">
        <f t="shared" si="12"/>
        <v>4465791.5807999996</v>
      </c>
      <c r="G95" s="197">
        <f>'Statements Summary 2025'!V95</f>
        <v>8073112.3807999995</v>
      </c>
      <c r="H95" s="197">
        <f>'Statements Summary 2026'!V95</f>
        <v>13545694.380800003</v>
      </c>
      <c r="I95" s="197">
        <f>'Statements Summary 2027'!V95</f>
        <v>19710636.380800001</v>
      </c>
      <c r="K95" s="197">
        <f>'BS 2024'!F14</f>
        <v>1998484.4735999999</v>
      </c>
      <c r="L95" s="197">
        <f>'BS 2024'!G14</f>
        <v>2193238.9439999997</v>
      </c>
      <c r="M95" s="197">
        <f>'BS 2024'!H14</f>
        <v>2395179.8111999994</v>
      </c>
      <c r="N95" s="197">
        <f>'BS 2024'!I14</f>
        <v>2604307.0751999994</v>
      </c>
      <c r="O95" s="197">
        <f>'BS 2024'!J14</f>
        <v>2814886.5407999996</v>
      </c>
      <c r="P95" s="197">
        <f>'BS 2024'!K14</f>
        <v>3031218.8543999996</v>
      </c>
      <c r="Q95" s="197">
        <f>'BS 2024'!L14</f>
        <v>3259038.2111999998</v>
      </c>
      <c r="R95" s="197">
        <f>'BS 2024'!M14</f>
        <v>3486876.2207999998</v>
      </c>
      <c r="S95" s="197">
        <f>'BS 2024'!N14</f>
        <v>3729068.3711999999</v>
      </c>
      <c r="T95" s="197">
        <f>'BS 2024'!O14</f>
        <v>3975818.7456</v>
      </c>
      <c r="U95" s="197">
        <f>'BS 2024'!P14</f>
        <v>4218526.0511999996</v>
      </c>
      <c r="V95" s="197">
        <f>'BS 2024'!Q14</f>
        <v>4465791.5807999996</v>
      </c>
    </row>
    <row r="96" spans="2:22" x14ac:dyDescent="0.3">
      <c r="B96" t="s">
        <v>56</v>
      </c>
      <c r="E96" s="197" t="str">
        <f>'Statements Summary 2023'!V94</f>
        <v>-</v>
      </c>
      <c r="F96" s="197" t="str">
        <f t="shared" si="12"/>
        <v>-</v>
      </c>
      <c r="G96" s="197" t="str">
        <f>'Statements Summary 2025'!V96</f>
        <v>-</v>
      </c>
      <c r="H96" s="197" t="str">
        <f>'Statements Summary 2026'!V96</f>
        <v>-</v>
      </c>
      <c r="I96" s="197" t="str">
        <f>'Statements Summary 2027'!V96</f>
        <v>-</v>
      </c>
      <c r="K96" s="197" t="s">
        <v>189</v>
      </c>
      <c r="L96" s="197" t="s">
        <v>189</v>
      </c>
      <c r="M96" s="197" t="s">
        <v>189</v>
      </c>
      <c r="N96" s="197" t="s">
        <v>189</v>
      </c>
      <c r="O96" s="197" t="s">
        <v>189</v>
      </c>
      <c r="P96" s="197" t="s">
        <v>189</v>
      </c>
      <c r="Q96" s="197" t="s">
        <v>189</v>
      </c>
      <c r="R96" s="197" t="s">
        <v>189</v>
      </c>
      <c r="S96" s="197" t="s">
        <v>189</v>
      </c>
      <c r="T96" s="197" t="s">
        <v>189</v>
      </c>
      <c r="U96" s="197" t="s">
        <v>189</v>
      </c>
      <c r="V96" s="197" t="s">
        <v>189</v>
      </c>
    </row>
    <row r="97" spans="2:22" x14ac:dyDescent="0.3">
      <c r="B97" t="s">
        <v>57</v>
      </c>
      <c r="E97" s="197">
        <f>'Statements Summary 2023'!V95</f>
        <v>0</v>
      </c>
      <c r="F97" s="197">
        <f t="shared" si="12"/>
        <v>0</v>
      </c>
      <c r="G97" s="197">
        <f>'Statements Summary 2025'!V97</f>
        <v>0</v>
      </c>
      <c r="H97" s="197">
        <f>'Statements Summary 2026'!V97</f>
        <v>0</v>
      </c>
      <c r="I97" s="197">
        <f>'Statements Summary 2027'!V97</f>
        <v>0</v>
      </c>
      <c r="K97" s="197" t="s">
        <v>189</v>
      </c>
      <c r="L97" s="197" t="s">
        <v>189</v>
      </c>
      <c r="M97" s="197" t="s">
        <v>189</v>
      </c>
      <c r="N97" s="197" t="s">
        <v>189</v>
      </c>
      <c r="O97" s="197" t="s">
        <v>189</v>
      </c>
      <c r="P97" s="197" t="s">
        <v>189</v>
      </c>
      <c r="Q97" s="197" t="s">
        <v>189</v>
      </c>
      <c r="R97" s="197" t="s">
        <v>189</v>
      </c>
      <c r="S97" s="197" t="s">
        <v>189</v>
      </c>
      <c r="T97" s="197" t="s">
        <v>189</v>
      </c>
      <c r="U97" s="197" t="s">
        <v>189</v>
      </c>
      <c r="V97" s="197"/>
    </row>
    <row r="98" spans="2:22" x14ac:dyDescent="0.3">
      <c r="B98" t="s">
        <v>58</v>
      </c>
      <c r="E98" s="197">
        <f>'Statements Summary 2023'!V96</f>
        <v>1860606.7999999998</v>
      </c>
      <c r="F98" s="197">
        <f t="shared" si="12"/>
        <v>4721832.3983999994</v>
      </c>
      <c r="G98" s="197">
        <f>'Statements Summary 2025'!V98</f>
        <v>8497832.3807999995</v>
      </c>
      <c r="H98" s="197">
        <f>'Statements Summary 2026'!V98</f>
        <v>13971242.980800003</v>
      </c>
      <c r="I98" s="197">
        <f>'Statements Summary 2027'!V98</f>
        <v>20144552.980800003</v>
      </c>
      <c r="K98" s="197">
        <f>K94</f>
        <v>2058851.7552</v>
      </c>
      <c r="L98" s="197">
        <f t="shared" ref="L98:V98" si="13">L94</f>
        <v>2270918.5263999999</v>
      </c>
      <c r="M98" s="197">
        <f t="shared" si="13"/>
        <v>2490171.6943999995</v>
      </c>
      <c r="N98" s="197">
        <f t="shared" si="13"/>
        <v>2716611.2591999993</v>
      </c>
      <c r="O98" s="197">
        <f t="shared" si="13"/>
        <v>2945936.5743999993</v>
      </c>
      <c r="P98" s="197">
        <f t="shared" si="13"/>
        <v>3179939.5759999994</v>
      </c>
      <c r="Q98" s="197">
        <f t="shared" si="13"/>
        <v>3423996.0719999997</v>
      </c>
      <c r="R98" s="197">
        <f t="shared" si="13"/>
        <v>3670938.3183999998</v>
      </c>
      <c r="S98" s="197">
        <f t="shared" si="13"/>
        <v>3928650.8336</v>
      </c>
      <c r="T98" s="197">
        <f t="shared" si="13"/>
        <v>4193370.5520000001</v>
      </c>
      <c r="U98" s="197">
        <f t="shared" si="13"/>
        <v>4456197.5247999998</v>
      </c>
      <c r="V98" s="197">
        <f t="shared" si="13"/>
        <v>4721832.3983999994</v>
      </c>
    </row>
    <row r="99" spans="2:22" x14ac:dyDescent="0.3">
      <c r="B99" t="s">
        <v>59</v>
      </c>
      <c r="E99" s="197">
        <f>'Statements Summary 2023'!V97</f>
        <v>1860606.7999999998</v>
      </c>
      <c r="F99" s="197">
        <f t="shared" si="12"/>
        <v>4721832.3983999994</v>
      </c>
      <c r="G99" s="197">
        <f>'Statements Summary 2025'!V99</f>
        <v>8497832.3807999995</v>
      </c>
      <c r="H99" s="197">
        <f>'Statements Summary 2026'!V99</f>
        <v>13971242.980800003</v>
      </c>
      <c r="I99" s="197">
        <f>'Statements Summary 2027'!V99</f>
        <v>20144552.980800003</v>
      </c>
      <c r="K99" s="197">
        <f>K98</f>
        <v>2058851.7552</v>
      </c>
      <c r="L99" s="197">
        <f t="shared" ref="L99:V99" si="14">L98</f>
        <v>2270918.5263999999</v>
      </c>
      <c r="M99" s="197">
        <f t="shared" si="14"/>
        <v>2490171.6943999995</v>
      </c>
      <c r="N99" s="197">
        <f t="shared" si="14"/>
        <v>2716611.2591999993</v>
      </c>
      <c r="O99" s="197">
        <f t="shared" si="14"/>
        <v>2945936.5743999993</v>
      </c>
      <c r="P99" s="197">
        <f t="shared" si="14"/>
        <v>3179939.5759999994</v>
      </c>
      <c r="Q99" s="197">
        <f t="shared" si="14"/>
        <v>3423996.0719999997</v>
      </c>
      <c r="R99" s="197">
        <f t="shared" si="14"/>
        <v>3670938.3183999998</v>
      </c>
      <c r="S99" s="197">
        <f t="shared" si="14"/>
        <v>3928650.8336</v>
      </c>
      <c r="T99" s="197">
        <f t="shared" si="14"/>
        <v>4193370.5520000001</v>
      </c>
      <c r="U99" s="197">
        <f t="shared" si="14"/>
        <v>4456197.5247999998</v>
      </c>
      <c r="V99" s="197">
        <f t="shared" si="14"/>
        <v>4721832.3983999994</v>
      </c>
    </row>
    <row r="101" spans="2:22" x14ac:dyDescent="0.3">
      <c r="B101" s="172" t="s">
        <v>226</v>
      </c>
      <c r="C101" s="145"/>
      <c r="D101" s="145"/>
      <c r="E101" s="145"/>
      <c r="F101" s="145"/>
      <c r="G101" s="145"/>
      <c r="H101" s="145"/>
      <c r="I101" s="145"/>
      <c r="K101" s="334" t="s">
        <v>199</v>
      </c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  <c r="V101" s="334"/>
    </row>
  </sheetData>
  <mergeCells count="6">
    <mergeCell ref="K101:V101"/>
    <mergeCell ref="K19:V19"/>
    <mergeCell ref="K2:V2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3A31-AF77-4355-8357-95967E1F0259}">
  <sheetPr codeName="Sheet25"/>
  <dimension ref="A1:AP79"/>
  <sheetViews>
    <sheetView showGridLines="0" workbookViewId="0">
      <selection activeCell="R12" sqref="R12:T12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.21875" style="127" bestFit="1" customWidth="1"/>
    <col min="7" max="8" width="10.109375" bestFit="1" customWidth="1"/>
    <col min="9" max="9" width="9.88671875" customWidth="1"/>
    <col min="10" max="10" width="10.5546875" bestFit="1" customWidth="1"/>
    <col min="11" max="11" width="10.109375" bestFit="1" customWidth="1"/>
    <col min="12" max="13" width="10.5546875" bestFit="1" customWidth="1"/>
    <col min="14" max="14" width="9.5546875" customWidth="1"/>
    <col min="15" max="15" width="10.109375" bestFit="1" customWidth="1"/>
    <col min="16" max="19" width="10.5546875" bestFit="1" customWidth="1"/>
    <col min="20" max="20" width="9.33203125" customWidth="1"/>
    <col min="21" max="21" width="9.88671875" bestFit="1" customWidth="1"/>
  </cols>
  <sheetData>
    <row r="1" spans="1:42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42" ht="18" x14ac:dyDescent="0.35">
      <c r="A2" s="9"/>
      <c r="B2" s="132" t="s">
        <v>140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42" x14ac:dyDescent="0.3">
      <c r="A3" s="9"/>
      <c r="B3" s="9" t="s">
        <v>141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42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42" x14ac:dyDescent="0.3">
      <c r="A5" s="141"/>
      <c r="B5" s="144" t="s">
        <v>170</v>
      </c>
      <c r="C5" s="141"/>
      <c r="D5" s="141"/>
      <c r="E5" s="141"/>
      <c r="F5" s="194">
        <v>2025</v>
      </c>
      <c r="G5" s="194">
        <v>2025</v>
      </c>
      <c r="H5" s="194">
        <v>2025</v>
      </c>
      <c r="I5" s="194">
        <v>2025</v>
      </c>
      <c r="J5" s="194">
        <v>2025</v>
      </c>
      <c r="K5" s="194">
        <v>2025</v>
      </c>
      <c r="L5" s="194">
        <v>2025</v>
      </c>
      <c r="M5" s="194">
        <v>2025</v>
      </c>
      <c r="N5" s="194">
        <v>2025</v>
      </c>
      <c r="O5" s="194">
        <v>2025</v>
      </c>
      <c r="P5" s="194">
        <v>2025</v>
      </c>
      <c r="Q5" s="194">
        <v>2025</v>
      </c>
      <c r="R5" s="194">
        <v>2026</v>
      </c>
      <c r="S5" s="194">
        <v>2026</v>
      </c>
      <c r="T5" s="194">
        <v>2026</v>
      </c>
      <c r="U5" s="172" t="s">
        <v>72</v>
      </c>
    </row>
    <row r="6" spans="1:42" ht="15" thickBot="1" x14ac:dyDescent="0.35">
      <c r="A6" s="143"/>
      <c r="B6" s="151" t="s">
        <v>64</v>
      </c>
      <c r="C6" s="143"/>
      <c r="D6" s="143"/>
      <c r="E6" s="143"/>
      <c r="F6" s="193" t="s">
        <v>25</v>
      </c>
      <c r="G6" s="193" t="s">
        <v>26</v>
      </c>
      <c r="H6" s="193" t="s">
        <v>27</v>
      </c>
      <c r="I6" s="193" t="s">
        <v>28</v>
      </c>
      <c r="J6" s="193" t="s">
        <v>29</v>
      </c>
      <c r="K6" s="193" t="s">
        <v>30</v>
      </c>
      <c r="L6" s="193" t="s">
        <v>31</v>
      </c>
      <c r="M6" s="193" t="s">
        <v>32</v>
      </c>
      <c r="N6" s="193" t="s">
        <v>33</v>
      </c>
      <c r="O6" s="193" t="s">
        <v>34</v>
      </c>
      <c r="P6" s="193" t="s">
        <v>35</v>
      </c>
      <c r="Q6" s="193" t="s">
        <v>36</v>
      </c>
      <c r="R6" s="193" t="s">
        <v>25</v>
      </c>
      <c r="S6" s="193" t="s">
        <v>26</v>
      </c>
      <c r="T6" s="193" t="s">
        <v>27</v>
      </c>
      <c r="U6" s="157"/>
    </row>
    <row r="7" spans="1:42" s="126" customForma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29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9"/>
      <c r="B8" s="9"/>
      <c r="C8" s="135" t="s">
        <v>281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42" x14ac:dyDescent="0.3">
      <c r="A9" s="9"/>
      <c r="B9" s="9"/>
      <c r="C9" s="135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42" x14ac:dyDescent="0.3">
      <c r="A10" s="9"/>
      <c r="B10" s="9"/>
      <c r="C10" s="135" t="s">
        <v>2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42" ht="10.199999999999999" customHeight="1" x14ac:dyDescent="0.3">
      <c r="A11" s="9"/>
      <c r="B11" s="9"/>
      <c r="C11" s="13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42" x14ac:dyDescent="0.3">
      <c r="A12" s="9"/>
      <c r="B12" s="9"/>
      <c r="C12" s="136" t="s">
        <v>305</v>
      </c>
      <c r="D12" s="9"/>
      <c r="E12" s="9"/>
      <c r="F12" s="208">
        <v>373290</v>
      </c>
      <c r="G12" s="208">
        <v>377775</v>
      </c>
      <c r="H12" s="208">
        <v>353280</v>
      </c>
      <c r="I12" s="208">
        <v>695175</v>
      </c>
      <c r="J12" s="208">
        <v>359835</v>
      </c>
      <c r="K12" s="208">
        <v>362250</v>
      </c>
      <c r="L12" s="208">
        <v>372945</v>
      </c>
      <c r="M12" s="208">
        <v>367770</v>
      </c>
      <c r="N12" s="208">
        <v>381570</v>
      </c>
      <c r="O12" s="208">
        <v>383295</v>
      </c>
      <c r="P12" s="208">
        <v>394680</v>
      </c>
      <c r="Q12" s="208">
        <v>425730</v>
      </c>
      <c r="R12" s="149">
        <f>'IS 2026'!F12</f>
        <v>519820</v>
      </c>
      <c r="S12" s="149">
        <f>'IS 2026'!G12</f>
        <v>532510</v>
      </c>
      <c r="T12" s="149">
        <f>'IS 2026'!H12</f>
        <v>536270</v>
      </c>
      <c r="U12" s="9"/>
    </row>
    <row r="13" spans="1:42" x14ac:dyDescent="0.3">
      <c r="A13" s="141"/>
      <c r="B13" s="141"/>
      <c r="C13" s="144" t="s">
        <v>115</v>
      </c>
      <c r="D13" s="141"/>
      <c r="E13" s="141"/>
      <c r="F13" s="142">
        <f t="shared" ref="F13:T13" si="0">SUM(F12:F12)</f>
        <v>373290</v>
      </c>
      <c r="G13" s="142">
        <f t="shared" si="0"/>
        <v>377775</v>
      </c>
      <c r="H13" s="142">
        <f t="shared" si="0"/>
        <v>353280</v>
      </c>
      <c r="I13" s="142">
        <f t="shared" si="0"/>
        <v>695175</v>
      </c>
      <c r="J13" s="142">
        <f t="shared" si="0"/>
        <v>359835</v>
      </c>
      <c r="K13" s="142">
        <f t="shared" si="0"/>
        <v>362250</v>
      </c>
      <c r="L13" s="142">
        <f t="shared" si="0"/>
        <v>372945</v>
      </c>
      <c r="M13" s="142">
        <f t="shared" si="0"/>
        <v>367770</v>
      </c>
      <c r="N13" s="142">
        <f t="shared" si="0"/>
        <v>381570</v>
      </c>
      <c r="O13" s="142">
        <f t="shared" si="0"/>
        <v>383295</v>
      </c>
      <c r="P13" s="142">
        <f t="shared" si="0"/>
        <v>394680</v>
      </c>
      <c r="Q13" s="142">
        <f t="shared" si="0"/>
        <v>425730</v>
      </c>
      <c r="R13" s="142">
        <f t="shared" si="0"/>
        <v>519820</v>
      </c>
      <c r="S13" s="142">
        <f t="shared" si="0"/>
        <v>532510</v>
      </c>
      <c r="T13" s="142">
        <f t="shared" si="0"/>
        <v>536270</v>
      </c>
      <c r="U13" s="153">
        <f>SUM(F13:Q13)</f>
        <v>4847595</v>
      </c>
    </row>
    <row r="14" spans="1:42" x14ac:dyDescent="0.3">
      <c r="A14" s="143"/>
      <c r="B14" s="143"/>
      <c r="C14" s="151" t="s">
        <v>116</v>
      </c>
      <c r="D14" s="143"/>
      <c r="E14" s="143"/>
      <c r="F14" s="152">
        <f>SUM(F15:F20)</f>
        <v>8610</v>
      </c>
      <c r="G14" s="152">
        <f t="shared" ref="G14:T14" si="1">SUM(G15:G20)</f>
        <v>8610</v>
      </c>
      <c r="H14" s="152">
        <f t="shared" si="1"/>
        <v>8610</v>
      </c>
      <c r="I14" s="152">
        <f t="shared" si="1"/>
        <v>8610</v>
      </c>
      <c r="J14" s="152">
        <f t="shared" si="1"/>
        <v>8610</v>
      </c>
      <c r="K14" s="152">
        <f t="shared" si="1"/>
        <v>8610</v>
      </c>
      <c r="L14" s="152">
        <f t="shared" si="1"/>
        <v>8610</v>
      </c>
      <c r="M14" s="152">
        <f t="shared" si="1"/>
        <v>8610</v>
      </c>
      <c r="N14" s="152">
        <f t="shared" si="1"/>
        <v>8610</v>
      </c>
      <c r="O14" s="152">
        <f t="shared" si="1"/>
        <v>8610</v>
      </c>
      <c r="P14" s="152">
        <f t="shared" si="1"/>
        <v>8610</v>
      </c>
      <c r="Q14" s="152">
        <f t="shared" si="1"/>
        <v>8610</v>
      </c>
      <c r="R14" s="152">
        <f t="shared" si="1"/>
        <v>8610</v>
      </c>
      <c r="S14" s="152">
        <f t="shared" si="1"/>
        <v>8610</v>
      </c>
      <c r="T14" s="152">
        <f t="shared" si="1"/>
        <v>8610</v>
      </c>
      <c r="U14" s="147">
        <f t="shared" ref="U14:U61" si="2">SUM(F14:Q14)</f>
        <v>103320</v>
      </c>
    </row>
    <row r="15" spans="1:42" x14ac:dyDescent="0.3">
      <c r="A15" s="9"/>
      <c r="B15" s="9"/>
      <c r="C15" s="136" t="s">
        <v>200</v>
      </c>
      <c r="D15" s="9"/>
      <c r="E15" s="9"/>
      <c r="F15" s="133">
        <f>--9500</f>
        <v>9500</v>
      </c>
      <c r="G15" s="133">
        <f t="shared" ref="G15:T15" si="3">--9500</f>
        <v>9500</v>
      </c>
      <c r="H15" s="133">
        <f t="shared" si="3"/>
        <v>9500</v>
      </c>
      <c r="I15" s="133">
        <f t="shared" si="3"/>
        <v>9500</v>
      </c>
      <c r="J15" s="133">
        <f t="shared" si="3"/>
        <v>9500</v>
      </c>
      <c r="K15" s="133">
        <f t="shared" si="3"/>
        <v>9500</v>
      </c>
      <c r="L15" s="133">
        <f t="shared" si="3"/>
        <v>9500</v>
      </c>
      <c r="M15" s="133">
        <f t="shared" si="3"/>
        <v>9500</v>
      </c>
      <c r="N15" s="133">
        <f t="shared" si="3"/>
        <v>9500</v>
      </c>
      <c r="O15" s="133">
        <f t="shared" si="3"/>
        <v>9500</v>
      </c>
      <c r="P15" s="133">
        <f t="shared" si="3"/>
        <v>9500</v>
      </c>
      <c r="Q15" s="133">
        <f t="shared" si="3"/>
        <v>9500</v>
      </c>
      <c r="R15" s="133">
        <f t="shared" si="3"/>
        <v>9500</v>
      </c>
      <c r="S15" s="133">
        <f t="shared" si="3"/>
        <v>9500</v>
      </c>
      <c r="T15" s="133">
        <f t="shared" si="3"/>
        <v>9500</v>
      </c>
      <c r="U15" s="149">
        <f t="shared" si="2"/>
        <v>114000</v>
      </c>
    </row>
    <row r="16" spans="1:42" x14ac:dyDescent="0.3">
      <c r="A16" s="9"/>
      <c r="B16" s="9"/>
      <c r="C16" s="136" t="s">
        <v>288</v>
      </c>
      <c r="D16" s="9"/>
      <c r="E16" s="9"/>
      <c r="F16" s="134">
        <v>-700</v>
      </c>
      <c r="G16" s="134">
        <v>-700</v>
      </c>
      <c r="H16" s="134">
        <v>-700</v>
      </c>
      <c r="I16" s="134">
        <v>-700</v>
      </c>
      <c r="J16" s="134">
        <v>-700</v>
      </c>
      <c r="K16" s="134">
        <v>-700</v>
      </c>
      <c r="L16" s="134">
        <v>-700</v>
      </c>
      <c r="M16" s="134">
        <v>-700</v>
      </c>
      <c r="N16" s="134">
        <v>-700</v>
      </c>
      <c r="O16" s="134">
        <v>-700</v>
      </c>
      <c r="P16" s="134">
        <v>-700</v>
      </c>
      <c r="Q16" s="134">
        <v>-700</v>
      </c>
      <c r="R16" s="134">
        <v>-700</v>
      </c>
      <c r="S16" s="134">
        <v>-700</v>
      </c>
      <c r="T16" s="134">
        <v>-700</v>
      </c>
      <c r="U16" s="149">
        <f t="shared" si="2"/>
        <v>-8400</v>
      </c>
    </row>
    <row r="17" spans="1:21" x14ac:dyDescent="0.3">
      <c r="A17" s="9"/>
      <c r="B17" s="9"/>
      <c r="C17" s="136" t="s">
        <v>290</v>
      </c>
      <c r="D17" s="9"/>
      <c r="E17" s="9"/>
      <c r="F17" s="134">
        <v>-125</v>
      </c>
      <c r="G17" s="134">
        <v>-125</v>
      </c>
      <c r="H17" s="134">
        <v>-125</v>
      </c>
      <c r="I17" s="134">
        <v>-125</v>
      </c>
      <c r="J17" s="134">
        <v>-125</v>
      </c>
      <c r="K17" s="134">
        <v>-125</v>
      </c>
      <c r="L17" s="134">
        <v>-125</v>
      </c>
      <c r="M17" s="134">
        <v>-125</v>
      </c>
      <c r="N17" s="134">
        <v>-125</v>
      </c>
      <c r="O17" s="134">
        <v>-125</v>
      </c>
      <c r="P17" s="134">
        <v>-125</v>
      </c>
      <c r="Q17" s="134">
        <v>-125</v>
      </c>
      <c r="R17" s="134">
        <v>-125</v>
      </c>
      <c r="S17" s="134">
        <v>-125</v>
      </c>
      <c r="T17" s="134">
        <v>-125</v>
      </c>
      <c r="U17" s="149">
        <f t="shared" si="2"/>
        <v>-1500</v>
      </c>
    </row>
    <row r="18" spans="1:21" x14ac:dyDescent="0.3">
      <c r="A18" s="9"/>
      <c r="B18" s="9"/>
      <c r="C18" s="136" t="s">
        <v>291</v>
      </c>
      <c r="D18" s="9"/>
      <c r="E18" s="9"/>
      <c r="F18" s="134">
        <v>-65</v>
      </c>
      <c r="G18" s="134">
        <v>-65</v>
      </c>
      <c r="H18" s="134">
        <v>-65</v>
      </c>
      <c r="I18" s="134">
        <v>-65</v>
      </c>
      <c r="J18" s="134">
        <v>-65</v>
      </c>
      <c r="K18" s="134">
        <v>-65</v>
      </c>
      <c r="L18" s="134">
        <v>-65</v>
      </c>
      <c r="M18" s="134">
        <v>-65</v>
      </c>
      <c r="N18" s="134">
        <v>-65</v>
      </c>
      <c r="O18" s="134">
        <v>-65</v>
      </c>
      <c r="P18" s="134">
        <v>-65</v>
      </c>
      <c r="Q18" s="134">
        <v>-65</v>
      </c>
      <c r="R18" s="134">
        <v>-65</v>
      </c>
      <c r="S18" s="134">
        <v>-65</v>
      </c>
      <c r="T18" s="134">
        <v>-65</v>
      </c>
      <c r="U18" s="149">
        <f t="shared" si="2"/>
        <v>-780</v>
      </c>
    </row>
    <row r="19" spans="1:21" x14ac:dyDescent="0.3">
      <c r="A19" s="9"/>
      <c r="B19" s="9"/>
      <c r="C19" s="136" t="s">
        <v>204</v>
      </c>
      <c r="D19" s="9"/>
      <c r="E19" s="9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1"/>
    </row>
    <row r="20" spans="1:21" x14ac:dyDescent="0.3">
      <c r="A20" s="9"/>
      <c r="B20" s="9"/>
      <c r="C20" s="136" t="s">
        <v>205</v>
      </c>
      <c r="D20" s="9"/>
      <c r="E20" s="9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1"/>
    </row>
    <row r="21" spans="1:21" x14ac:dyDescent="0.3">
      <c r="A21" s="9"/>
      <c r="B21" s="9"/>
      <c r="C21" s="134"/>
      <c r="D21" s="9"/>
      <c r="E21" s="9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1"/>
    </row>
    <row r="22" spans="1:21" x14ac:dyDescent="0.3">
      <c r="A22" s="154"/>
      <c r="B22" s="154"/>
      <c r="C22" s="155" t="s">
        <v>4</v>
      </c>
      <c r="D22" s="154"/>
      <c r="E22" s="154"/>
      <c r="F22" s="156">
        <f>SUM(F13+F14)</f>
        <v>381900</v>
      </c>
      <c r="G22" s="156">
        <f t="shared" ref="G22:T22" si="4">SUM(G13+G14)</f>
        <v>386385</v>
      </c>
      <c r="H22" s="156">
        <f t="shared" si="4"/>
        <v>361890</v>
      </c>
      <c r="I22" s="156">
        <f t="shared" si="4"/>
        <v>703785</v>
      </c>
      <c r="J22" s="156">
        <f t="shared" si="4"/>
        <v>368445</v>
      </c>
      <c r="K22" s="156">
        <f t="shared" si="4"/>
        <v>370860</v>
      </c>
      <c r="L22" s="156">
        <f t="shared" si="4"/>
        <v>381555</v>
      </c>
      <c r="M22" s="156">
        <f t="shared" si="4"/>
        <v>376380</v>
      </c>
      <c r="N22" s="156">
        <f t="shared" si="4"/>
        <v>390180</v>
      </c>
      <c r="O22" s="156">
        <f t="shared" si="4"/>
        <v>391905</v>
      </c>
      <c r="P22" s="156">
        <f t="shared" si="4"/>
        <v>403290</v>
      </c>
      <c r="Q22" s="156">
        <f t="shared" si="4"/>
        <v>434340</v>
      </c>
      <c r="R22" s="156">
        <f t="shared" si="4"/>
        <v>528430</v>
      </c>
      <c r="S22" s="156">
        <f t="shared" si="4"/>
        <v>541120</v>
      </c>
      <c r="T22" s="156">
        <f t="shared" si="4"/>
        <v>544880</v>
      </c>
      <c r="U22" s="293">
        <f t="shared" si="2"/>
        <v>4950915</v>
      </c>
    </row>
    <row r="23" spans="1:21" ht="15" customHeight="1" x14ac:dyDescent="0.3">
      <c r="A23" s="9"/>
      <c r="B23" s="9"/>
      <c r="C23" s="134"/>
      <c r="D23" s="9"/>
      <c r="E23" s="9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1"/>
    </row>
    <row r="24" spans="1:21" ht="15" customHeight="1" x14ac:dyDescent="0.3">
      <c r="A24" s="9"/>
      <c r="B24" s="9"/>
      <c r="C24" s="135" t="s">
        <v>5</v>
      </c>
      <c r="D24" s="9"/>
      <c r="E24" s="9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1"/>
    </row>
    <row r="25" spans="1:21" ht="15" customHeight="1" x14ac:dyDescent="0.3">
      <c r="A25" s="9"/>
      <c r="B25" s="9"/>
      <c r="C25" s="136" t="s">
        <v>292</v>
      </c>
      <c r="D25" s="9"/>
      <c r="E25" s="9"/>
      <c r="F25" s="149">
        <v>-975</v>
      </c>
      <c r="G25" s="149">
        <v>-975</v>
      </c>
      <c r="H25" s="149">
        <v>-975</v>
      </c>
      <c r="I25" s="149">
        <v>-975</v>
      </c>
      <c r="J25" s="149">
        <v>-975</v>
      </c>
      <c r="K25" s="149">
        <v>-975</v>
      </c>
      <c r="L25" s="149">
        <v>-975</v>
      </c>
      <c r="M25" s="149">
        <v>-975</v>
      </c>
      <c r="N25" s="149">
        <v>-975</v>
      </c>
      <c r="O25" s="149">
        <v>-975</v>
      </c>
      <c r="P25" s="149">
        <v>-975</v>
      </c>
      <c r="Q25" s="149">
        <v>-975</v>
      </c>
      <c r="R25" s="149">
        <v>-975</v>
      </c>
      <c r="S25" s="149">
        <v>-975</v>
      </c>
      <c r="T25" s="149">
        <v>-975</v>
      </c>
      <c r="U25" s="149">
        <f t="shared" si="2"/>
        <v>-11700</v>
      </c>
    </row>
    <row r="26" spans="1:21" ht="15" customHeight="1" x14ac:dyDescent="0.3">
      <c r="A26" s="9"/>
      <c r="B26" s="9"/>
      <c r="C26" s="136" t="s">
        <v>293</v>
      </c>
      <c r="D26" s="9"/>
      <c r="E26" s="9"/>
      <c r="F26" s="149">
        <v>-300</v>
      </c>
      <c r="G26" s="149">
        <v>-300</v>
      </c>
      <c r="H26" s="149">
        <v>-300</v>
      </c>
      <c r="I26" s="149">
        <v>-300</v>
      </c>
      <c r="J26" s="149">
        <v>-300</v>
      </c>
      <c r="K26" s="149">
        <v>-300</v>
      </c>
      <c r="L26" s="149">
        <v>-300</v>
      </c>
      <c r="M26" s="149">
        <v>-300</v>
      </c>
      <c r="N26" s="149">
        <v>-300</v>
      </c>
      <c r="O26" s="149">
        <v>-300</v>
      </c>
      <c r="P26" s="149">
        <v>-300</v>
      </c>
      <c r="Q26" s="149">
        <v>-300</v>
      </c>
      <c r="R26" s="149">
        <v>-300</v>
      </c>
      <c r="S26" s="149">
        <v>-300</v>
      </c>
      <c r="T26" s="149">
        <v>-300</v>
      </c>
      <c r="U26" s="149">
        <f t="shared" si="2"/>
        <v>-3600</v>
      </c>
    </row>
    <row r="27" spans="1:21" ht="15" customHeight="1" x14ac:dyDescent="0.3">
      <c r="A27" s="9"/>
      <c r="B27" s="9"/>
      <c r="C27" s="136" t="s">
        <v>294</v>
      </c>
      <c r="D27" s="9"/>
      <c r="E27" s="9"/>
      <c r="F27" s="149">
        <v>-300</v>
      </c>
      <c r="G27" s="149">
        <v>-300</v>
      </c>
      <c r="H27" s="149">
        <v>-300</v>
      </c>
      <c r="I27" s="149">
        <v>-300</v>
      </c>
      <c r="J27" s="149">
        <v>-300</v>
      </c>
      <c r="K27" s="149">
        <v>-300</v>
      </c>
      <c r="L27" s="149">
        <v>-300</v>
      </c>
      <c r="M27" s="149">
        <v>-300</v>
      </c>
      <c r="N27" s="149">
        <v>-300</v>
      </c>
      <c r="O27" s="149">
        <v>-300</v>
      </c>
      <c r="P27" s="149">
        <v>-300</v>
      </c>
      <c r="Q27" s="149">
        <v>-300</v>
      </c>
      <c r="R27" s="149">
        <v>-300</v>
      </c>
      <c r="S27" s="149">
        <v>-300</v>
      </c>
      <c r="T27" s="149">
        <v>-300</v>
      </c>
      <c r="U27" s="149">
        <f t="shared" si="2"/>
        <v>-3600</v>
      </c>
    </row>
    <row r="28" spans="1:21" ht="15" customHeight="1" x14ac:dyDescent="0.3">
      <c r="A28" s="9"/>
      <c r="B28" s="9"/>
      <c r="C28" s="136" t="s">
        <v>295</v>
      </c>
      <c r="D28" s="9"/>
      <c r="E28" s="9"/>
      <c r="F28" s="331">
        <v>-710</v>
      </c>
      <c r="G28" s="331">
        <v>-710</v>
      </c>
      <c r="H28" s="331">
        <v>-710</v>
      </c>
      <c r="I28" s="331">
        <v>-710</v>
      </c>
      <c r="J28" s="331">
        <v>-710</v>
      </c>
      <c r="K28" s="331">
        <v>-710</v>
      </c>
      <c r="L28" s="331">
        <v>-710</v>
      </c>
      <c r="M28" s="331">
        <v>-710</v>
      </c>
      <c r="N28" s="331">
        <v>-710</v>
      </c>
      <c r="O28" s="331">
        <v>-710</v>
      </c>
      <c r="P28" s="331">
        <v>-710</v>
      </c>
      <c r="Q28" s="331">
        <v>-710</v>
      </c>
      <c r="R28" s="331">
        <v>-710</v>
      </c>
      <c r="S28" s="331">
        <v>-710</v>
      </c>
      <c r="T28" s="331">
        <v>-710</v>
      </c>
      <c r="U28" s="149">
        <f t="shared" si="2"/>
        <v>-8520</v>
      </c>
    </row>
    <row r="29" spans="1:21" ht="15" customHeight="1" x14ac:dyDescent="0.3">
      <c r="A29" s="9"/>
      <c r="B29" s="9"/>
      <c r="C29" s="136" t="s">
        <v>120</v>
      </c>
      <c r="D29" s="9"/>
      <c r="E29" s="9"/>
      <c r="F29" s="150" t="s">
        <v>142</v>
      </c>
      <c r="G29" s="150" t="s">
        <v>142</v>
      </c>
      <c r="H29" s="150" t="s">
        <v>142</v>
      </c>
      <c r="I29" s="150" t="s">
        <v>142</v>
      </c>
      <c r="J29" s="150" t="s">
        <v>142</v>
      </c>
      <c r="K29" s="150" t="s">
        <v>142</v>
      </c>
      <c r="L29" s="150" t="s">
        <v>142</v>
      </c>
      <c r="M29" s="150" t="s">
        <v>142</v>
      </c>
      <c r="N29" s="150" t="s">
        <v>142</v>
      </c>
      <c r="O29" s="150" t="s">
        <v>142</v>
      </c>
      <c r="P29" s="150" t="s">
        <v>142</v>
      </c>
      <c r="Q29" s="150" t="s">
        <v>142</v>
      </c>
      <c r="R29" s="150" t="s">
        <v>142</v>
      </c>
      <c r="S29" s="150" t="s">
        <v>142</v>
      </c>
      <c r="T29" s="150" t="s">
        <v>142</v>
      </c>
      <c r="U29" s="131"/>
    </row>
    <row r="30" spans="1:21" ht="15" customHeight="1" x14ac:dyDescent="0.3">
      <c r="A30" s="9"/>
      <c r="B30" s="9"/>
      <c r="C30" s="136" t="s">
        <v>121</v>
      </c>
      <c r="D30" s="9"/>
      <c r="E30" s="9"/>
      <c r="F30" s="291" t="s">
        <v>142</v>
      </c>
      <c r="G30" s="291" t="s">
        <v>142</v>
      </c>
      <c r="H30" s="291" t="s">
        <v>142</v>
      </c>
      <c r="I30" s="291" t="s">
        <v>142</v>
      </c>
      <c r="J30" s="291" t="s">
        <v>142</v>
      </c>
      <c r="K30" s="291" t="s">
        <v>142</v>
      </c>
      <c r="L30" s="291" t="s">
        <v>142</v>
      </c>
      <c r="M30" s="291" t="s">
        <v>142</v>
      </c>
      <c r="N30" s="291" t="s">
        <v>142</v>
      </c>
      <c r="O30" s="291" t="s">
        <v>142</v>
      </c>
      <c r="P30" s="291" t="s">
        <v>142</v>
      </c>
      <c r="Q30" s="291" t="s">
        <v>142</v>
      </c>
      <c r="R30" s="291" t="s">
        <v>142</v>
      </c>
      <c r="S30" s="291" t="s">
        <v>142</v>
      </c>
      <c r="T30" s="291" t="s">
        <v>142</v>
      </c>
      <c r="U30" s="131"/>
    </row>
    <row r="31" spans="1:21" ht="15" customHeight="1" x14ac:dyDescent="0.3">
      <c r="A31" s="9"/>
      <c r="B31" s="9"/>
      <c r="C31" s="136" t="s">
        <v>122</v>
      </c>
      <c r="D31" s="9"/>
      <c r="E31" s="9"/>
      <c r="F31" s="291" t="s">
        <v>142</v>
      </c>
      <c r="G31" s="291" t="s">
        <v>142</v>
      </c>
      <c r="H31" s="291" t="s">
        <v>142</v>
      </c>
      <c r="I31" s="291" t="s">
        <v>142</v>
      </c>
      <c r="J31" s="291" t="s">
        <v>142</v>
      </c>
      <c r="K31" s="291" t="s">
        <v>142</v>
      </c>
      <c r="L31" s="291" t="s">
        <v>142</v>
      </c>
      <c r="M31" s="291" t="s">
        <v>142</v>
      </c>
      <c r="N31" s="291" t="s">
        <v>142</v>
      </c>
      <c r="O31" s="291" t="s">
        <v>142</v>
      </c>
      <c r="P31" s="291" t="s">
        <v>142</v>
      </c>
      <c r="Q31" s="291" t="s">
        <v>142</v>
      </c>
      <c r="R31" s="291" t="s">
        <v>142</v>
      </c>
      <c r="S31" s="291" t="s">
        <v>142</v>
      </c>
      <c r="T31" s="291" t="s">
        <v>142</v>
      </c>
      <c r="U31" s="131"/>
    </row>
    <row r="32" spans="1:21" ht="15" customHeight="1" x14ac:dyDescent="0.3">
      <c r="A32" s="9"/>
      <c r="B32" s="9"/>
      <c r="C32" s="136" t="s">
        <v>123</v>
      </c>
      <c r="D32" s="9"/>
      <c r="E32" s="9"/>
      <c r="F32" s="291" t="s">
        <v>142</v>
      </c>
      <c r="G32" s="291" t="s">
        <v>142</v>
      </c>
      <c r="H32" s="291" t="s">
        <v>142</v>
      </c>
      <c r="I32" s="291" t="s">
        <v>142</v>
      </c>
      <c r="J32" s="291" t="s">
        <v>142</v>
      </c>
      <c r="K32" s="291" t="s">
        <v>142</v>
      </c>
      <c r="L32" s="291" t="s">
        <v>142</v>
      </c>
      <c r="M32" s="291" t="s">
        <v>142</v>
      </c>
      <c r="N32" s="291" t="s">
        <v>142</v>
      </c>
      <c r="O32" s="291" t="s">
        <v>142</v>
      </c>
      <c r="P32" s="291" t="s">
        <v>142</v>
      </c>
      <c r="Q32" s="291" t="s">
        <v>142</v>
      </c>
      <c r="R32" s="291" t="s">
        <v>142</v>
      </c>
      <c r="S32" s="291" t="s">
        <v>142</v>
      </c>
      <c r="T32" s="291" t="s">
        <v>142</v>
      </c>
      <c r="U32" s="131"/>
    </row>
    <row r="33" spans="1:21" ht="15.6" customHeight="1" x14ac:dyDescent="0.3">
      <c r="A33" s="9"/>
      <c r="B33" s="9"/>
      <c r="C33" s="136"/>
      <c r="D33" s="9"/>
      <c r="E33" s="9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31"/>
    </row>
    <row r="34" spans="1:21" x14ac:dyDescent="0.3">
      <c r="A34" s="145"/>
      <c r="B34" s="145"/>
      <c r="C34" s="172" t="s">
        <v>124</v>
      </c>
      <c r="D34" s="145"/>
      <c r="E34" s="145"/>
      <c r="F34" s="153">
        <f t="shared" ref="F34:H34" si="5">SUM(F25:F32)</f>
        <v>-2285</v>
      </c>
      <c r="G34" s="153">
        <f t="shared" si="5"/>
        <v>-2285</v>
      </c>
      <c r="H34" s="153">
        <f t="shared" si="5"/>
        <v>-2285</v>
      </c>
      <c r="I34" s="153">
        <f t="shared" ref="I34:T34" si="6">SUM(I25:I32)</f>
        <v>-2285</v>
      </c>
      <c r="J34" s="153">
        <f t="shared" si="6"/>
        <v>-2285</v>
      </c>
      <c r="K34" s="153">
        <f t="shared" si="6"/>
        <v>-2285</v>
      </c>
      <c r="L34" s="153">
        <f t="shared" si="6"/>
        <v>-2285</v>
      </c>
      <c r="M34" s="153">
        <f t="shared" si="6"/>
        <v>-2285</v>
      </c>
      <c r="N34" s="153">
        <f t="shared" si="6"/>
        <v>-2285</v>
      </c>
      <c r="O34" s="153">
        <f t="shared" si="6"/>
        <v>-2285</v>
      </c>
      <c r="P34" s="153">
        <f t="shared" si="6"/>
        <v>-2285</v>
      </c>
      <c r="Q34" s="153">
        <f t="shared" si="6"/>
        <v>-2285</v>
      </c>
      <c r="R34" s="153">
        <f t="shared" si="6"/>
        <v>-2285</v>
      </c>
      <c r="S34" s="153">
        <f t="shared" si="6"/>
        <v>-2285</v>
      </c>
      <c r="T34" s="153">
        <f t="shared" si="6"/>
        <v>-2285</v>
      </c>
      <c r="U34" s="153">
        <f t="shared" si="2"/>
        <v>-27420</v>
      </c>
    </row>
    <row r="35" spans="1:21" x14ac:dyDescent="0.3">
      <c r="A35" s="146"/>
      <c r="B35" s="146"/>
      <c r="C35" s="183" t="s">
        <v>125</v>
      </c>
      <c r="D35" s="146"/>
      <c r="E35" s="146"/>
      <c r="F35" s="147">
        <v>-45063</v>
      </c>
      <c r="G35" s="147">
        <v>-45063</v>
      </c>
      <c r="H35" s="147">
        <v>-45063</v>
      </c>
      <c r="I35" s="147">
        <v>-45063</v>
      </c>
      <c r="J35" s="147">
        <v>-45063</v>
      </c>
      <c r="K35" s="147">
        <v>-45063</v>
      </c>
      <c r="L35" s="147">
        <v>-45063</v>
      </c>
      <c r="M35" s="147">
        <v>-45063</v>
      </c>
      <c r="N35" s="147">
        <v>-45063</v>
      </c>
      <c r="O35" s="147">
        <v>-45063</v>
      </c>
      <c r="P35" s="147">
        <v>-45063</v>
      </c>
      <c r="Q35" s="147">
        <v>-45063</v>
      </c>
      <c r="R35" s="147">
        <v>-45063</v>
      </c>
      <c r="S35" s="147">
        <v>-45063</v>
      </c>
      <c r="T35" s="147">
        <v>-45063</v>
      </c>
      <c r="U35" s="147">
        <f t="shared" si="2"/>
        <v>-540756</v>
      </c>
    </row>
    <row r="36" spans="1:21" x14ac:dyDescent="0.3">
      <c r="A36" s="9"/>
      <c r="B36" s="9"/>
      <c r="C36" s="134"/>
      <c r="D36" s="9"/>
      <c r="E36" s="9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1"/>
    </row>
    <row r="37" spans="1:21" x14ac:dyDescent="0.3">
      <c r="A37" s="9"/>
      <c r="B37" s="9"/>
      <c r="C37" s="135" t="s">
        <v>24</v>
      </c>
      <c r="D37" s="9"/>
      <c r="E37" s="9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1"/>
    </row>
    <row r="38" spans="1:21" x14ac:dyDescent="0.3">
      <c r="A38" s="9"/>
      <c r="B38" s="9"/>
      <c r="C38" s="134" t="s">
        <v>73</v>
      </c>
      <c r="D38" s="9"/>
      <c r="E38" s="9"/>
      <c r="F38" s="149">
        <v>-1750</v>
      </c>
      <c r="G38" s="149">
        <v>-1750</v>
      </c>
      <c r="H38" s="149">
        <v>-1750</v>
      </c>
      <c r="I38" s="149">
        <v>-1750</v>
      </c>
      <c r="J38" s="149">
        <v>-1750</v>
      </c>
      <c r="K38" s="149">
        <v>-1750</v>
      </c>
      <c r="L38" s="149">
        <v>-1750</v>
      </c>
      <c r="M38" s="149">
        <v>-1750</v>
      </c>
      <c r="N38" s="149">
        <v>-1750</v>
      </c>
      <c r="O38" s="149">
        <v>-1750</v>
      </c>
      <c r="P38" s="149">
        <v>-1750</v>
      </c>
      <c r="Q38" s="149">
        <v>-1750</v>
      </c>
      <c r="R38" s="149">
        <v>-1750</v>
      </c>
      <c r="S38" s="149">
        <v>-1750</v>
      </c>
      <c r="T38" s="149">
        <v>-1750</v>
      </c>
      <c r="U38" s="149">
        <f t="shared" si="2"/>
        <v>-21000</v>
      </c>
    </row>
    <row r="39" spans="1:21" x14ac:dyDescent="0.3">
      <c r="A39" s="9"/>
      <c r="B39" s="9"/>
      <c r="C39" s="134" t="s">
        <v>261</v>
      </c>
      <c r="D39" s="9"/>
      <c r="E39" s="9"/>
      <c r="F39" s="149">
        <v>-2550</v>
      </c>
      <c r="G39" s="149">
        <v>-2550</v>
      </c>
      <c r="H39" s="149">
        <v>-2550</v>
      </c>
      <c r="I39" s="149">
        <v>-2550</v>
      </c>
      <c r="J39" s="149">
        <v>-2550</v>
      </c>
      <c r="K39" s="149">
        <v>-2550</v>
      </c>
      <c r="L39" s="149">
        <v>-2550</v>
      </c>
      <c r="M39" s="149">
        <v>-2550</v>
      </c>
      <c r="N39" s="149">
        <v>-2550</v>
      </c>
      <c r="O39" s="149">
        <v>-2550</v>
      </c>
      <c r="P39" s="149">
        <v>-2550</v>
      </c>
      <c r="Q39" s="149">
        <v>-2550</v>
      </c>
      <c r="R39" s="149">
        <v>-2550</v>
      </c>
      <c r="S39" s="149">
        <v>-2550</v>
      </c>
      <c r="T39" s="149">
        <v>-2550</v>
      </c>
      <c r="U39" s="149">
        <f t="shared" si="2"/>
        <v>-30600</v>
      </c>
    </row>
    <row r="40" spans="1:21" x14ac:dyDescent="0.3">
      <c r="A40" s="9"/>
      <c r="B40" s="9"/>
      <c r="C40" s="134" t="s">
        <v>284</v>
      </c>
      <c r="D40" s="9"/>
      <c r="E40" s="9"/>
      <c r="F40" s="149">
        <v>-700</v>
      </c>
      <c r="G40" s="149">
        <v>-700</v>
      </c>
      <c r="H40" s="149">
        <v>-700</v>
      </c>
      <c r="I40" s="149">
        <v>-700</v>
      </c>
      <c r="J40" s="149">
        <v>-700</v>
      </c>
      <c r="K40" s="149">
        <v>-700</v>
      </c>
      <c r="L40" s="149">
        <v>-700</v>
      </c>
      <c r="M40" s="149">
        <v>-700</v>
      </c>
      <c r="N40" s="149">
        <v>-700</v>
      </c>
      <c r="O40" s="149">
        <v>-700</v>
      </c>
      <c r="P40" s="149">
        <v>-700</v>
      </c>
      <c r="Q40" s="149">
        <v>-700</v>
      </c>
      <c r="R40" s="149">
        <v>-700</v>
      </c>
      <c r="S40" s="149">
        <v>-700</v>
      </c>
      <c r="T40" s="149">
        <v>-700</v>
      </c>
      <c r="U40" s="149">
        <f t="shared" si="2"/>
        <v>-8400</v>
      </c>
    </row>
    <row r="41" spans="1:21" x14ac:dyDescent="0.3">
      <c r="A41" s="9"/>
      <c r="B41" s="9"/>
      <c r="C41" s="134" t="s">
        <v>223</v>
      </c>
      <c r="D41" s="9"/>
      <c r="E41" s="9"/>
      <c r="F41" s="149">
        <v>-1350</v>
      </c>
      <c r="G41" s="149">
        <v>-1350</v>
      </c>
      <c r="H41" s="149">
        <v>-1350</v>
      </c>
      <c r="I41" s="149">
        <v>-1350</v>
      </c>
      <c r="J41" s="149">
        <v>-1350</v>
      </c>
      <c r="K41" s="149">
        <v>-1350</v>
      </c>
      <c r="L41" s="149">
        <v>-1350</v>
      </c>
      <c r="M41" s="149">
        <v>-1350</v>
      </c>
      <c r="N41" s="149">
        <v>-1350</v>
      </c>
      <c r="O41" s="149">
        <v>-1350</v>
      </c>
      <c r="P41" s="149">
        <v>-1350</v>
      </c>
      <c r="Q41" s="149">
        <v>-1350</v>
      </c>
      <c r="R41" s="149">
        <v>-1350</v>
      </c>
      <c r="S41" s="149">
        <v>-1350</v>
      </c>
      <c r="T41" s="149">
        <v>-1350</v>
      </c>
      <c r="U41" s="149">
        <f t="shared" si="2"/>
        <v>-16200</v>
      </c>
    </row>
    <row r="42" spans="1:21" x14ac:dyDescent="0.3">
      <c r="A42" s="9"/>
      <c r="B42" s="9"/>
      <c r="C42" s="134" t="s">
        <v>262</v>
      </c>
      <c r="D42" s="9"/>
      <c r="E42" s="9"/>
      <c r="F42" s="149">
        <v>-1900</v>
      </c>
      <c r="G42" s="149">
        <v>-1900</v>
      </c>
      <c r="H42" s="149">
        <v>-1900</v>
      </c>
      <c r="I42" s="149">
        <v>-1900</v>
      </c>
      <c r="J42" s="149">
        <v>-1900</v>
      </c>
      <c r="K42" s="149">
        <v>-1900</v>
      </c>
      <c r="L42" s="149">
        <v>-1900</v>
      </c>
      <c r="M42" s="149">
        <v>-1900</v>
      </c>
      <c r="N42" s="149">
        <v>-1900</v>
      </c>
      <c r="O42" s="149">
        <v>-1900</v>
      </c>
      <c r="P42" s="149">
        <v>-1900</v>
      </c>
      <c r="Q42" s="149">
        <v>-1900</v>
      </c>
      <c r="R42" s="149">
        <v>-1900</v>
      </c>
      <c r="S42" s="149">
        <v>-1900</v>
      </c>
      <c r="T42" s="149">
        <v>-1900</v>
      </c>
      <c r="U42" s="149">
        <f t="shared" si="2"/>
        <v>-22800</v>
      </c>
    </row>
    <row r="43" spans="1:21" x14ac:dyDescent="0.3">
      <c r="A43" s="9"/>
      <c r="B43" s="9"/>
      <c r="C43" s="134" t="s">
        <v>127</v>
      </c>
      <c r="D43" s="9"/>
      <c r="E43" s="9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1"/>
    </row>
    <row r="44" spans="1:21" x14ac:dyDescent="0.3">
      <c r="A44" s="9"/>
      <c r="B44" s="9"/>
      <c r="C44" s="136" t="s">
        <v>128</v>
      </c>
      <c r="D44" s="9"/>
      <c r="E44" s="9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1"/>
    </row>
    <row r="45" spans="1:21" x14ac:dyDescent="0.3">
      <c r="A45" s="9"/>
      <c r="B45" s="9"/>
      <c r="C45" s="136" t="s">
        <v>129</v>
      </c>
      <c r="D45" s="9"/>
      <c r="E45" s="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1"/>
    </row>
    <row r="46" spans="1:21" x14ac:dyDescent="0.3">
      <c r="A46" s="9"/>
      <c r="B46" s="9"/>
      <c r="C46" s="136" t="s">
        <v>130</v>
      </c>
      <c r="D46" s="9"/>
      <c r="E46" s="9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1"/>
    </row>
    <row r="47" spans="1:21" x14ac:dyDescent="0.3">
      <c r="A47" s="9"/>
      <c r="B47" s="9"/>
      <c r="C47" s="136" t="s">
        <v>131</v>
      </c>
      <c r="D47" s="9"/>
      <c r="E47" s="9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1"/>
    </row>
    <row r="48" spans="1:21" x14ac:dyDescent="0.3">
      <c r="A48" s="9"/>
      <c r="B48" s="9"/>
      <c r="C48" s="136" t="s">
        <v>132</v>
      </c>
      <c r="D48" s="9"/>
      <c r="E48" s="9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1"/>
    </row>
    <row r="49" spans="1:21" x14ac:dyDescent="0.3">
      <c r="A49" s="9"/>
      <c r="B49" s="9"/>
      <c r="C49" s="136" t="s">
        <v>133</v>
      </c>
      <c r="D49" s="9"/>
      <c r="E49" s="9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1"/>
    </row>
    <row r="50" spans="1:21" x14ac:dyDescent="0.3">
      <c r="A50" s="9"/>
      <c r="B50" s="9"/>
      <c r="C50" s="136" t="s">
        <v>134</v>
      </c>
      <c r="D50" s="9"/>
      <c r="E50" s="9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1"/>
    </row>
    <row r="51" spans="1:21" x14ac:dyDescent="0.3">
      <c r="A51" s="9"/>
      <c r="B51" s="9"/>
      <c r="C51" s="136" t="s">
        <v>135</v>
      </c>
      <c r="D51" s="9"/>
      <c r="E51" s="9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1"/>
    </row>
    <row r="52" spans="1:21" x14ac:dyDescent="0.3">
      <c r="A52" s="9"/>
      <c r="B52" s="9"/>
      <c r="C52" s="136" t="s">
        <v>136</v>
      </c>
      <c r="D52" s="9"/>
      <c r="E52" s="9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1"/>
    </row>
    <row r="53" spans="1:21" x14ac:dyDescent="0.3">
      <c r="A53" s="9"/>
      <c r="B53" s="9"/>
      <c r="C53" s="136"/>
      <c r="D53" s="9"/>
      <c r="E53" s="9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1"/>
    </row>
    <row r="54" spans="1:21" s="110" customFormat="1" ht="14.4" customHeight="1" x14ac:dyDescent="0.3">
      <c r="A54" s="159"/>
      <c r="B54" s="159"/>
      <c r="C54" s="160" t="s">
        <v>137</v>
      </c>
      <c r="D54" s="159"/>
      <c r="E54" s="159"/>
      <c r="F54" s="161">
        <f t="shared" ref="F54:H54" si="7">SUM(F38:F52)</f>
        <v>-8250</v>
      </c>
      <c r="G54" s="161">
        <f t="shared" si="7"/>
        <v>-8250</v>
      </c>
      <c r="H54" s="161">
        <f t="shared" si="7"/>
        <v>-8250</v>
      </c>
      <c r="I54" s="161">
        <f t="shared" ref="I54:T54" si="8">SUM(I38:I52)</f>
        <v>-8250</v>
      </c>
      <c r="J54" s="161">
        <f t="shared" si="8"/>
        <v>-8250</v>
      </c>
      <c r="K54" s="161">
        <f t="shared" si="8"/>
        <v>-8250</v>
      </c>
      <c r="L54" s="161">
        <f t="shared" si="8"/>
        <v>-8250</v>
      </c>
      <c r="M54" s="161">
        <f t="shared" si="8"/>
        <v>-8250</v>
      </c>
      <c r="N54" s="161">
        <f t="shared" si="8"/>
        <v>-8250</v>
      </c>
      <c r="O54" s="161">
        <f t="shared" si="8"/>
        <v>-8250</v>
      </c>
      <c r="P54" s="161">
        <f t="shared" si="8"/>
        <v>-8250</v>
      </c>
      <c r="Q54" s="161">
        <f t="shared" si="8"/>
        <v>-8250</v>
      </c>
      <c r="R54" s="161">
        <f t="shared" si="8"/>
        <v>-8250</v>
      </c>
      <c r="S54" s="161">
        <f t="shared" si="8"/>
        <v>-8250</v>
      </c>
      <c r="T54" s="161">
        <f t="shared" si="8"/>
        <v>-8250</v>
      </c>
      <c r="U54" s="153">
        <f t="shared" si="2"/>
        <v>-99000</v>
      </c>
    </row>
    <row r="55" spans="1:21" s="110" customFormat="1" ht="14.4" customHeight="1" x14ac:dyDescent="0.3">
      <c r="A55" s="162"/>
      <c r="B55" s="162"/>
      <c r="C55" s="163" t="s">
        <v>6</v>
      </c>
      <c r="D55" s="162"/>
      <c r="E55" s="162"/>
      <c r="F55" s="164">
        <f>F13+F14+F34+F54</f>
        <v>371365</v>
      </c>
      <c r="G55" s="164">
        <f>G13+G14+G34+G54</f>
        <v>375850</v>
      </c>
      <c r="H55" s="164">
        <f t="shared" ref="H55:T55" si="9">H13+H14+H34+H54</f>
        <v>351355</v>
      </c>
      <c r="I55" s="164">
        <f t="shared" si="9"/>
        <v>693250</v>
      </c>
      <c r="J55" s="164">
        <f t="shared" si="9"/>
        <v>357910</v>
      </c>
      <c r="K55" s="164">
        <f t="shared" si="9"/>
        <v>360325</v>
      </c>
      <c r="L55" s="164">
        <f t="shared" si="9"/>
        <v>371020</v>
      </c>
      <c r="M55" s="164">
        <f t="shared" si="9"/>
        <v>365845</v>
      </c>
      <c r="N55" s="164">
        <f t="shared" si="9"/>
        <v>379645</v>
      </c>
      <c r="O55" s="164">
        <f t="shared" si="9"/>
        <v>381370</v>
      </c>
      <c r="P55" s="164">
        <f t="shared" si="9"/>
        <v>392755</v>
      </c>
      <c r="Q55" s="164">
        <f t="shared" si="9"/>
        <v>423805</v>
      </c>
      <c r="R55" s="164">
        <f t="shared" si="9"/>
        <v>517895</v>
      </c>
      <c r="S55" s="164">
        <f t="shared" si="9"/>
        <v>530585</v>
      </c>
      <c r="T55" s="164">
        <f t="shared" si="9"/>
        <v>534345</v>
      </c>
      <c r="U55" s="147">
        <f t="shared" si="2"/>
        <v>4824495</v>
      </c>
    </row>
    <row r="56" spans="1:21" s="110" customFormat="1" ht="14.4" customHeight="1" x14ac:dyDescent="0.3">
      <c r="A56" s="108"/>
      <c r="B56" s="108"/>
      <c r="C56" s="137" t="s">
        <v>138</v>
      </c>
      <c r="D56" s="108"/>
      <c r="E56" s="108"/>
      <c r="F56" s="333">
        <v>-1850</v>
      </c>
      <c r="G56" s="333">
        <v>-1850</v>
      </c>
      <c r="H56" s="333">
        <v>-1850</v>
      </c>
      <c r="I56" s="333">
        <v>-1711</v>
      </c>
      <c r="J56" s="333">
        <v>-1711</v>
      </c>
      <c r="K56" s="333">
        <v>-1711</v>
      </c>
      <c r="L56" s="333">
        <v>-1711</v>
      </c>
      <c r="M56" s="333">
        <v>-1711</v>
      </c>
      <c r="N56" s="333">
        <v>-1711</v>
      </c>
      <c r="O56" s="333">
        <v>-1711</v>
      </c>
      <c r="P56" s="333">
        <v>-1711</v>
      </c>
      <c r="Q56" s="333">
        <v>-1911</v>
      </c>
      <c r="R56" s="333">
        <v>-1911</v>
      </c>
      <c r="S56" s="333">
        <v>-1911</v>
      </c>
      <c r="T56" s="333">
        <v>-1911</v>
      </c>
      <c r="U56" s="333">
        <f t="shared" si="2"/>
        <v>-21149</v>
      </c>
    </row>
    <row r="57" spans="1:21" s="110" customFormat="1" ht="25.05" customHeight="1" x14ac:dyDescent="0.3">
      <c r="A57" s="108"/>
      <c r="B57" s="108"/>
      <c r="C57" s="137" t="s">
        <v>8</v>
      </c>
      <c r="D57" s="108"/>
      <c r="E57" s="108"/>
      <c r="F57" s="333">
        <f t="shared" ref="F57:H57" si="10">F55+F56</f>
        <v>369515</v>
      </c>
      <c r="G57" s="333">
        <f t="shared" si="10"/>
        <v>374000</v>
      </c>
      <c r="H57" s="333">
        <f t="shared" si="10"/>
        <v>349505</v>
      </c>
      <c r="I57" s="333">
        <f t="shared" ref="I57:T57" si="11">I55-I56</f>
        <v>694961</v>
      </c>
      <c r="J57" s="333">
        <f t="shared" si="11"/>
        <v>359621</v>
      </c>
      <c r="K57" s="333">
        <f t="shared" si="11"/>
        <v>362036</v>
      </c>
      <c r="L57" s="333">
        <f t="shared" si="11"/>
        <v>372731</v>
      </c>
      <c r="M57" s="333">
        <f t="shared" si="11"/>
        <v>367556</v>
      </c>
      <c r="N57" s="333">
        <f t="shared" si="11"/>
        <v>381356</v>
      </c>
      <c r="O57" s="333">
        <f t="shared" si="11"/>
        <v>383081</v>
      </c>
      <c r="P57" s="333">
        <f t="shared" si="11"/>
        <v>394466</v>
      </c>
      <c r="Q57" s="333">
        <f t="shared" si="11"/>
        <v>425716</v>
      </c>
      <c r="R57" s="333">
        <f t="shared" si="11"/>
        <v>519806</v>
      </c>
      <c r="S57" s="333">
        <f t="shared" si="11"/>
        <v>532496</v>
      </c>
      <c r="T57" s="333">
        <f t="shared" si="11"/>
        <v>536256</v>
      </c>
      <c r="U57" s="333">
        <f t="shared" si="2"/>
        <v>4834544</v>
      </c>
    </row>
    <row r="58" spans="1:21" s="110" customFormat="1" ht="25.05" customHeight="1" x14ac:dyDescent="0.3">
      <c r="A58" s="108"/>
      <c r="B58" s="108"/>
      <c r="C58" s="138" t="s">
        <v>139</v>
      </c>
      <c r="D58" s="139"/>
      <c r="E58" s="108"/>
      <c r="F58" s="333">
        <f>('BS 2025'!F27*0.2)</f>
        <v>-28216.800000000003</v>
      </c>
      <c r="G58" s="333">
        <f>('BS 2025'!G27*0.2)</f>
        <v>-23796.400000000001</v>
      </c>
      <c r="H58" s="333">
        <f>('BS 2025'!H27*0.2)</f>
        <v>-19376</v>
      </c>
      <c r="I58" s="333">
        <f>('BS 2025'!I27*0.2)</f>
        <v>-14955.6</v>
      </c>
      <c r="J58" s="333">
        <f>('BS 2025'!J27*0.2)</f>
        <v>-10535.2</v>
      </c>
      <c r="K58" s="333">
        <f>('BS 2025'!K27*0.2)</f>
        <v>-6114.8</v>
      </c>
      <c r="L58" s="333">
        <f>('BS 2025'!L27*0.2)</f>
        <v>-1694.4</v>
      </c>
      <c r="M58" s="333">
        <f>('BS 2025'!M27*0.2)</f>
        <v>0</v>
      </c>
      <c r="N58" s="333">
        <f>('BS 2025'!N27*0.2)</f>
        <v>0</v>
      </c>
      <c r="O58" s="333">
        <f>('BS 2025'!O27*0.2)</f>
        <v>0</v>
      </c>
      <c r="P58" s="333">
        <f>('BS 2025'!P27*0.2)</f>
        <v>0</v>
      </c>
      <c r="Q58" s="333">
        <f>('BS 2025'!Q27*0.2)</f>
        <v>0</v>
      </c>
      <c r="R58" s="333">
        <f>('BS 2025'!R27*0.2)</f>
        <v>0</v>
      </c>
      <c r="S58" s="333">
        <f>('BS 2025'!S27*0.2)</f>
        <v>0</v>
      </c>
      <c r="T58" s="333">
        <f>('BS 2025'!T27*0.2)</f>
        <v>0</v>
      </c>
      <c r="U58" s="333">
        <f>('BS 2025'!U27*0.2)</f>
        <v>-104689.20000000001</v>
      </c>
    </row>
    <row r="59" spans="1:21" s="110" customFormat="1" ht="25.05" customHeight="1" x14ac:dyDescent="0.3">
      <c r="A59" s="108"/>
      <c r="B59" s="108"/>
      <c r="C59" s="137" t="s">
        <v>10</v>
      </c>
      <c r="D59" s="108"/>
      <c r="E59" s="108"/>
      <c r="F59" s="333">
        <f>F55</f>
        <v>371365</v>
      </c>
      <c r="G59" s="333">
        <f t="shared" ref="G59:T59" si="12">G55</f>
        <v>375850</v>
      </c>
      <c r="H59" s="333">
        <f t="shared" si="12"/>
        <v>351355</v>
      </c>
      <c r="I59" s="333">
        <f t="shared" si="12"/>
        <v>693250</v>
      </c>
      <c r="J59" s="333">
        <f t="shared" si="12"/>
        <v>357910</v>
      </c>
      <c r="K59" s="333">
        <f t="shared" si="12"/>
        <v>360325</v>
      </c>
      <c r="L59" s="333">
        <f t="shared" si="12"/>
        <v>371020</v>
      </c>
      <c r="M59" s="333">
        <f t="shared" si="12"/>
        <v>365845</v>
      </c>
      <c r="N59" s="333">
        <f t="shared" si="12"/>
        <v>379645</v>
      </c>
      <c r="O59" s="333">
        <f t="shared" si="12"/>
        <v>381370</v>
      </c>
      <c r="P59" s="333">
        <f t="shared" si="12"/>
        <v>392755</v>
      </c>
      <c r="Q59" s="333">
        <f t="shared" si="12"/>
        <v>423805</v>
      </c>
      <c r="R59" s="333">
        <f t="shared" si="12"/>
        <v>517895</v>
      </c>
      <c r="S59" s="333">
        <f t="shared" si="12"/>
        <v>530585</v>
      </c>
      <c r="T59" s="333">
        <f t="shared" si="12"/>
        <v>534345</v>
      </c>
      <c r="U59" s="333">
        <f t="shared" si="2"/>
        <v>4824495</v>
      </c>
    </row>
    <row r="60" spans="1:21" s="110" customFormat="1" ht="25.05" customHeight="1" x14ac:dyDescent="0.3">
      <c r="A60" s="108"/>
      <c r="B60" s="108"/>
      <c r="C60" s="138" t="s">
        <v>11</v>
      </c>
      <c r="D60" s="108"/>
      <c r="E60" s="108"/>
      <c r="F60" s="333">
        <f>(F59*0.2)*-1</f>
        <v>-74273</v>
      </c>
      <c r="G60" s="333">
        <f t="shared" ref="G60:T60" si="13">(G59*0.2)*-1</f>
        <v>-75170</v>
      </c>
      <c r="H60" s="333">
        <f t="shared" si="13"/>
        <v>-70271</v>
      </c>
      <c r="I60" s="333">
        <f t="shared" si="13"/>
        <v>-138650</v>
      </c>
      <c r="J60" s="333">
        <f t="shared" si="13"/>
        <v>-71582</v>
      </c>
      <c r="K60" s="333">
        <f t="shared" si="13"/>
        <v>-72065</v>
      </c>
      <c r="L60" s="333">
        <f t="shared" si="13"/>
        <v>-74204</v>
      </c>
      <c r="M60" s="333">
        <f t="shared" si="13"/>
        <v>-73169</v>
      </c>
      <c r="N60" s="333">
        <f t="shared" si="13"/>
        <v>-75929</v>
      </c>
      <c r="O60" s="333">
        <f t="shared" si="13"/>
        <v>-76274</v>
      </c>
      <c r="P60" s="333">
        <f t="shared" si="13"/>
        <v>-78551</v>
      </c>
      <c r="Q60" s="333">
        <f t="shared" si="13"/>
        <v>-84761</v>
      </c>
      <c r="R60" s="333">
        <f t="shared" si="13"/>
        <v>-103579</v>
      </c>
      <c r="S60" s="333">
        <f t="shared" si="13"/>
        <v>-106117</v>
      </c>
      <c r="T60" s="333">
        <f t="shared" si="13"/>
        <v>-106869</v>
      </c>
      <c r="U60" s="333">
        <f t="shared" si="2"/>
        <v>-964899</v>
      </c>
    </row>
    <row r="61" spans="1:21" s="110" customFormat="1" ht="14.4" customHeight="1" x14ac:dyDescent="0.3">
      <c r="A61" s="165"/>
      <c r="B61" s="165"/>
      <c r="C61" s="166" t="s">
        <v>12</v>
      </c>
      <c r="D61" s="165"/>
      <c r="E61" s="165"/>
      <c r="F61" s="296">
        <f>F59+F60</f>
        <v>297092</v>
      </c>
      <c r="G61" s="296">
        <f t="shared" ref="G61:T61" si="14">G59+G60</f>
        <v>300680</v>
      </c>
      <c r="H61" s="296">
        <f t="shared" si="14"/>
        <v>281084</v>
      </c>
      <c r="I61" s="296">
        <f t="shared" si="14"/>
        <v>554600</v>
      </c>
      <c r="J61" s="296">
        <f t="shared" si="14"/>
        <v>286328</v>
      </c>
      <c r="K61" s="296">
        <f t="shared" si="14"/>
        <v>288260</v>
      </c>
      <c r="L61" s="296">
        <f t="shared" si="14"/>
        <v>296816</v>
      </c>
      <c r="M61" s="296">
        <f t="shared" si="14"/>
        <v>292676</v>
      </c>
      <c r="N61" s="296">
        <f t="shared" si="14"/>
        <v>303716</v>
      </c>
      <c r="O61" s="296">
        <f t="shared" si="14"/>
        <v>305096</v>
      </c>
      <c r="P61" s="296">
        <f t="shared" si="14"/>
        <v>314204</v>
      </c>
      <c r="Q61" s="296">
        <f t="shared" si="14"/>
        <v>339044</v>
      </c>
      <c r="R61" s="296">
        <f t="shared" si="14"/>
        <v>414316</v>
      </c>
      <c r="S61" s="296">
        <f t="shared" si="14"/>
        <v>424468</v>
      </c>
      <c r="T61" s="296">
        <f t="shared" si="14"/>
        <v>427476</v>
      </c>
      <c r="U61" s="295">
        <f t="shared" si="2"/>
        <v>3859596</v>
      </c>
    </row>
    <row r="62" spans="1:21" x14ac:dyDescent="0.3">
      <c r="F62"/>
    </row>
    <row r="63" spans="1:21" x14ac:dyDescent="0.3">
      <c r="F63"/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IS 2023</vt:lpstr>
      <vt:lpstr>CF 2023</vt:lpstr>
      <vt:lpstr>BS 2023</vt:lpstr>
      <vt:lpstr>Statements Summary 2023</vt:lpstr>
      <vt:lpstr>IS 2024</vt:lpstr>
      <vt:lpstr>CF 2024</vt:lpstr>
      <vt:lpstr>BS 2024</vt:lpstr>
      <vt:lpstr>Statements Summary 2024</vt:lpstr>
      <vt:lpstr>IS 2025</vt:lpstr>
      <vt:lpstr>CF 2025</vt:lpstr>
      <vt:lpstr>BS 2025</vt:lpstr>
      <vt:lpstr>Statements Summary 2025</vt:lpstr>
      <vt:lpstr>IS 2026</vt:lpstr>
      <vt:lpstr>CF 2026</vt:lpstr>
      <vt:lpstr>BS 2026</vt:lpstr>
      <vt:lpstr>Statements Summary 2026</vt:lpstr>
      <vt:lpstr>IS 2027</vt:lpstr>
      <vt:lpstr>CF 2027</vt:lpstr>
      <vt:lpstr>BS 2027</vt:lpstr>
      <vt:lpstr>Statements Summary 2027</vt:lpstr>
      <vt:lpstr>Sales Summary Charts</vt:lpstr>
      <vt:lpstr>Key Metrics Charts</vt:lpstr>
      <vt:lpstr>Charts</vt:lpstr>
      <vt:lpstr>BEA</vt:lpstr>
      <vt:lpstr>Top Expenses</vt:lpstr>
      <vt:lpstr>Salaries Assumptions</vt:lpstr>
      <vt:lpstr>Services Assumptions </vt:lpstr>
      <vt:lpstr>COGS Assumptions</vt:lpstr>
      <vt:lpstr>Servcies Team Upselling %</vt:lpstr>
      <vt:lpstr>KPI Stage Financials</vt:lpstr>
      <vt:lpstr>KPI Spend</vt:lpstr>
      <vt:lpstr>Benchmarking Plan Over Time</vt:lpstr>
      <vt:lpstr>TimeData</vt:lpstr>
      <vt:lpstr>Unit Usage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Sharp</dc:creator>
  <cp:lastModifiedBy>Roger Sharp</cp:lastModifiedBy>
  <dcterms:created xsi:type="dcterms:W3CDTF">2023-11-23T10:27:01Z</dcterms:created>
  <dcterms:modified xsi:type="dcterms:W3CDTF">2024-06-28T14:11:19Z</dcterms:modified>
</cp:coreProperties>
</file>